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480" yWindow="210" windowWidth="12120" windowHeight="7620" tabRatio="875" firstSheet="9"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结果表二" sheetId="71" r:id="rId19"/>
    <sheet name="剩余法-现房" sheetId="43" r:id="rId20"/>
    <sheet name="比较法-住宅、综合" sheetId="39" state="hidden" r:id="rId21"/>
    <sheet name="比较法-工业" sheetId="40" state="hidden" r:id="rId22"/>
    <sheet name="基准地价" sheetId="46"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出售案例" sheetId="70" r:id="rId42"/>
    <sheet name="地图" sheetId="72" r:id="rId43"/>
    <sheet name="未使用案例" sheetId="68" state="hidden" r:id="rId44"/>
    <sheet name="Sheet1" sheetId="73" state="hidden" r:id="rId45"/>
    <sheet name="Sheet2" sheetId="74" state="hidden" r:id="rId46"/>
  </sheets>
  <externalReferences>
    <externalReference r:id="rId47"/>
    <externalReference r:id="rId48"/>
    <externalReference r:id="rId49"/>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'剩余法-现房'!$A$1:$K$32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J60" i="71"/>
  <c r="J59"/>
  <c r="Q57"/>
  <c r="Q56"/>
  <c r="C18" l="1"/>
  <c r="C21" l="1"/>
  <c r="C57" l="1"/>
  <c r="Q48"/>
  <c r="Q55" l="1"/>
  <c r="J58" l="1"/>
  <c r="C55" l="1"/>
  <c r="D6" l="1"/>
  <c r="E3"/>
  <c r="E6"/>
  <c r="D5"/>
  <c r="Q54" s="1"/>
  <c r="D4"/>
  <c r="T48"/>
  <c r="C56" l="1"/>
  <c r="C58" s="1"/>
  <c r="C59" s="1"/>
  <c r="Q50"/>
  <c r="Q51" s="1"/>
  <c r="D16" l="1"/>
  <c r="D15"/>
  <c r="D5" i="9"/>
  <c r="C34" i="71"/>
  <c r="Q34"/>
  <c r="F1" i="46" l="1"/>
  <c r="D2" i="71" l="1"/>
  <c r="AY3" i="3" l="1"/>
  <c r="D7" i="59" l="1"/>
  <c r="AH5" l="1"/>
  <c r="AG5"/>
  <c r="AE5"/>
  <c r="AF5" s="1"/>
  <c r="AD5"/>
  <c r="Q5"/>
  <c r="P5"/>
  <c r="O5"/>
  <c r="N5"/>
  <c r="I3" l="1"/>
  <c r="L3"/>
  <c r="K3"/>
  <c r="J3"/>
  <c r="AE6" l="1"/>
  <c r="AF6" s="1"/>
  <c r="AG6"/>
  <c r="AH6"/>
  <c r="AD6"/>
  <c r="Q6" l="1"/>
  <c r="P6"/>
  <c r="O6"/>
  <c r="N6"/>
  <c r="N7" l="1"/>
  <c r="Q7"/>
  <c r="P7"/>
  <c r="O7"/>
  <c r="K59" i="15" l="1"/>
  <c r="P62" s="1"/>
  <c r="P75" l="1"/>
  <c r="Q74" i="44" l="1"/>
  <c r="Q61"/>
  <c r="Q60"/>
  <c r="Q53"/>
  <c r="J51"/>
  <c r="J52" s="1"/>
  <c r="M48"/>
  <c r="A16" i="55" l="1"/>
  <c r="A15"/>
  <c r="A14"/>
  <c r="A11"/>
  <c r="A10"/>
  <c r="A9"/>
  <c r="A8"/>
  <c r="A6" i="54"/>
  <c r="A8"/>
  <c r="A7"/>
  <c r="A28" i="51"/>
  <c r="A27"/>
  <c r="D5" i="46" l="1"/>
  <c r="Q8" i="59" l="1"/>
  <c r="O8"/>
  <c r="N9"/>
  <c r="O9"/>
  <c r="P9"/>
  <c r="Q9"/>
  <c r="N8"/>
  <c r="P8"/>
  <c r="B13" i="67"/>
  <c r="F11"/>
  <c r="F10"/>
  <c r="E10"/>
  <c r="B10"/>
  <c r="F13"/>
  <c r="B9"/>
  <c r="B8"/>
  <c r="E8"/>
  <c r="E9"/>
  <c r="E14"/>
  <c r="F9"/>
  <c r="E13"/>
  <c r="E11"/>
  <c r="F8"/>
  <c r="F12"/>
  <c r="F14"/>
  <c r="E12"/>
  <c r="B14"/>
  <c r="B11"/>
  <c r="B12"/>
  <c r="K75" i="9" l="1"/>
  <c r="K6" i="4"/>
  <c r="O76" i="9" s="1"/>
  <c r="L76" l="1"/>
  <c r="K76"/>
  <c r="K77" s="1"/>
  <c r="K79" s="1"/>
  <c r="K81" s="1"/>
  <c r="B22" i="31"/>
  <c r="E15" i="66" l="1"/>
  <c r="F15"/>
  <c r="E16"/>
  <c r="F16"/>
  <c r="E17"/>
  <c r="F17"/>
  <c r="E18"/>
  <c r="F18"/>
  <c r="E19"/>
  <c r="F19"/>
  <c r="E20"/>
  <c r="F20"/>
  <c r="E21"/>
  <c r="F21"/>
  <c r="E22"/>
  <c r="F22"/>
  <c r="E23"/>
  <c r="F23"/>
  <c r="B3"/>
  <c r="AD3" i="59" l="1"/>
  <c r="AE3"/>
  <c r="AF3" s="1"/>
  <c r="AG3"/>
  <c r="AH3"/>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s="1"/>
  <c r="AG19"/>
  <c r="AH19"/>
  <c r="AD20"/>
  <c r="AE20"/>
  <c r="AF20" s="1"/>
  <c r="AG20"/>
  <c r="AH20"/>
  <c r="AH21"/>
  <c r="AG21"/>
  <c r="AE21"/>
  <c r="AF21" s="1"/>
  <c r="AD21"/>
  <c r="AD22"/>
  <c r="AE22"/>
  <c r="AF22" s="1"/>
  <c r="AG22"/>
  <c r="AH22"/>
  <c r="S2" i="31" l="1"/>
  <c r="M2"/>
  <c r="N2"/>
  <c r="O2"/>
  <c r="P2"/>
  <c r="Q2"/>
  <c r="R2"/>
  <c r="C6" i="59" l="1"/>
  <c r="C3" i="65"/>
  <c r="C1"/>
  <c r="N1" s="1"/>
  <c r="N7"/>
  <c r="C5" i="59" l="1"/>
  <c r="D5" s="1"/>
  <c r="T6"/>
  <c r="D6"/>
  <c r="H1" i="65"/>
  <c r="B76" i="63"/>
  <c r="N6" i="65"/>
  <c r="N4"/>
  <c r="N5"/>
  <c r="N3"/>
  <c r="J6"/>
  <c r="C4" l="1"/>
  <c r="B39" i="1" s="1"/>
  <c r="I7" i="65"/>
  <c r="I4"/>
  <c r="J5"/>
  <c r="I3"/>
  <c r="J3"/>
  <c r="J7"/>
  <c r="I5"/>
  <c r="J4"/>
  <c r="I6"/>
  <c r="J1" l="1"/>
  <c r="E20" i="46"/>
  <c r="M5" i="54"/>
  <c r="A23" i="51"/>
  <c r="E3" i="65"/>
  <c r="F17" i="11" l="1"/>
  <c r="Y12" i="46"/>
  <c r="AA9"/>
  <c r="AB9"/>
  <c r="AC9"/>
  <c r="AD9"/>
  <c r="AE9"/>
  <c r="AF9"/>
  <c r="AG9"/>
  <c r="AH9"/>
  <c r="AI9"/>
  <c r="AJ9"/>
  <c r="Z9"/>
  <c r="Z10" s="1"/>
  <c r="AJ10"/>
  <c r="AI10"/>
  <c r="AH10"/>
  <c r="AG10"/>
  <c r="AF10"/>
  <c r="AE10"/>
  <c r="AD10"/>
  <c r="AC10"/>
  <c r="AB10"/>
  <c r="AA10"/>
  <c r="Y10"/>
  <c r="AJ12" l="1"/>
  <c r="AH12"/>
  <c r="AF12"/>
  <c r="AD12"/>
  <c r="AB12"/>
  <c r="Z12"/>
  <c r="AI12"/>
  <c r="AG12"/>
  <c r="AE12"/>
  <c r="AC12"/>
  <c r="AA12"/>
  <c r="B73" i="63"/>
  <c r="A21" i="64" l="1"/>
  <c r="B75" i="63" s="1"/>
  <c r="A27" i="64"/>
  <c r="A15"/>
  <c r="A14"/>
  <c r="A11"/>
  <c r="A3"/>
  <c r="A45" i="9"/>
  <c r="A44"/>
  <c r="C57" i="10"/>
  <c r="A28" i="64" s="1"/>
  <c r="C56" i="10"/>
  <c r="C55"/>
  <c r="C54"/>
  <c r="B49" i="63"/>
  <c r="B44"/>
  <c r="B40"/>
  <c r="B30"/>
  <c r="B27"/>
  <c r="B25"/>
  <c r="A11" i="51"/>
  <c r="A26" i="64" l="1"/>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10" i="59" l="1"/>
  <c r="P10"/>
  <c r="O10"/>
  <c r="N10"/>
  <c r="D7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U54" s="1"/>
  <c r="C54"/>
  <c r="T54" s="1"/>
  <c r="B54"/>
  <c r="S54" s="1"/>
  <c r="Q53"/>
  <c r="P53"/>
  <c r="O53"/>
  <c r="N53"/>
  <c r="F53"/>
  <c r="F52" s="1"/>
  <c r="B53"/>
  <c r="B52" s="1"/>
  <c r="Q52"/>
  <c r="P52"/>
  <c r="O52"/>
  <c r="N52"/>
  <c r="Q51"/>
  <c r="P51"/>
  <c r="O51"/>
  <c r="N51"/>
  <c r="D51"/>
  <c r="F50"/>
  <c r="V50" s="1"/>
  <c r="E50"/>
  <c r="E49" s="1"/>
  <c r="P49" s="1"/>
  <c r="C50"/>
  <c r="B50"/>
  <c r="N50" s="1"/>
  <c r="F49"/>
  <c r="F48" s="1"/>
  <c r="Q48" s="1"/>
  <c r="B49"/>
  <c r="Q47"/>
  <c r="D47"/>
  <c r="Q46"/>
  <c r="P46"/>
  <c r="O46"/>
  <c r="N46"/>
  <c r="Q45"/>
  <c r="P45"/>
  <c r="O45"/>
  <c r="N45"/>
  <c r="Q44"/>
  <c r="P44"/>
  <c r="O44"/>
  <c r="N44"/>
  <c r="Q43"/>
  <c r="F44" s="1"/>
  <c r="P43"/>
  <c r="E44" s="1"/>
  <c r="E45" s="1"/>
  <c r="E46" s="1"/>
  <c r="U46" s="1"/>
  <c r="O43"/>
  <c r="C44" s="1"/>
  <c r="N43"/>
  <c r="B44" s="1"/>
  <c r="B45" s="1"/>
  <c r="B46" s="1"/>
  <c r="S46" s="1"/>
  <c r="D43"/>
  <c r="Q42"/>
  <c r="P42"/>
  <c r="O42"/>
  <c r="N42"/>
  <c r="Q41"/>
  <c r="P41"/>
  <c r="O41"/>
  <c r="N41"/>
  <c r="Q40"/>
  <c r="P40"/>
  <c r="O40"/>
  <c r="N40"/>
  <c r="Q39"/>
  <c r="F40" s="1"/>
  <c r="P39"/>
  <c r="E40" s="1"/>
  <c r="E41" s="1"/>
  <c r="E42" s="1"/>
  <c r="U42" s="1"/>
  <c r="O39"/>
  <c r="C40" s="1"/>
  <c r="N39"/>
  <c r="B40" s="1"/>
  <c r="B41" s="1"/>
  <c r="B42" s="1"/>
  <c r="S42" s="1"/>
  <c r="D39"/>
  <c r="Q38"/>
  <c r="P38"/>
  <c r="O38"/>
  <c r="N38"/>
  <c r="Q37"/>
  <c r="P37"/>
  <c r="O37"/>
  <c r="N37"/>
  <c r="Q36"/>
  <c r="P36"/>
  <c r="O36"/>
  <c r="N36"/>
  <c r="Q35"/>
  <c r="F36" s="1"/>
  <c r="P35"/>
  <c r="E36" s="1"/>
  <c r="E37" s="1"/>
  <c r="E38" s="1"/>
  <c r="U38" s="1"/>
  <c r="O35"/>
  <c r="C36" s="1"/>
  <c r="N35"/>
  <c r="B36" s="1"/>
  <c r="B37" s="1"/>
  <c r="B38" s="1"/>
  <c r="S38" s="1"/>
  <c r="D35"/>
  <c r="Q34"/>
  <c r="P34"/>
  <c r="O34"/>
  <c r="N34"/>
  <c r="Q33"/>
  <c r="P33"/>
  <c r="O33"/>
  <c r="N33"/>
  <c r="Q32"/>
  <c r="P32"/>
  <c r="O32"/>
  <c r="N32"/>
  <c r="Q31"/>
  <c r="F32" s="1"/>
  <c r="F33" s="1"/>
  <c r="F34" s="1"/>
  <c r="V34" s="1"/>
  <c r="P31"/>
  <c r="E32" s="1"/>
  <c r="O31"/>
  <c r="C32" s="1"/>
  <c r="N31"/>
  <c r="B32" s="1"/>
  <c r="D31"/>
  <c r="T30"/>
  <c r="Q30"/>
  <c r="P30"/>
  <c r="O30"/>
  <c r="N30"/>
  <c r="D30"/>
  <c r="Q29"/>
  <c r="P29"/>
  <c r="O29"/>
  <c r="N29"/>
  <c r="Q28"/>
  <c r="P28"/>
  <c r="O28"/>
  <c r="N28"/>
  <c r="Q27"/>
  <c r="F28" s="1"/>
  <c r="P27"/>
  <c r="E28" s="1"/>
  <c r="E29" s="1"/>
  <c r="E30" s="1"/>
  <c r="U30" s="1"/>
  <c r="O27"/>
  <c r="C28" s="1"/>
  <c r="N27"/>
  <c r="B28" s="1"/>
  <c r="B29" s="1"/>
  <c r="B30" s="1"/>
  <c r="S30" s="1"/>
  <c r="D27"/>
  <c r="Q26"/>
  <c r="P26"/>
  <c r="O26"/>
  <c r="N26"/>
  <c r="Q25"/>
  <c r="P25"/>
  <c r="O25"/>
  <c r="N25"/>
  <c r="Q24"/>
  <c r="P24"/>
  <c r="O24"/>
  <c r="N24"/>
  <c r="Q23"/>
  <c r="F24" s="1"/>
  <c r="P23"/>
  <c r="E24" s="1"/>
  <c r="E25" s="1"/>
  <c r="E26" s="1"/>
  <c r="U26" s="1"/>
  <c r="O23"/>
  <c r="C24" s="1"/>
  <c r="N23"/>
  <c r="B24" s="1"/>
  <c r="B25" s="1"/>
  <c r="B26" s="1"/>
  <c r="S26" s="1"/>
  <c r="D23"/>
  <c r="Q22"/>
  <c r="P22"/>
  <c r="O22"/>
  <c r="N22"/>
  <c r="Q21"/>
  <c r="AB21" s="1"/>
  <c r="P21"/>
  <c r="O21"/>
  <c r="Y21" s="1"/>
  <c r="Z21" s="1"/>
  <c r="N21"/>
  <c r="X21" s="1"/>
  <c r="Q20"/>
  <c r="AB20" s="1"/>
  <c r="P20"/>
  <c r="AA20" s="1"/>
  <c r="O20"/>
  <c r="Y20" s="1"/>
  <c r="N20"/>
  <c r="X20" s="1"/>
  <c r="Q19"/>
  <c r="P19"/>
  <c r="O19"/>
  <c r="N19"/>
  <c r="D19"/>
  <c r="Q18"/>
  <c r="AB18" s="1"/>
  <c r="P18"/>
  <c r="AA18" s="1"/>
  <c r="O18"/>
  <c r="Y18" s="1"/>
  <c r="Z18" s="1"/>
  <c r="N18"/>
  <c r="X18" s="1"/>
  <c r="Q17"/>
  <c r="AB17" s="1"/>
  <c r="P17"/>
  <c r="AA17" s="1"/>
  <c r="O17"/>
  <c r="Y17" s="1"/>
  <c r="Z17" s="1"/>
  <c r="N17"/>
  <c r="X17" s="1"/>
  <c r="Q16"/>
  <c r="AB16" s="1"/>
  <c r="P16"/>
  <c r="AA16" s="1"/>
  <c r="O16"/>
  <c r="Y16" s="1"/>
  <c r="Z16" s="1"/>
  <c r="N16"/>
  <c r="X16" s="1"/>
  <c r="Q15"/>
  <c r="P15"/>
  <c r="O15"/>
  <c r="N15"/>
  <c r="D15"/>
  <c r="Q14"/>
  <c r="AB14" s="1"/>
  <c r="P14"/>
  <c r="AA14" s="1"/>
  <c r="O14"/>
  <c r="Y14" s="1"/>
  <c r="Z14" s="1"/>
  <c r="N14"/>
  <c r="X14" s="1"/>
  <c r="Q13"/>
  <c r="AB13" s="1"/>
  <c r="P13"/>
  <c r="AA13" s="1"/>
  <c r="O13"/>
  <c r="Y13" s="1"/>
  <c r="Z13" s="1"/>
  <c r="N13"/>
  <c r="X13" s="1"/>
  <c r="Q12"/>
  <c r="AB12" s="1"/>
  <c r="P12"/>
  <c r="AA12" s="1"/>
  <c r="O12"/>
  <c r="Y12" s="1"/>
  <c r="Z12" s="1"/>
  <c r="N12"/>
  <c r="X12" s="1"/>
  <c r="Q11"/>
  <c r="P11"/>
  <c r="AA11" s="1"/>
  <c r="O11"/>
  <c r="N11"/>
  <c r="D11"/>
  <c r="X5" l="1"/>
  <c r="AA5"/>
  <c r="Y5"/>
  <c r="AB5"/>
  <c r="C16"/>
  <c r="Y15"/>
  <c r="Z15" s="1"/>
  <c r="F16"/>
  <c r="AB15"/>
  <c r="B20"/>
  <c r="B21" s="1"/>
  <c r="B22" s="1"/>
  <c r="S22" s="1"/>
  <c r="X19"/>
  <c r="E20"/>
  <c r="E21" s="1"/>
  <c r="E22" s="1"/>
  <c r="U22" s="1"/>
  <c r="AA19"/>
  <c r="B10"/>
  <c r="X6"/>
  <c r="E10"/>
  <c r="AA6"/>
  <c r="B12"/>
  <c r="X11"/>
  <c r="C12"/>
  <c r="Y11"/>
  <c r="Z11" s="1"/>
  <c r="F12"/>
  <c r="AB11"/>
  <c r="B16"/>
  <c r="B17" s="1"/>
  <c r="B18" s="1"/>
  <c r="S18" s="1"/>
  <c r="X15"/>
  <c r="E16"/>
  <c r="E17" s="1"/>
  <c r="E18" s="1"/>
  <c r="U18" s="1"/>
  <c r="AA15"/>
  <c r="C20"/>
  <c r="Y19"/>
  <c r="Z19" s="1"/>
  <c r="F20"/>
  <c r="AB19"/>
  <c r="C10"/>
  <c r="Y6"/>
  <c r="Z6" s="1"/>
  <c r="Z5"/>
  <c r="F10"/>
  <c r="AB6"/>
  <c r="X3"/>
  <c r="X7"/>
  <c r="X8"/>
  <c r="X9"/>
  <c r="X10"/>
  <c r="AA3"/>
  <c r="AA7"/>
  <c r="AA8"/>
  <c r="AA9"/>
  <c r="AA10"/>
  <c r="Y7"/>
  <c r="Z7" s="1"/>
  <c r="Y8"/>
  <c r="Z8" s="1"/>
  <c r="Y9"/>
  <c r="Z9" s="1"/>
  <c r="Y10"/>
  <c r="Z10" s="1"/>
  <c r="Y3"/>
  <c r="Z3" s="1"/>
  <c r="AB10"/>
  <c r="AB3"/>
  <c r="AB7"/>
  <c r="AB8"/>
  <c r="AB9"/>
  <c r="B13"/>
  <c r="B14" s="1"/>
  <c r="S14" s="1"/>
  <c r="E12"/>
  <c r="E13" s="1"/>
  <c r="E14" s="1"/>
  <c r="U14" s="1"/>
  <c r="B33"/>
  <c r="B34" s="1"/>
  <c r="S34" s="1"/>
  <c r="E33"/>
  <c r="E34" s="1"/>
  <c r="U34" s="1"/>
  <c r="S50"/>
  <c r="Z20"/>
  <c r="AA21"/>
  <c r="F13"/>
  <c r="F14" s="1"/>
  <c r="V14" s="1"/>
  <c r="F17"/>
  <c r="F18" s="1"/>
  <c r="V18" s="1"/>
  <c r="F21"/>
  <c r="F22" s="1"/>
  <c r="V22" s="1"/>
  <c r="F25"/>
  <c r="F26" s="1"/>
  <c r="V26" s="1"/>
  <c r="F29"/>
  <c r="F30" s="1"/>
  <c r="V30" s="1"/>
  <c r="F37"/>
  <c r="F38" s="1"/>
  <c r="V38" s="1"/>
  <c r="F41"/>
  <c r="F42" s="1"/>
  <c r="V42" s="1"/>
  <c r="F45"/>
  <c r="F46" s="1"/>
  <c r="V46" s="1"/>
  <c r="C13"/>
  <c r="D12"/>
  <c r="C21"/>
  <c r="D20"/>
  <c r="C25"/>
  <c r="D24"/>
  <c r="C29"/>
  <c r="D29" s="1"/>
  <c r="D28"/>
  <c r="C33"/>
  <c r="D32"/>
  <c r="C37"/>
  <c r="D36"/>
  <c r="C41"/>
  <c r="D40"/>
  <c r="C45"/>
  <c r="D44"/>
  <c r="C17"/>
  <c r="D16"/>
  <c r="E48"/>
  <c r="N49"/>
  <c r="B48"/>
  <c r="Q49"/>
  <c r="T50"/>
  <c r="O50"/>
  <c r="D50"/>
  <c r="C49"/>
  <c r="P50"/>
  <c r="U50"/>
  <c r="Q50"/>
  <c r="C53"/>
  <c r="E53"/>
  <c r="E52" s="1"/>
  <c r="D54"/>
  <c r="C57"/>
  <c r="E57"/>
  <c r="E56" s="1"/>
  <c r="D58"/>
  <c r="C61"/>
  <c r="E61"/>
  <c r="E60" s="1"/>
  <c r="D62"/>
  <c r="C65"/>
  <c r="C69"/>
  <c r="U16" i="4"/>
  <c r="S16"/>
  <c r="Q16"/>
  <c r="O16"/>
  <c r="M16"/>
  <c r="K16"/>
  <c r="V10" i="59" l="1"/>
  <c r="F9"/>
  <c r="F8" s="1"/>
  <c r="F6" s="1"/>
  <c r="U10"/>
  <c r="E9"/>
  <c r="E8" s="1"/>
  <c r="E6" s="1"/>
  <c r="D10"/>
  <c r="T10"/>
  <c r="C9"/>
  <c r="S10"/>
  <c r="B9"/>
  <c r="B8" s="1"/>
  <c r="B6" s="1"/>
  <c r="P47"/>
  <c r="P48"/>
  <c r="D69"/>
  <c r="C68"/>
  <c r="D68" s="1"/>
  <c r="D61"/>
  <c r="C60"/>
  <c r="D60" s="1"/>
  <c r="D53"/>
  <c r="C52"/>
  <c r="D52" s="1"/>
  <c r="C48"/>
  <c r="O49"/>
  <c r="D49"/>
  <c r="D65"/>
  <c r="C64"/>
  <c r="D64" s="1"/>
  <c r="D57"/>
  <c r="C56"/>
  <c r="D56" s="1"/>
  <c r="N47"/>
  <c r="N48"/>
  <c r="C18"/>
  <c r="D17"/>
  <c r="C46"/>
  <c r="D45"/>
  <c r="D41"/>
  <c r="C42"/>
  <c r="C38"/>
  <c r="D37"/>
  <c r="C34"/>
  <c r="D33"/>
  <c r="C26"/>
  <c r="D25"/>
  <c r="C22"/>
  <c r="D21"/>
  <c r="C14"/>
  <c r="D13"/>
  <c r="N16" i="4"/>
  <c r="L16"/>
  <c r="E5" i="59" l="1"/>
  <c r="U6"/>
  <c r="F5"/>
  <c r="V6"/>
  <c r="B5"/>
  <c r="S6"/>
  <c r="D9"/>
  <c r="C8"/>
  <c r="D8" s="1"/>
  <c r="T42"/>
  <c r="D42"/>
  <c r="T14"/>
  <c r="D14"/>
  <c r="T22"/>
  <c r="D22"/>
  <c r="M19" i="46" s="1"/>
  <c r="T26" i="59"/>
  <c r="D26"/>
  <c r="T34"/>
  <c r="D34"/>
  <c r="T38"/>
  <c r="D38"/>
  <c r="T46"/>
  <c r="D46"/>
  <c r="T18"/>
  <c r="D18"/>
  <c r="O48"/>
  <c r="D48"/>
  <c r="O47"/>
  <c r="O27" i="6" l="1"/>
  <c r="N27"/>
  <c r="P26"/>
  <c r="L26"/>
  <c r="P25"/>
  <c r="L25"/>
  <c r="P24"/>
  <c r="L24"/>
  <c r="P23"/>
  <c r="L23"/>
  <c r="P22"/>
  <c r="L22"/>
  <c r="P21"/>
  <c r="L21"/>
  <c r="P20"/>
  <c r="P19"/>
  <c r="P27" s="1"/>
  <c r="Q18" i="36" l="1"/>
  <c r="Z18" s="1"/>
  <c r="C18"/>
  <c r="D66"/>
  <c r="F18" s="1"/>
  <c r="AA18" s="1"/>
  <c r="Q18" i="35"/>
  <c r="Z18" s="1"/>
  <c r="F18"/>
  <c r="AA18" s="1"/>
  <c r="C18"/>
  <c r="D68"/>
  <c r="E68" s="1"/>
  <c r="F68" s="1"/>
  <c r="G68" s="1"/>
  <c r="Q21" i="37"/>
  <c r="Z21" s="1"/>
  <c r="F21"/>
  <c r="AA21" s="1"/>
  <c r="C21"/>
  <c r="E77"/>
  <c r="F77" s="1"/>
  <c r="G77" s="1"/>
  <c r="D77"/>
  <c r="Z21" i="34"/>
  <c r="Q21"/>
  <c r="C21"/>
  <c r="D84"/>
  <c r="F21" s="1"/>
  <c r="AA21" s="1"/>
  <c r="Z21" i="33"/>
  <c r="Q21"/>
  <c r="C21"/>
  <c r="D83"/>
  <c r="E83" s="1"/>
  <c r="F83" s="1"/>
  <c r="G83" s="1"/>
  <c r="Z21" i="21"/>
  <c r="Q21"/>
  <c r="D83"/>
  <c r="E83" s="1"/>
  <c r="F21"/>
  <c r="AA21" s="1"/>
  <c r="C21"/>
  <c r="Q27" i="40"/>
  <c r="Z27" s="1"/>
  <c r="D96"/>
  <c r="E96" s="1"/>
  <c r="F27"/>
  <c r="AA27" s="1"/>
  <c r="Q31" i="39"/>
  <c r="Z31" s="1"/>
  <c r="D105"/>
  <c r="E105" s="1"/>
  <c r="F31"/>
  <c r="AA31" s="1"/>
  <c r="G20" i="20"/>
  <c r="B85" i="46" s="1"/>
  <c r="C22" i="20"/>
  <c r="B65" i="46" s="1"/>
  <c r="S18" i="36" l="1"/>
  <c r="S18" i="35"/>
  <c r="S21" i="37"/>
  <c r="S21" i="34"/>
  <c r="S21" i="21"/>
  <c r="S27" i="40"/>
  <c r="S31" i="39"/>
  <c r="C27" i="40"/>
  <c r="C31" i="39"/>
  <c r="B54" i="46"/>
  <c r="B74"/>
  <c r="E66" i="36"/>
  <c r="H18" i="35"/>
  <c r="J18"/>
  <c r="H21" i="37"/>
  <c r="J21"/>
  <c r="E84" i="34"/>
  <c r="F84" s="1"/>
  <c r="G84" s="1"/>
  <c r="J21"/>
  <c r="H21"/>
  <c r="F21" i="33"/>
  <c r="H21"/>
  <c r="J21"/>
  <c r="F83" i="21"/>
  <c r="H21"/>
  <c r="G83"/>
  <c r="J21"/>
  <c r="F96" i="40"/>
  <c r="H27"/>
  <c r="F105" i="39"/>
  <c r="H31"/>
  <c r="F11" i="15"/>
  <c r="F23"/>
  <c r="D22" s="1"/>
  <c r="G17" i="11"/>
  <c r="D23" i="15"/>
  <c r="F15"/>
  <c r="F17"/>
  <c r="F18"/>
  <c r="F20"/>
  <c r="F21"/>
  <c r="F33"/>
  <c r="F60" s="1"/>
  <c r="F13" i="44"/>
  <c r="C12" s="1"/>
  <c r="K2" i="4"/>
  <c r="K1"/>
  <c r="B1"/>
  <c r="B37" i="50" s="1"/>
  <c r="B2" i="63" s="1"/>
  <c r="C31" i="57"/>
  <c r="C32"/>
  <c r="I23"/>
  <c r="D20"/>
  <c r="I19"/>
  <c r="I18"/>
  <c r="I17"/>
  <c r="E15"/>
  <c r="I14"/>
  <c r="I13"/>
  <c r="I12"/>
  <c r="I9"/>
  <c r="I8"/>
  <c r="I7"/>
  <c r="I6"/>
  <c r="I5"/>
  <c r="I4"/>
  <c r="I3"/>
  <c r="I10" s="1"/>
  <c r="M11" i="15"/>
  <c r="J10" s="1"/>
  <c r="C30" i="57"/>
  <c r="E26" s="1"/>
  <c r="C112" i="9"/>
  <c r="C7" i="11"/>
  <c r="F80" i="46"/>
  <c r="H81" s="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J55" s="1"/>
  <c r="D55" s="1"/>
  <c r="M54"/>
  <c r="N54" s="1"/>
  <c r="K54"/>
  <c r="J54" s="1"/>
  <c r="D54" s="1"/>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D80"/>
  <c r="D81"/>
  <c r="D75"/>
  <c r="J66"/>
  <c r="D66" s="1"/>
  <c r="J50"/>
  <c r="D50"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A13"/>
  <c r="B13" s="1"/>
  <c r="E13" s="1"/>
  <c r="A7"/>
  <c r="A8"/>
  <c r="A9"/>
  <c r="A10"/>
  <c r="R10" s="1"/>
  <c r="A11"/>
  <c r="A6"/>
  <c r="T4"/>
  <c r="K13"/>
  <c r="M13" s="1"/>
  <c r="G79" i="36"/>
  <c r="G85" i="35"/>
  <c r="G97" i="37"/>
  <c r="G110" i="34"/>
  <c r="G109" i="33"/>
  <c r="L2" i="31"/>
  <c r="K2"/>
  <c r="J2"/>
  <c r="I2"/>
  <c r="H2"/>
  <c r="G2"/>
  <c r="F2"/>
  <c r="E2"/>
  <c r="D2"/>
  <c r="C2"/>
  <c r="D60" i="15"/>
  <c r="G19" i="20"/>
  <c r="B84" i="46" s="1"/>
  <c r="BT112" i="3"/>
  <c r="BS112"/>
  <c r="BR112"/>
  <c r="BQ112"/>
  <c r="BP112"/>
  <c r="BO112"/>
  <c r="BN112"/>
  <c r="BM112"/>
  <c r="BL112"/>
  <c r="BK112"/>
  <c r="BJ112"/>
  <c r="BI112"/>
  <c r="BH112"/>
  <c r="BG112"/>
  <c r="BF112"/>
  <c r="BE112"/>
  <c r="BD112"/>
  <c r="BC112"/>
  <c r="BB112"/>
  <c r="BA112" s="1"/>
  <c r="AX112"/>
  <c r="AW112"/>
  <c r="AV112"/>
  <c r="AC112"/>
  <c r="H112"/>
  <c r="BT111"/>
  <c r="BS111"/>
  <c r="BR111"/>
  <c r="BQ111"/>
  <c r="BP111"/>
  <c r="BO111"/>
  <c r="BN111"/>
  <c r="BM111"/>
  <c r="BL111"/>
  <c r="BK111"/>
  <c r="BJ111"/>
  <c r="BI111"/>
  <c r="BH111"/>
  <c r="BG111"/>
  <c r="BF111"/>
  <c r="BE111"/>
  <c r="BD111"/>
  <c r="BC111"/>
  <c r="BB111"/>
  <c r="BA111" s="1"/>
  <c r="AZ111" s="1"/>
  <c r="AX111"/>
  <c r="AW111"/>
  <c r="AV111"/>
  <c r="AC111"/>
  <c r="H111"/>
  <c r="G111"/>
  <c r="BT110"/>
  <c r="BS110"/>
  <c r="BR110"/>
  <c r="BQ110"/>
  <c r="BP110"/>
  <c r="BO110"/>
  <c r="BN110"/>
  <c r="BM110"/>
  <c r="BL110" s="1"/>
  <c r="BK110"/>
  <c r="BJ110"/>
  <c r="BI110"/>
  <c r="BH110"/>
  <c r="BG110"/>
  <c r="BF110"/>
  <c r="BE110"/>
  <c r="BD110"/>
  <c r="BC110"/>
  <c r="BB110"/>
  <c r="BA110" s="1"/>
  <c r="AX110"/>
  <c r="AW110"/>
  <c r="AV110"/>
  <c r="AC110"/>
  <c r="H110"/>
  <c r="BT109"/>
  <c r="BS109"/>
  <c r="BR109"/>
  <c r="BQ109"/>
  <c r="BP109"/>
  <c r="BO109"/>
  <c r="BN109"/>
  <c r="BM109"/>
  <c r="BK109"/>
  <c r="BJ109"/>
  <c r="BI109"/>
  <c r="BH109"/>
  <c r="BG109"/>
  <c r="BF109"/>
  <c r="BE109"/>
  <c r="BD109"/>
  <c r="BC109"/>
  <c r="BB109"/>
  <c r="BA109"/>
  <c r="AX109"/>
  <c r="AW109"/>
  <c r="AV109"/>
  <c r="AC109"/>
  <c r="H109"/>
  <c r="BT108"/>
  <c r="BS108"/>
  <c r="BR108"/>
  <c r="BQ108"/>
  <c r="BP108"/>
  <c r="BO108"/>
  <c r="BN108"/>
  <c r="BM108"/>
  <c r="BL108"/>
  <c r="BK108"/>
  <c r="BJ108"/>
  <c r="BI108"/>
  <c r="BH108"/>
  <c r="BG108"/>
  <c r="BF108"/>
  <c r="BE108"/>
  <c r="BD108"/>
  <c r="BC108"/>
  <c r="BB108"/>
  <c r="BA108" s="1"/>
  <c r="AZ108" s="1"/>
  <c r="AX108"/>
  <c r="AW108"/>
  <c r="AV108"/>
  <c r="AC108"/>
  <c r="H108"/>
  <c r="G108"/>
  <c r="BT107"/>
  <c r="BS107"/>
  <c r="BR107"/>
  <c r="BQ107"/>
  <c r="BP107"/>
  <c r="BO107"/>
  <c r="BN107"/>
  <c r="BM107"/>
  <c r="BL107" s="1"/>
  <c r="BK107"/>
  <c r="BJ107"/>
  <c r="BI107"/>
  <c r="BH107"/>
  <c r="BG107"/>
  <c r="BF107"/>
  <c r="BE107"/>
  <c r="BD107"/>
  <c r="BC107"/>
  <c r="BB107"/>
  <c r="BA107" s="1"/>
  <c r="AX107"/>
  <c r="AW107"/>
  <c r="AV107"/>
  <c r="AC107"/>
  <c r="H107"/>
  <c r="BT106"/>
  <c r="BS106"/>
  <c r="BR106"/>
  <c r="BQ106"/>
  <c r="BP106"/>
  <c r="BO106"/>
  <c r="BN106"/>
  <c r="BM106"/>
  <c r="BK106"/>
  <c r="BJ106"/>
  <c r="BI106"/>
  <c r="BH106"/>
  <c r="BG106"/>
  <c r="BF106"/>
  <c r="BE106"/>
  <c r="BD106"/>
  <c r="BC106"/>
  <c r="BB106"/>
  <c r="BA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BT104"/>
  <c r="BS104"/>
  <c r="BR104"/>
  <c r="BQ104"/>
  <c r="BP104"/>
  <c r="BO104"/>
  <c r="BN104"/>
  <c r="BM104"/>
  <c r="BK104"/>
  <c r="BJ104"/>
  <c r="BI104"/>
  <c r="BH104"/>
  <c r="BG104"/>
  <c r="BF104"/>
  <c r="BE104"/>
  <c r="BD104"/>
  <c r="BC104"/>
  <c r="BB104"/>
  <c r="AX104"/>
  <c r="AW104"/>
  <c r="AV104"/>
  <c r="AC104"/>
  <c r="H104"/>
  <c r="G104" s="1"/>
  <c r="BT103"/>
  <c r="BS103"/>
  <c r="BR103"/>
  <c r="BQ103"/>
  <c r="BP103"/>
  <c r="BO103"/>
  <c r="BN103"/>
  <c r="BM103"/>
  <c r="BK103"/>
  <c r="BJ103"/>
  <c r="BI103"/>
  <c r="BH103"/>
  <c r="BG103"/>
  <c r="BF103"/>
  <c r="BE103"/>
  <c r="BD103"/>
  <c r="BC103"/>
  <c r="BB103"/>
  <c r="BA103" s="1"/>
  <c r="AX103"/>
  <c r="AW103"/>
  <c r="AV103"/>
  <c r="AC103"/>
  <c r="H103"/>
  <c r="BT102"/>
  <c r="BS102"/>
  <c r="BR102"/>
  <c r="BQ102"/>
  <c r="BP102"/>
  <c r="BO102"/>
  <c r="BN102"/>
  <c r="BM102"/>
  <c r="BL102" s="1"/>
  <c r="BK102"/>
  <c r="BJ102"/>
  <c r="BI102"/>
  <c r="BH102"/>
  <c r="BG102"/>
  <c r="BF102"/>
  <c r="BE102"/>
  <c r="BD102"/>
  <c r="BC102"/>
  <c r="BB102"/>
  <c r="AX102"/>
  <c r="AW102"/>
  <c r="AV102"/>
  <c r="AC102"/>
  <c r="H102"/>
  <c r="BT101"/>
  <c r="BS101"/>
  <c r="BR101"/>
  <c r="BQ101"/>
  <c r="BP101"/>
  <c r="BO101"/>
  <c r="BN101"/>
  <c r="BM101"/>
  <c r="BL101" s="1"/>
  <c r="BK101"/>
  <c r="BJ101"/>
  <c r="BI101"/>
  <c r="BH101"/>
  <c r="BG101"/>
  <c r="BF101"/>
  <c r="BE101"/>
  <c r="BD101"/>
  <c r="BC101"/>
  <c r="BB101"/>
  <c r="AX101"/>
  <c r="AW101"/>
  <c r="AV101"/>
  <c r="AC101"/>
  <c r="H101"/>
  <c r="G101" s="1"/>
  <c r="BT100"/>
  <c r="BS100"/>
  <c r="BR100"/>
  <c r="BQ100"/>
  <c r="BP100"/>
  <c r="BO100"/>
  <c r="BN100"/>
  <c r="BM100"/>
  <c r="BK100"/>
  <c r="BJ100"/>
  <c r="BI100"/>
  <c r="BH100"/>
  <c r="BG100"/>
  <c r="BF100"/>
  <c r="BE100"/>
  <c r="BD100"/>
  <c r="BC100"/>
  <c r="BB100"/>
  <c r="AX100"/>
  <c r="AW100"/>
  <c r="AV100"/>
  <c r="AC100"/>
  <c r="H100"/>
  <c r="G100" s="1"/>
  <c r="BT99"/>
  <c r="BS99"/>
  <c r="BR99"/>
  <c r="BQ99"/>
  <c r="BP99"/>
  <c r="BO99"/>
  <c r="BN99"/>
  <c r="BM99"/>
  <c r="BL99" s="1"/>
  <c r="BK99"/>
  <c r="BJ99"/>
  <c r="BI99"/>
  <c r="BH99"/>
  <c r="BG99"/>
  <c r="BF99"/>
  <c r="BE99"/>
  <c r="BD99"/>
  <c r="BC99"/>
  <c r="BB99"/>
  <c r="AX99"/>
  <c r="AW99"/>
  <c r="AV99"/>
  <c r="AC99"/>
  <c r="H99"/>
  <c r="BT98"/>
  <c r="BS98"/>
  <c r="BR98"/>
  <c r="BQ98"/>
  <c r="BP98"/>
  <c r="BO98"/>
  <c r="BN98"/>
  <c r="BM98"/>
  <c r="BK98"/>
  <c r="BJ98"/>
  <c r="BI98"/>
  <c r="BH98"/>
  <c r="BG98"/>
  <c r="BF98"/>
  <c r="BE98"/>
  <c r="BD98"/>
  <c r="BC98"/>
  <c r="BB98"/>
  <c r="AX98"/>
  <c r="AW98"/>
  <c r="AV98"/>
  <c r="AC98"/>
  <c r="H98"/>
  <c r="G98" s="1"/>
  <c r="BT97"/>
  <c r="BS97"/>
  <c r="BR97"/>
  <c r="BQ97"/>
  <c r="BP97"/>
  <c r="BO97"/>
  <c r="BN97"/>
  <c r="BM97"/>
  <c r="BL97" s="1"/>
  <c r="BK97"/>
  <c r="BJ97"/>
  <c r="BI97"/>
  <c r="BH97"/>
  <c r="BG97"/>
  <c r="BF97"/>
  <c r="BE97"/>
  <c r="BD97"/>
  <c r="BC97"/>
  <c r="BB97"/>
  <c r="AX97"/>
  <c r="AW97"/>
  <c r="AV97"/>
  <c r="AC97"/>
  <c r="H97"/>
  <c r="BT96"/>
  <c r="BS96"/>
  <c r="BR96"/>
  <c r="BQ96"/>
  <c r="BP96"/>
  <c r="BO96"/>
  <c r="BN96"/>
  <c r="BM96"/>
  <c r="BK96"/>
  <c r="BJ96"/>
  <c r="BI96"/>
  <c r="BH96"/>
  <c r="BG96"/>
  <c r="BF96"/>
  <c r="BE96"/>
  <c r="BD96"/>
  <c r="BC96"/>
  <c r="BB96"/>
  <c r="BA96"/>
  <c r="AX96"/>
  <c r="AW96"/>
  <c r="AV96"/>
  <c r="AC96"/>
  <c r="H96"/>
  <c r="BT95"/>
  <c r="BS95"/>
  <c r="BR95"/>
  <c r="BQ95"/>
  <c r="BP95"/>
  <c r="BO95"/>
  <c r="BN95"/>
  <c r="BM95"/>
  <c r="BL95"/>
  <c r="BK95"/>
  <c r="BJ95"/>
  <c r="BI95"/>
  <c r="BH95"/>
  <c r="BG95"/>
  <c r="BF95"/>
  <c r="BE95"/>
  <c r="BD95"/>
  <c r="BC95"/>
  <c r="BB95"/>
  <c r="BA95" s="1"/>
  <c r="AZ95" s="1"/>
  <c r="AX95"/>
  <c r="AW95"/>
  <c r="AV95"/>
  <c r="AC95"/>
  <c r="H95"/>
  <c r="G95"/>
  <c r="BT94"/>
  <c r="BS94"/>
  <c r="BR94"/>
  <c r="BQ94"/>
  <c r="BP94"/>
  <c r="BO94"/>
  <c r="BN94"/>
  <c r="BM94"/>
  <c r="BL94" s="1"/>
  <c r="BK94"/>
  <c r="BJ94"/>
  <c r="BI94"/>
  <c r="BH94"/>
  <c r="BG94"/>
  <c r="BF94"/>
  <c r="BE94"/>
  <c r="BD94"/>
  <c r="BC94"/>
  <c r="BB94"/>
  <c r="BA94" s="1"/>
  <c r="AX94"/>
  <c r="AW94"/>
  <c r="AV94"/>
  <c r="AC94"/>
  <c r="H94"/>
  <c r="BT93"/>
  <c r="BS93"/>
  <c r="BR93"/>
  <c r="BQ93"/>
  <c r="BP93"/>
  <c r="BO93"/>
  <c r="BN93"/>
  <c r="BM93"/>
  <c r="BK93"/>
  <c r="BJ93"/>
  <c r="BI93"/>
  <c r="BH93"/>
  <c r="BG93"/>
  <c r="BF93"/>
  <c r="BE93"/>
  <c r="BD93"/>
  <c r="BC93"/>
  <c r="BB93"/>
  <c r="BA93"/>
  <c r="AX93"/>
  <c r="AW93"/>
  <c r="AV93"/>
  <c r="AC93"/>
  <c r="H93"/>
  <c r="BT92"/>
  <c r="BS92"/>
  <c r="BR92"/>
  <c r="BQ92"/>
  <c r="BP92"/>
  <c r="BO92"/>
  <c r="BN92"/>
  <c r="BM92"/>
  <c r="BL92"/>
  <c r="BK92"/>
  <c r="BJ92"/>
  <c r="BI92"/>
  <c r="BH92"/>
  <c r="BG92"/>
  <c r="BF92"/>
  <c r="BE92"/>
  <c r="BD92"/>
  <c r="BC92"/>
  <c r="BB92"/>
  <c r="BA92" s="1"/>
  <c r="AZ92" s="1"/>
  <c r="AX92"/>
  <c r="AW92"/>
  <c r="AV92"/>
  <c r="AC92"/>
  <c r="H92"/>
  <c r="G92"/>
  <c r="BT91"/>
  <c r="BS91"/>
  <c r="BR91"/>
  <c r="BQ91"/>
  <c r="BP91"/>
  <c r="BO91"/>
  <c r="BN91"/>
  <c r="BM91"/>
  <c r="BL91" s="1"/>
  <c r="BK91"/>
  <c r="BJ91"/>
  <c r="BI91"/>
  <c r="BH91"/>
  <c r="BG91"/>
  <c r="BF91"/>
  <c r="BE91"/>
  <c r="BD91"/>
  <c r="BC91"/>
  <c r="BB91"/>
  <c r="BA91" s="1"/>
  <c r="AX91"/>
  <c r="AW91"/>
  <c r="AV91"/>
  <c r="AC91"/>
  <c r="H91"/>
  <c r="BT90"/>
  <c r="BS90"/>
  <c r="BR90"/>
  <c r="BQ90"/>
  <c r="BP90"/>
  <c r="BO90"/>
  <c r="BN90"/>
  <c r="BM90"/>
  <c r="BK90"/>
  <c r="BJ90"/>
  <c r="BI90"/>
  <c r="BH90"/>
  <c r="BG90"/>
  <c r="BF90"/>
  <c r="BE90"/>
  <c r="BD90"/>
  <c r="BC90"/>
  <c r="BB90"/>
  <c r="BA90"/>
  <c r="AX90"/>
  <c r="AW90"/>
  <c r="AV90"/>
  <c r="AC90"/>
  <c r="H90"/>
  <c r="G90"/>
  <c r="BT89"/>
  <c r="BS89"/>
  <c r="BR89"/>
  <c r="BQ89"/>
  <c r="BP89"/>
  <c r="BO89"/>
  <c r="BN89"/>
  <c r="BM89"/>
  <c r="BL89" s="1"/>
  <c r="BK89"/>
  <c r="BJ89"/>
  <c r="BI89"/>
  <c r="BH89"/>
  <c r="BG89"/>
  <c r="BF89"/>
  <c r="BE89"/>
  <c r="BD89"/>
  <c r="BC89"/>
  <c r="BB89"/>
  <c r="BA89" s="1"/>
  <c r="AX89"/>
  <c r="AW89"/>
  <c r="AV89"/>
  <c r="AC89"/>
  <c r="H89"/>
  <c r="BT88"/>
  <c r="BS88"/>
  <c r="BR88"/>
  <c r="BQ88"/>
  <c r="BP88"/>
  <c r="BO88"/>
  <c r="BN88"/>
  <c r="BM88"/>
  <c r="BK88"/>
  <c r="BJ88"/>
  <c r="BI88"/>
  <c r="BH88"/>
  <c r="BG88"/>
  <c r="BF88"/>
  <c r="BE88"/>
  <c r="BD88"/>
  <c r="BC88"/>
  <c r="BB88"/>
  <c r="AX88"/>
  <c r="AW88"/>
  <c r="AV88"/>
  <c r="AC88"/>
  <c r="H88"/>
  <c r="G88" s="1"/>
  <c r="BT87"/>
  <c r="BS87"/>
  <c r="BR87"/>
  <c r="BQ87"/>
  <c r="BP87"/>
  <c r="BO87"/>
  <c r="BN87"/>
  <c r="BM87"/>
  <c r="BK87"/>
  <c r="BJ87"/>
  <c r="BI87"/>
  <c r="BH87"/>
  <c r="BG87"/>
  <c r="BF87"/>
  <c r="BE87"/>
  <c r="BD87"/>
  <c r="BC87"/>
  <c r="BB87"/>
  <c r="AX87"/>
  <c r="AW87"/>
  <c r="AV87"/>
  <c r="AC87"/>
  <c r="H87"/>
  <c r="G87" s="1"/>
  <c r="BT86"/>
  <c r="BS86"/>
  <c r="BR86"/>
  <c r="BQ86"/>
  <c r="BP86"/>
  <c r="BO86"/>
  <c r="BN86"/>
  <c r="BM86"/>
  <c r="BL86" s="1"/>
  <c r="BK86"/>
  <c r="BJ86"/>
  <c r="BI86"/>
  <c r="BH86"/>
  <c r="BG86"/>
  <c r="BF86"/>
  <c r="BE86"/>
  <c r="BD86"/>
  <c r="BC86"/>
  <c r="BB86"/>
  <c r="AX86"/>
  <c r="AW86"/>
  <c r="AV86"/>
  <c r="AC86"/>
  <c r="H86"/>
  <c r="BT85"/>
  <c r="BS85"/>
  <c r="BR85"/>
  <c r="BQ85"/>
  <c r="BP85"/>
  <c r="BO85"/>
  <c r="BN85"/>
  <c r="BM85"/>
  <c r="BK85"/>
  <c r="BJ85"/>
  <c r="BI85"/>
  <c r="BH85"/>
  <c r="BG85"/>
  <c r="BF85"/>
  <c r="BE85"/>
  <c r="BD85"/>
  <c r="BC85"/>
  <c r="BB85"/>
  <c r="AX85"/>
  <c r="AW85"/>
  <c r="AV85"/>
  <c r="AC85"/>
  <c r="H85"/>
  <c r="G85" s="1"/>
  <c r="BT84"/>
  <c r="BS84"/>
  <c r="BR84"/>
  <c r="BQ84"/>
  <c r="BP84"/>
  <c r="BO84"/>
  <c r="BN84"/>
  <c r="BM84"/>
  <c r="BK84"/>
  <c r="BJ84"/>
  <c r="BI84"/>
  <c r="BH84"/>
  <c r="BG84"/>
  <c r="BF84"/>
  <c r="BE84"/>
  <c r="BD84"/>
  <c r="BC84"/>
  <c r="BB84"/>
  <c r="AX84"/>
  <c r="AW84"/>
  <c r="AV84"/>
  <c r="AC84"/>
  <c r="H84"/>
  <c r="G84" s="1"/>
  <c r="BT83"/>
  <c r="BS83"/>
  <c r="BR83"/>
  <c r="BQ83"/>
  <c r="BP83"/>
  <c r="BO83"/>
  <c r="BN83"/>
  <c r="BM83"/>
  <c r="BK83"/>
  <c r="BJ83"/>
  <c r="BI83"/>
  <c r="BH83"/>
  <c r="BG83"/>
  <c r="BF83"/>
  <c r="BE83"/>
  <c r="BD83"/>
  <c r="BC83"/>
  <c r="BB83"/>
  <c r="BA83" s="1"/>
  <c r="AX83"/>
  <c r="AW83"/>
  <c r="AV83"/>
  <c r="AC83"/>
  <c r="H83"/>
  <c r="BT82"/>
  <c r="BS82"/>
  <c r="BR82"/>
  <c r="BQ82"/>
  <c r="BP82"/>
  <c r="BO82"/>
  <c r="BN82"/>
  <c r="BM82"/>
  <c r="BL82" s="1"/>
  <c r="BK82"/>
  <c r="BJ82"/>
  <c r="BI82"/>
  <c r="BH82"/>
  <c r="BG82"/>
  <c r="BF82"/>
  <c r="BE82"/>
  <c r="BD82"/>
  <c r="BC82"/>
  <c r="BB82"/>
  <c r="AX82"/>
  <c r="AW82"/>
  <c r="AV82"/>
  <c r="AC82"/>
  <c r="H82"/>
  <c r="BT81"/>
  <c r="BS81"/>
  <c r="BR81"/>
  <c r="BQ81"/>
  <c r="BP81"/>
  <c r="BO81"/>
  <c r="BN81"/>
  <c r="BM81"/>
  <c r="BL81" s="1"/>
  <c r="BK81"/>
  <c r="BJ81"/>
  <c r="BI81"/>
  <c r="BH81"/>
  <c r="BG81"/>
  <c r="BF81"/>
  <c r="BE81"/>
  <c r="BD81"/>
  <c r="BC81"/>
  <c r="BB81"/>
  <c r="AX81"/>
  <c r="AW81"/>
  <c r="AV81"/>
  <c r="AC81"/>
  <c r="H81"/>
  <c r="G81" s="1"/>
  <c r="BT80"/>
  <c r="BS80"/>
  <c r="BR80"/>
  <c r="BQ80"/>
  <c r="BP80"/>
  <c r="BO80"/>
  <c r="BN80"/>
  <c r="BM80"/>
  <c r="BK80"/>
  <c r="BJ80"/>
  <c r="BI80"/>
  <c r="BH80"/>
  <c r="BG80"/>
  <c r="BF80"/>
  <c r="BE80"/>
  <c r="BD80"/>
  <c r="BC80"/>
  <c r="BB80"/>
  <c r="AX80"/>
  <c r="AW80"/>
  <c r="AV80"/>
  <c r="AC80"/>
  <c r="H80"/>
  <c r="G80" s="1"/>
  <c r="BT79"/>
  <c r="BS79"/>
  <c r="BR79"/>
  <c r="BQ79"/>
  <c r="BP79"/>
  <c r="BO79"/>
  <c r="BN79"/>
  <c r="BM79"/>
  <c r="BL79" s="1"/>
  <c r="BK79"/>
  <c r="BJ79"/>
  <c r="BI79"/>
  <c r="BH79"/>
  <c r="BG79"/>
  <c r="BF79"/>
  <c r="BE79"/>
  <c r="BD79"/>
  <c r="BC79"/>
  <c r="BB79"/>
  <c r="AX79"/>
  <c r="AW79"/>
  <c r="AV79"/>
  <c r="AC79"/>
  <c r="H79"/>
  <c r="BT78"/>
  <c r="BS78"/>
  <c r="BR78"/>
  <c r="BQ78"/>
  <c r="BP78"/>
  <c r="BO78"/>
  <c r="BN78"/>
  <c r="BM78"/>
  <c r="BK78"/>
  <c r="BJ78"/>
  <c r="BI78"/>
  <c r="BH78"/>
  <c r="BG78"/>
  <c r="BF78"/>
  <c r="BE78"/>
  <c r="BD78"/>
  <c r="BC78"/>
  <c r="BB78"/>
  <c r="AX78"/>
  <c r="AW78"/>
  <c r="AV78"/>
  <c r="AC78"/>
  <c r="H78"/>
  <c r="G78" s="1"/>
  <c r="BT77"/>
  <c r="BS77"/>
  <c r="BR77"/>
  <c r="BQ77"/>
  <c r="BP77"/>
  <c r="BO77"/>
  <c r="BN77"/>
  <c r="BM77"/>
  <c r="BL77" s="1"/>
  <c r="BK77"/>
  <c r="BJ77"/>
  <c r="BI77"/>
  <c r="BH77"/>
  <c r="BG77"/>
  <c r="BF77"/>
  <c r="BE77"/>
  <c r="BD77"/>
  <c r="BC77"/>
  <c r="BB77"/>
  <c r="AX77"/>
  <c r="AW77"/>
  <c r="AV77"/>
  <c r="AC77"/>
  <c r="H77"/>
  <c r="BT76"/>
  <c r="BS76"/>
  <c r="BR76"/>
  <c r="BQ76"/>
  <c r="BP76"/>
  <c r="BO76"/>
  <c r="BN76"/>
  <c r="BM76"/>
  <c r="BK76"/>
  <c r="BJ76"/>
  <c r="BI76"/>
  <c r="BH76"/>
  <c r="BG76"/>
  <c r="BF76"/>
  <c r="BE76"/>
  <c r="BD76"/>
  <c r="BC76"/>
  <c r="BB76"/>
  <c r="BA76"/>
  <c r="AX76"/>
  <c r="AW76"/>
  <c r="AV76"/>
  <c r="AC76"/>
  <c r="H76"/>
  <c r="BT75"/>
  <c r="BS75"/>
  <c r="BR75"/>
  <c r="BQ75"/>
  <c r="BP75"/>
  <c r="BO75"/>
  <c r="BN75"/>
  <c r="BM75"/>
  <c r="BL75"/>
  <c r="BK75"/>
  <c r="BJ75"/>
  <c r="BI75"/>
  <c r="BH75"/>
  <c r="BG75"/>
  <c r="BF75"/>
  <c r="BE75"/>
  <c r="BD75"/>
  <c r="BC75"/>
  <c r="BB75"/>
  <c r="BA75" s="1"/>
  <c r="AZ75" s="1"/>
  <c r="AX75"/>
  <c r="AW75"/>
  <c r="AV75"/>
  <c r="AC75"/>
  <c r="H75"/>
  <c r="G75"/>
  <c r="BT74"/>
  <c r="BS74"/>
  <c r="BR74"/>
  <c r="BQ74"/>
  <c r="BP74"/>
  <c r="BO74"/>
  <c r="BN74"/>
  <c r="BM74"/>
  <c r="BL74" s="1"/>
  <c r="BK74"/>
  <c r="BJ74"/>
  <c r="BI74"/>
  <c r="BH74"/>
  <c r="BG74"/>
  <c r="BF74"/>
  <c r="BE74"/>
  <c r="BD74"/>
  <c r="BC74"/>
  <c r="BB74"/>
  <c r="BA74" s="1"/>
  <c r="AX74"/>
  <c r="AW74"/>
  <c r="AV74"/>
  <c r="AC74"/>
  <c r="H74"/>
  <c r="BT73"/>
  <c r="BS73"/>
  <c r="BR73"/>
  <c r="BQ73"/>
  <c r="BP73"/>
  <c r="BO73"/>
  <c r="BN73"/>
  <c r="BM73"/>
  <c r="BK73"/>
  <c r="BJ73"/>
  <c r="BI73"/>
  <c r="BH73"/>
  <c r="BG73"/>
  <c r="BF73"/>
  <c r="BE73"/>
  <c r="BD73"/>
  <c r="BC73"/>
  <c r="BB73"/>
  <c r="BA73"/>
  <c r="AX73"/>
  <c r="AW73"/>
  <c r="AV73"/>
  <c r="AC73"/>
  <c r="H73"/>
  <c r="BT72"/>
  <c r="BS72"/>
  <c r="BR72"/>
  <c r="BQ72"/>
  <c r="BP72"/>
  <c r="BO72"/>
  <c r="BN72"/>
  <c r="BM72"/>
  <c r="BL72"/>
  <c r="BK72"/>
  <c r="BJ72"/>
  <c r="BI72"/>
  <c r="BH72"/>
  <c r="BG72"/>
  <c r="BF72"/>
  <c r="BE72"/>
  <c r="BD72"/>
  <c r="BC72"/>
  <c r="BB72"/>
  <c r="BA72" s="1"/>
  <c r="AZ72" s="1"/>
  <c r="AX72"/>
  <c r="AW72"/>
  <c r="AV72"/>
  <c r="AC72"/>
  <c r="H72"/>
  <c r="BT71"/>
  <c r="BS71"/>
  <c r="BR71"/>
  <c r="BQ71"/>
  <c r="BP71"/>
  <c r="BO71"/>
  <c r="BN71"/>
  <c r="BM71"/>
  <c r="BK71"/>
  <c r="BJ71"/>
  <c r="BI71"/>
  <c r="BH71"/>
  <c r="BG71"/>
  <c r="BF71"/>
  <c r="BE71"/>
  <c r="BD71"/>
  <c r="BC71"/>
  <c r="BB71"/>
  <c r="BA71"/>
  <c r="AX71"/>
  <c r="AW71"/>
  <c r="AV71"/>
  <c r="AC71"/>
  <c r="H71"/>
  <c r="G71"/>
  <c r="BT70"/>
  <c r="BS70"/>
  <c r="BR70"/>
  <c r="BQ70"/>
  <c r="BP70"/>
  <c r="BO70"/>
  <c r="BN70"/>
  <c r="BM70"/>
  <c r="BL70" s="1"/>
  <c r="BK70"/>
  <c r="BJ70"/>
  <c r="BI70"/>
  <c r="BH70"/>
  <c r="BG70"/>
  <c r="BF70"/>
  <c r="BE70"/>
  <c r="BD70"/>
  <c r="BC70"/>
  <c r="BB70"/>
  <c r="BA70" s="1"/>
  <c r="AX70"/>
  <c r="AW70"/>
  <c r="AV70"/>
  <c r="AC70"/>
  <c r="H70"/>
  <c r="BT69"/>
  <c r="BS69"/>
  <c r="BR69"/>
  <c r="BQ69"/>
  <c r="BP69"/>
  <c r="BO69"/>
  <c r="BN69"/>
  <c r="BM69"/>
  <c r="BK69"/>
  <c r="BJ69"/>
  <c r="BI69"/>
  <c r="BH69"/>
  <c r="BG69"/>
  <c r="BF69"/>
  <c r="BE69"/>
  <c r="BD69"/>
  <c r="BC69"/>
  <c r="BB69"/>
  <c r="BA69"/>
  <c r="AX69"/>
  <c r="AW69"/>
  <c r="AV69"/>
  <c r="AC69"/>
  <c r="H69"/>
  <c r="BT68"/>
  <c r="BS68"/>
  <c r="BR68"/>
  <c r="BQ68"/>
  <c r="BP68"/>
  <c r="BO68"/>
  <c r="BN68"/>
  <c r="BM68"/>
  <c r="BL68"/>
  <c r="BK68"/>
  <c r="BJ68"/>
  <c r="BI68"/>
  <c r="BH68"/>
  <c r="BG68"/>
  <c r="BF68"/>
  <c r="BE68"/>
  <c r="BD68"/>
  <c r="BC68"/>
  <c r="BB68"/>
  <c r="BA68" s="1"/>
  <c r="AZ68" s="1"/>
  <c r="AX68"/>
  <c r="AW68"/>
  <c r="AV68"/>
  <c r="AC68"/>
  <c r="H68"/>
  <c r="G68"/>
  <c r="BT67"/>
  <c r="BS67"/>
  <c r="BR67"/>
  <c r="BQ67"/>
  <c r="BP67"/>
  <c r="BO67"/>
  <c r="BN67"/>
  <c r="BM67"/>
  <c r="BL67" s="1"/>
  <c r="BK67"/>
  <c r="BJ67"/>
  <c r="BI67"/>
  <c r="BH67"/>
  <c r="BG67"/>
  <c r="BF67"/>
  <c r="BE67"/>
  <c r="BD67"/>
  <c r="BC67"/>
  <c r="BB67"/>
  <c r="BA67" s="1"/>
  <c r="AX67"/>
  <c r="AW67"/>
  <c r="AV67"/>
  <c r="AC67"/>
  <c r="H67"/>
  <c r="BT66"/>
  <c r="BS66"/>
  <c r="BR66"/>
  <c r="BQ66"/>
  <c r="BP66"/>
  <c r="BO66"/>
  <c r="BN66"/>
  <c r="BM66"/>
  <c r="BK66"/>
  <c r="BJ66"/>
  <c r="BI66"/>
  <c r="BH66"/>
  <c r="BG66"/>
  <c r="BF66"/>
  <c r="BE66"/>
  <c r="BD66"/>
  <c r="BC66"/>
  <c r="BB66"/>
  <c r="AX66"/>
  <c r="AW66"/>
  <c r="AV66"/>
  <c r="AC66"/>
  <c r="H66"/>
  <c r="G66" s="1"/>
  <c r="BT65"/>
  <c r="BS65"/>
  <c r="BR65"/>
  <c r="BQ65"/>
  <c r="BP65"/>
  <c r="BO65"/>
  <c r="BN65"/>
  <c r="BM65"/>
  <c r="BL65" s="1"/>
  <c r="BK65"/>
  <c r="BJ65"/>
  <c r="BI65"/>
  <c r="BH65"/>
  <c r="BG65"/>
  <c r="BF65"/>
  <c r="BE65"/>
  <c r="BD65"/>
  <c r="BC65"/>
  <c r="BB65"/>
  <c r="AX65"/>
  <c r="AW65"/>
  <c r="AV65"/>
  <c r="AC65"/>
  <c r="H65"/>
  <c r="BT64"/>
  <c r="BS64"/>
  <c r="BR64"/>
  <c r="BQ64"/>
  <c r="BP64"/>
  <c r="BO64"/>
  <c r="BN64"/>
  <c r="BM64"/>
  <c r="BK64"/>
  <c r="BJ64"/>
  <c r="BI64"/>
  <c r="BH64"/>
  <c r="BG64"/>
  <c r="BF64"/>
  <c r="BE64"/>
  <c r="BD64"/>
  <c r="BC64"/>
  <c r="BB64"/>
  <c r="BA64"/>
  <c r="AX64"/>
  <c r="AW64"/>
  <c r="AV64"/>
  <c r="AC64"/>
  <c r="H64"/>
  <c r="BT63"/>
  <c r="BS63"/>
  <c r="BR63"/>
  <c r="BQ63"/>
  <c r="BP63"/>
  <c r="BO63"/>
  <c r="BN63"/>
  <c r="BM63"/>
  <c r="BL63"/>
  <c r="BK63"/>
  <c r="BJ63"/>
  <c r="BI63"/>
  <c r="BH63"/>
  <c r="BG63"/>
  <c r="BF63"/>
  <c r="BE63"/>
  <c r="BD63"/>
  <c r="BC63"/>
  <c r="BB63"/>
  <c r="BA63" s="1"/>
  <c r="AX63"/>
  <c r="AW63"/>
  <c r="AV63"/>
  <c r="AC63"/>
  <c r="H63"/>
  <c r="BT62"/>
  <c r="BS62"/>
  <c r="BR62"/>
  <c r="BQ62"/>
  <c r="BP62"/>
  <c r="BO62"/>
  <c r="BN62"/>
  <c r="BM62"/>
  <c r="BL62"/>
  <c r="BK62"/>
  <c r="BJ62"/>
  <c r="BI62"/>
  <c r="BH62"/>
  <c r="BG62"/>
  <c r="BF62"/>
  <c r="BE62"/>
  <c r="BD62"/>
  <c r="BC62"/>
  <c r="BB62"/>
  <c r="BA62" s="1"/>
  <c r="AZ62" s="1"/>
  <c r="AX62"/>
  <c r="AW62"/>
  <c r="AV62"/>
  <c r="AC62"/>
  <c r="H62"/>
  <c r="G62"/>
  <c r="BT61"/>
  <c r="BS61"/>
  <c r="BR61"/>
  <c r="BQ61"/>
  <c r="BP61"/>
  <c r="BO61"/>
  <c r="BN61"/>
  <c r="BM61"/>
  <c r="BL61" s="1"/>
  <c r="BK61"/>
  <c r="BJ61"/>
  <c r="BI61"/>
  <c r="BH61"/>
  <c r="BG61"/>
  <c r="BF61"/>
  <c r="BE61"/>
  <c r="BD61"/>
  <c r="BC61"/>
  <c r="BB61"/>
  <c r="BA61" s="1"/>
  <c r="AX61"/>
  <c r="AW61"/>
  <c r="AV61"/>
  <c r="AC61"/>
  <c r="H61"/>
  <c r="BT60"/>
  <c r="BS60"/>
  <c r="BR60"/>
  <c r="BQ60"/>
  <c r="BP60"/>
  <c r="BO60"/>
  <c r="BN60"/>
  <c r="BM60"/>
  <c r="BK60"/>
  <c r="BJ60"/>
  <c r="BI60"/>
  <c r="BH60"/>
  <c r="BG60"/>
  <c r="BF60"/>
  <c r="BE60"/>
  <c r="BD60"/>
  <c r="BC60"/>
  <c r="BB60"/>
  <c r="AX60"/>
  <c r="AW60"/>
  <c r="AV60"/>
  <c r="AC60"/>
  <c r="H60"/>
  <c r="G60" s="1"/>
  <c r="BT59"/>
  <c r="BS59"/>
  <c r="BR59"/>
  <c r="BQ59"/>
  <c r="BP59"/>
  <c r="BO59"/>
  <c r="BN59"/>
  <c r="BM59"/>
  <c r="BK59"/>
  <c r="BJ59"/>
  <c r="BI59"/>
  <c r="BH59"/>
  <c r="BG59"/>
  <c r="BF59"/>
  <c r="BE59"/>
  <c r="BD59"/>
  <c r="BC59"/>
  <c r="BB59"/>
  <c r="BA59" s="1"/>
  <c r="AX59"/>
  <c r="AW59"/>
  <c r="AV59"/>
  <c r="AC59"/>
  <c r="H59"/>
  <c r="G59" s="1"/>
  <c r="BT58"/>
  <c r="BS58"/>
  <c r="BR58"/>
  <c r="BQ58"/>
  <c r="BP58"/>
  <c r="BO58"/>
  <c r="BN58"/>
  <c r="BM58"/>
  <c r="BK58"/>
  <c r="BJ58"/>
  <c r="BI58"/>
  <c r="BH58"/>
  <c r="BG58"/>
  <c r="BF58"/>
  <c r="BE58"/>
  <c r="BD58"/>
  <c r="BC58"/>
  <c r="BB58"/>
  <c r="AX58"/>
  <c r="AW58"/>
  <c r="AV58"/>
  <c r="AC58"/>
  <c r="H58"/>
  <c r="BT57"/>
  <c r="BS57"/>
  <c r="BR57"/>
  <c r="BQ57"/>
  <c r="BP57"/>
  <c r="BO57"/>
  <c r="BN57"/>
  <c r="BM57"/>
  <c r="BL57" s="1"/>
  <c r="BK57"/>
  <c r="BJ57"/>
  <c r="BI57"/>
  <c r="BH57"/>
  <c r="BG57"/>
  <c r="BF57"/>
  <c r="BE57"/>
  <c r="BD57"/>
  <c r="BC57"/>
  <c r="BB57"/>
  <c r="AX57"/>
  <c r="AW57"/>
  <c r="AV57"/>
  <c r="AC57"/>
  <c r="H57"/>
  <c r="G57" s="1"/>
  <c r="BT56"/>
  <c r="BS56"/>
  <c r="BR56"/>
  <c r="BQ56"/>
  <c r="BP56"/>
  <c r="BO56"/>
  <c r="BN56"/>
  <c r="BM56"/>
  <c r="BK56"/>
  <c r="BJ56"/>
  <c r="BI56"/>
  <c r="BH56"/>
  <c r="BG56"/>
  <c r="BF56"/>
  <c r="BE56"/>
  <c r="BD56"/>
  <c r="BC56"/>
  <c r="BB56"/>
  <c r="AX56"/>
  <c r="AW56"/>
  <c r="AV56"/>
  <c r="AC56"/>
  <c r="H56"/>
  <c r="G56" s="1"/>
  <c r="BT55"/>
  <c r="BS55"/>
  <c r="BR55"/>
  <c r="BQ55"/>
  <c r="BP55"/>
  <c r="BO55"/>
  <c r="BN55"/>
  <c r="BM55"/>
  <c r="BK55"/>
  <c r="BJ55"/>
  <c r="BI55"/>
  <c r="BH55"/>
  <c r="BG55"/>
  <c r="BF55"/>
  <c r="BE55"/>
  <c r="BD55"/>
  <c r="BC55"/>
  <c r="BB55"/>
  <c r="BA55" s="1"/>
  <c r="AX55"/>
  <c r="AW55"/>
  <c r="AV55"/>
  <c r="AC55"/>
  <c r="H55"/>
  <c r="G55" s="1"/>
  <c r="BT54"/>
  <c r="BS54"/>
  <c r="BR54"/>
  <c r="BQ54"/>
  <c r="BP54"/>
  <c r="BO54"/>
  <c r="BN54"/>
  <c r="BM54"/>
  <c r="BK54"/>
  <c r="BJ54"/>
  <c r="BI54"/>
  <c r="BH54"/>
  <c r="BG54"/>
  <c r="BF54"/>
  <c r="BE54"/>
  <c r="BD54"/>
  <c r="BC54"/>
  <c r="BB54"/>
  <c r="AX54"/>
  <c r="AW54"/>
  <c r="AV54"/>
  <c r="AC54"/>
  <c r="H54"/>
  <c r="G54" s="1"/>
  <c r="BT53"/>
  <c r="BS53"/>
  <c r="BR53"/>
  <c r="BQ53"/>
  <c r="BP53"/>
  <c r="BO53"/>
  <c r="BN53"/>
  <c r="BM53"/>
  <c r="BL53" s="1"/>
  <c r="BK53"/>
  <c r="BJ53"/>
  <c r="BI53"/>
  <c r="BH53"/>
  <c r="BG53"/>
  <c r="BF53"/>
  <c r="BE53"/>
  <c r="BD53"/>
  <c r="BC53"/>
  <c r="BB53"/>
  <c r="AX53"/>
  <c r="AW53"/>
  <c r="AV53"/>
  <c r="AC53"/>
  <c r="H53"/>
  <c r="BT52"/>
  <c r="BS52"/>
  <c r="BR52"/>
  <c r="BQ52"/>
  <c r="BP52"/>
  <c r="BO52"/>
  <c r="BN52"/>
  <c r="BM52"/>
  <c r="BK52"/>
  <c r="BJ52"/>
  <c r="BI52"/>
  <c r="BH52"/>
  <c r="BG52"/>
  <c r="BF52"/>
  <c r="BE52"/>
  <c r="BD52"/>
  <c r="BC52"/>
  <c r="BB52"/>
  <c r="BA52"/>
  <c r="AX52"/>
  <c r="AW52"/>
  <c r="AV52"/>
  <c r="AC52"/>
  <c r="H52"/>
  <c r="BT51"/>
  <c r="BS51"/>
  <c r="BR51"/>
  <c r="BQ51"/>
  <c r="BP51"/>
  <c r="BO51"/>
  <c r="BN51"/>
  <c r="BM51"/>
  <c r="BL51" s="1"/>
  <c r="BK51"/>
  <c r="BJ51"/>
  <c r="BI51"/>
  <c r="BH51"/>
  <c r="BG51"/>
  <c r="BF51"/>
  <c r="BE51"/>
  <c r="BD51"/>
  <c r="BC51"/>
  <c r="BB51"/>
  <c r="AX51"/>
  <c r="AW51"/>
  <c r="AV51"/>
  <c r="AC51"/>
  <c r="H51"/>
  <c r="BT50"/>
  <c r="BS50"/>
  <c r="BR50"/>
  <c r="BQ50"/>
  <c r="BP50"/>
  <c r="BO50"/>
  <c r="BN50"/>
  <c r="BM50"/>
  <c r="BL50" s="1"/>
  <c r="BK50"/>
  <c r="BJ50"/>
  <c r="BI50"/>
  <c r="BH50"/>
  <c r="BG50"/>
  <c r="BF50"/>
  <c r="BE50"/>
  <c r="BD50"/>
  <c r="BC50"/>
  <c r="BB50"/>
  <c r="AX50"/>
  <c r="AW50"/>
  <c r="AV50"/>
  <c r="AC50"/>
  <c r="H50"/>
  <c r="G50" s="1"/>
  <c r="BT49"/>
  <c r="BS49"/>
  <c r="BR49"/>
  <c r="BQ49"/>
  <c r="BP49"/>
  <c r="BO49"/>
  <c r="BN49"/>
  <c r="BM49"/>
  <c r="BK49"/>
  <c r="BJ49"/>
  <c r="BI49"/>
  <c r="BH49"/>
  <c r="BG49"/>
  <c r="BF49"/>
  <c r="BE49"/>
  <c r="BD49"/>
  <c r="BC49"/>
  <c r="BB49"/>
  <c r="AX49"/>
  <c r="AW49"/>
  <c r="AV49"/>
  <c r="AC49"/>
  <c r="H49"/>
  <c r="G49" s="1"/>
  <c r="BT48"/>
  <c r="BS48"/>
  <c r="BR48"/>
  <c r="BQ48"/>
  <c r="BP48"/>
  <c r="BO48"/>
  <c r="BN48"/>
  <c r="BM48"/>
  <c r="BL48" s="1"/>
  <c r="BK48"/>
  <c r="BJ48"/>
  <c r="BI48"/>
  <c r="BH48"/>
  <c r="BG48"/>
  <c r="BF48"/>
  <c r="BE48"/>
  <c r="BD48"/>
  <c r="BC48"/>
  <c r="BB48"/>
  <c r="AX48"/>
  <c r="AW48"/>
  <c r="AV48"/>
  <c r="AC48"/>
  <c r="H48"/>
  <c r="BT47"/>
  <c r="BS47"/>
  <c r="BR47"/>
  <c r="BQ47"/>
  <c r="BP47"/>
  <c r="BO47"/>
  <c r="BN47"/>
  <c r="BM47"/>
  <c r="BK47"/>
  <c r="BJ47"/>
  <c r="BI47"/>
  <c r="BH47"/>
  <c r="BG47"/>
  <c r="BF47"/>
  <c r="BE47"/>
  <c r="BD47"/>
  <c r="BC47"/>
  <c r="BB47"/>
  <c r="AX47"/>
  <c r="AW47"/>
  <c r="AV47"/>
  <c r="AC47"/>
  <c r="H47"/>
  <c r="G47" s="1"/>
  <c r="BT46"/>
  <c r="BS46"/>
  <c r="BR46"/>
  <c r="BQ46"/>
  <c r="BP46"/>
  <c r="BO46"/>
  <c r="BN46"/>
  <c r="BM46"/>
  <c r="BL46" s="1"/>
  <c r="BK46"/>
  <c r="BJ46"/>
  <c r="BI46"/>
  <c r="BH46"/>
  <c r="BG46"/>
  <c r="BF46"/>
  <c r="BE46"/>
  <c r="BD46"/>
  <c r="BC46"/>
  <c r="BB46"/>
  <c r="AX46"/>
  <c r="AW46"/>
  <c r="AV46"/>
  <c r="AC46"/>
  <c r="H46"/>
  <c r="BT45"/>
  <c r="BS45"/>
  <c r="BR45"/>
  <c r="BQ45"/>
  <c r="BP45"/>
  <c r="BO45"/>
  <c r="BN45"/>
  <c r="BM45"/>
  <c r="BK45"/>
  <c r="BJ45"/>
  <c r="BI45"/>
  <c r="BH45"/>
  <c r="BG45"/>
  <c r="BF45"/>
  <c r="BE45"/>
  <c r="BD45"/>
  <c r="BC45"/>
  <c r="BB45"/>
  <c r="BA45"/>
  <c r="AX45"/>
  <c r="AW45"/>
  <c r="AV45"/>
  <c r="AC45"/>
  <c r="H45"/>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s="1"/>
  <c r="AX43"/>
  <c r="AW43"/>
  <c r="AV43"/>
  <c r="AC43"/>
  <c r="H43"/>
  <c r="BT42"/>
  <c r="BS42"/>
  <c r="BR42"/>
  <c r="BQ42"/>
  <c r="BP42"/>
  <c r="BO42"/>
  <c r="BN42"/>
  <c r="BM42"/>
  <c r="BK42"/>
  <c r="BJ42"/>
  <c r="BI42"/>
  <c r="BH42"/>
  <c r="BG42"/>
  <c r="BF42"/>
  <c r="BE42"/>
  <c r="BD42"/>
  <c r="BC42"/>
  <c r="BB42"/>
  <c r="BA42"/>
  <c r="AX42"/>
  <c r="AW42"/>
  <c r="AV42"/>
  <c r="AC42"/>
  <c r="H42"/>
  <c r="BT41"/>
  <c r="BS41"/>
  <c r="BR41"/>
  <c r="BQ41"/>
  <c r="BP41"/>
  <c r="BO41"/>
  <c r="BN41"/>
  <c r="BM41"/>
  <c r="BL41"/>
  <c r="BK41"/>
  <c r="BJ41"/>
  <c r="BI41"/>
  <c r="BH41"/>
  <c r="BG41"/>
  <c r="BF41"/>
  <c r="BE41"/>
  <c r="BD41"/>
  <c r="BC41"/>
  <c r="BB41"/>
  <c r="BA41" s="1"/>
  <c r="AZ41" s="1"/>
  <c r="AX41"/>
  <c r="AW41"/>
  <c r="AV41"/>
  <c r="AC41"/>
  <c r="H41"/>
  <c r="G41"/>
  <c r="BT40"/>
  <c r="BS40"/>
  <c r="BR40"/>
  <c r="BQ40"/>
  <c r="BP40"/>
  <c r="BO40"/>
  <c r="BN40"/>
  <c r="BM40"/>
  <c r="BL40" s="1"/>
  <c r="BK40"/>
  <c r="BJ40"/>
  <c r="BI40"/>
  <c r="BH40"/>
  <c r="BG40"/>
  <c r="BF40"/>
  <c r="BE40"/>
  <c r="BD40"/>
  <c r="BC40"/>
  <c r="BB40"/>
  <c r="BA40" s="1"/>
  <c r="AX40"/>
  <c r="AW40"/>
  <c r="AV40"/>
  <c r="AC40"/>
  <c r="H40"/>
  <c r="BT39"/>
  <c r="BS39"/>
  <c r="BR39"/>
  <c r="BQ39"/>
  <c r="BP39"/>
  <c r="BO39"/>
  <c r="BN39"/>
  <c r="BM39"/>
  <c r="BK39"/>
  <c r="BJ39"/>
  <c r="BI39"/>
  <c r="BH39"/>
  <c r="BG39"/>
  <c r="BF39"/>
  <c r="BE39"/>
  <c r="BD39"/>
  <c r="BC39"/>
  <c r="BB39"/>
  <c r="BA39"/>
  <c r="AX39"/>
  <c r="AW39"/>
  <c r="AV39"/>
  <c r="AC39"/>
  <c r="H39"/>
  <c r="G39"/>
  <c r="BT38"/>
  <c r="BS38"/>
  <c r="BR38"/>
  <c r="BQ38"/>
  <c r="BP38"/>
  <c r="BO38"/>
  <c r="BN38"/>
  <c r="BM38"/>
  <c r="BL38" s="1"/>
  <c r="BK38"/>
  <c r="BJ38"/>
  <c r="BI38"/>
  <c r="BH38"/>
  <c r="BG38"/>
  <c r="BF38"/>
  <c r="BE38"/>
  <c r="BD38"/>
  <c r="BC38"/>
  <c r="BB38"/>
  <c r="BA38" s="1"/>
  <c r="AZ38" s="1"/>
  <c r="AX38"/>
  <c r="AW38"/>
  <c r="AV38"/>
  <c r="AC38"/>
  <c r="H38"/>
  <c r="BT37"/>
  <c r="BS37"/>
  <c r="BR37"/>
  <c r="BQ37"/>
  <c r="BP37"/>
  <c r="BO37"/>
  <c r="BN37"/>
  <c r="BM37"/>
  <c r="BK37"/>
  <c r="BJ37"/>
  <c r="BI37"/>
  <c r="BH37"/>
  <c r="BG37"/>
  <c r="BF37"/>
  <c r="BE37"/>
  <c r="BD37"/>
  <c r="BC37"/>
  <c r="BB37"/>
  <c r="AX37"/>
  <c r="AW37"/>
  <c r="AV37"/>
  <c r="AC37"/>
  <c r="H37"/>
  <c r="BT36"/>
  <c r="BS36"/>
  <c r="BR36"/>
  <c r="BQ36"/>
  <c r="BP36"/>
  <c r="BO36"/>
  <c r="BN36"/>
  <c r="BM36"/>
  <c r="BK36"/>
  <c r="BJ36"/>
  <c r="BI36"/>
  <c r="BH36"/>
  <c r="BG36"/>
  <c r="BF36"/>
  <c r="BE36"/>
  <c r="BD36"/>
  <c r="BC36"/>
  <c r="BB36"/>
  <c r="BA36"/>
  <c r="AX36"/>
  <c r="AW36"/>
  <c r="AV36"/>
  <c r="AC36"/>
  <c r="H36"/>
  <c r="BT35"/>
  <c r="BS35"/>
  <c r="BR35"/>
  <c r="BQ35"/>
  <c r="BP35"/>
  <c r="BO35"/>
  <c r="BN35"/>
  <c r="BM35"/>
  <c r="BL35"/>
  <c r="BK35"/>
  <c r="BJ35"/>
  <c r="BI35"/>
  <c r="BH35"/>
  <c r="BG35"/>
  <c r="BF35"/>
  <c r="BE35"/>
  <c r="BD35"/>
  <c r="BC35"/>
  <c r="BB35"/>
  <c r="BA35" s="1"/>
  <c r="AX35"/>
  <c r="AW35"/>
  <c r="AV35"/>
  <c r="AC35"/>
  <c r="H35"/>
  <c r="BT34"/>
  <c r="BS34"/>
  <c r="BR34"/>
  <c r="BQ34"/>
  <c r="BP34"/>
  <c r="BO34"/>
  <c r="BN34"/>
  <c r="BM34"/>
  <c r="BL34"/>
  <c r="BK34"/>
  <c r="BJ34"/>
  <c r="BI34"/>
  <c r="BH34"/>
  <c r="BG34"/>
  <c r="BF34"/>
  <c r="BE34"/>
  <c r="BD34"/>
  <c r="BC34"/>
  <c r="BB34"/>
  <c r="BA34" s="1"/>
  <c r="AZ34" s="1"/>
  <c r="AX34"/>
  <c r="AW34"/>
  <c r="AV34"/>
  <c r="AC34"/>
  <c r="H34"/>
  <c r="G34"/>
  <c r="BT33"/>
  <c r="BS33"/>
  <c r="BR33"/>
  <c r="BQ33"/>
  <c r="BP33"/>
  <c r="BO33"/>
  <c r="BN33"/>
  <c r="BM33"/>
  <c r="BL33" s="1"/>
  <c r="BK33"/>
  <c r="BJ33"/>
  <c r="BI33"/>
  <c r="BH33"/>
  <c r="BG33"/>
  <c r="BF33"/>
  <c r="BE33"/>
  <c r="BD33"/>
  <c r="BC33"/>
  <c r="BB33"/>
  <c r="BA33" s="1"/>
  <c r="AZ33" s="1"/>
  <c r="AX33"/>
  <c r="AW33"/>
  <c r="AV33"/>
  <c r="AC33"/>
  <c r="H33"/>
  <c r="BT32"/>
  <c r="BS32"/>
  <c r="BR32"/>
  <c r="BQ32"/>
  <c r="BP32"/>
  <c r="BO32"/>
  <c r="BN32"/>
  <c r="BM32"/>
  <c r="BK32"/>
  <c r="BJ32"/>
  <c r="BI32"/>
  <c r="BH32"/>
  <c r="BG32"/>
  <c r="BF32"/>
  <c r="BE32"/>
  <c r="BD32"/>
  <c r="BC32"/>
  <c r="BB32"/>
  <c r="AX32"/>
  <c r="AW32"/>
  <c r="AV32"/>
  <c r="AC32"/>
  <c r="H32"/>
  <c r="G32" s="1"/>
  <c r="BT31"/>
  <c r="BS31"/>
  <c r="BR31"/>
  <c r="BQ31"/>
  <c r="BP31"/>
  <c r="BO31"/>
  <c r="BN31"/>
  <c r="BM31"/>
  <c r="BL31" s="1"/>
  <c r="BK31"/>
  <c r="BJ31"/>
  <c r="BI31"/>
  <c r="BH31"/>
  <c r="BG31"/>
  <c r="BF31"/>
  <c r="BE31"/>
  <c r="BD31"/>
  <c r="BC31"/>
  <c r="BB31"/>
  <c r="AX31"/>
  <c r="AW31"/>
  <c r="AV31"/>
  <c r="AC31"/>
  <c r="H31"/>
  <c r="BT30"/>
  <c r="BS30"/>
  <c r="BR30"/>
  <c r="BQ30"/>
  <c r="BP30"/>
  <c r="BO30"/>
  <c r="BN30"/>
  <c r="BM30"/>
  <c r="BK30"/>
  <c r="BJ30"/>
  <c r="BI30"/>
  <c r="BH30"/>
  <c r="BG30"/>
  <c r="BF30"/>
  <c r="BE30"/>
  <c r="BD30"/>
  <c r="BC30"/>
  <c r="BB30"/>
  <c r="AX30"/>
  <c r="AW30"/>
  <c r="AV30"/>
  <c r="AC30"/>
  <c r="H30"/>
  <c r="G30" s="1"/>
  <c r="BT29"/>
  <c r="BS29"/>
  <c r="BR29"/>
  <c r="BQ29"/>
  <c r="BP29"/>
  <c r="BO29"/>
  <c r="BN29"/>
  <c r="BM29"/>
  <c r="BK29"/>
  <c r="BJ29"/>
  <c r="BI29"/>
  <c r="BH29"/>
  <c r="BG29"/>
  <c r="BF29"/>
  <c r="BE29"/>
  <c r="BD29"/>
  <c r="BC29"/>
  <c r="BB29"/>
  <c r="BA29" s="1"/>
  <c r="AX29"/>
  <c r="AW29"/>
  <c r="AV29"/>
  <c r="AC29"/>
  <c r="H29"/>
  <c r="BT28"/>
  <c r="BS28"/>
  <c r="BR28"/>
  <c r="BQ28"/>
  <c r="BP28"/>
  <c r="BO28"/>
  <c r="BN28"/>
  <c r="BM28"/>
  <c r="BK28"/>
  <c r="BJ28"/>
  <c r="BI28"/>
  <c r="BH28"/>
  <c r="BG28"/>
  <c r="BF28"/>
  <c r="BE28"/>
  <c r="BD28"/>
  <c r="BC28"/>
  <c r="BB28"/>
  <c r="BA28" s="1"/>
  <c r="AX28"/>
  <c r="AW28"/>
  <c r="AV28"/>
  <c r="AC28"/>
  <c r="H28"/>
  <c r="BT27"/>
  <c r="BS27"/>
  <c r="BR27"/>
  <c r="BQ27"/>
  <c r="BP27"/>
  <c r="BO27"/>
  <c r="BN27"/>
  <c r="BM27"/>
  <c r="BL27" s="1"/>
  <c r="BK27"/>
  <c r="BJ27"/>
  <c r="BI27"/>
  <c r="BH27"/>
  <c r="BG27"/>
  <c r="BF27"/>
  <c r="BE27"/>
  <c r="BD27"/>
  <c r="BC27"/>
  <c r="BB27"/>
  <c r="AX27"/>
  <c r="AW27"/>
  <c r="AV27"/>
  <c r="AC27"/>
  <c r="H27"/>
  <c r="BT26"/>
  <c r="BS26"/>
  <c r="BR26"/>
  <c r="BQ26"/>
  <c r="BP26"/>
  <c r="BO26"/>
  <c r="BN26"/>
  <c r="BM26"/>
  <c r="BL26" s="1"/>
  <c r="BK26"/>
  <c r="BJ26"/>
  <c r="BI26"/>
  <c r="BH26"/>
  <c r="BG26"/>
  <c r="BF26"/>
  <c r="BE26"/>
  <c r="BD26"/>
  <c r="BC26"/>
  <c r="BB26"/>
  <c r="AX26"/>
  <c r="AW26"/>
  <c r="AV26"/>
  <c r="AC26"/>
  <c r="H26"/>
  <c r="G26" s="1"/>
  <c r="BT25"/>
  <c r="BS25"/>
  <c r="BR25"/>
  <c r="BQ25"/>
  <c r="BP25"/>
  <c r="BO25"/>
  <c r="BN25"/>
  <c r="BM25"/>
  <c r="BK25"/>
  <c r="BJ25"/>
  <c r="BI25"/>
  <c r="BH25"/>
  <c r="BG25"/>
  <c r="BF25"/>
  <c r="BE25"/>
  <c r="BD25"/>
  <c r="BC25"/>
  <c r="BB25"/>
  <c r="AX25"/>
  <c r="AW25"/>
  <c r="AV25"/>
  <c r="AC25"/>
  <c r="H25"/>
  <c r="G25" s="1"/>
  <c r="BT24"/>
  <c r="BS24"/>
  <c r="BR24"/>
  <c r="BQ24"/>
  <c r="BP24"/>
  <c r="BO24"/>
  <c r="BN24"/>
  <c r="BM24"/>
  <c r="BL24" s="1"/>
  <c r="BK24"/>
  <c r="BJ24"/>
  <c r="BI24"/>
  <c r="BH24"/>
  <c r="BG24"/>
  <c r="BF24"/>
  <c r="BE24"/>
  <c r="BD24"/>
  <c r="BC24"/>
  <c r="BB24"/>
  <c r="AX24"/>
  <c r="AW24"/>
  <c r="AV24"/>
  <c r="AC24"/>
  <c r="H24"/>
  <c r="BT23"/>
  <c r="BS23"/>
  <c r="BR23"/>
  <c r="BQ23"/>
  <c r="BP23"/>
  <c r="BO23"/>
  <c r="BN23"/>
  <c r="BM23"/>
  <c r="BK23"/>
  <c r="BJ23"/>
  <c r="BI23"/>
  <c r="BH23"/>
  <c r="BG23"/>
  <c r="BF23"/>
  <c r="BE23"/>
  <c r="BD23"/>
  <c r="BC23"/>
  <c r="BB23"/>
  <c r="AX23"/>
  <c r="AW23"/>
  <c r="AV23"/>
  <c r="AC23"/>
  <c r="H23"/>
  <c r="G23" s="1"/>
  <c r="BT22"/>
  <c r="BS22"/>
  <c r="BR22"/>
  <c r="BQ22"/>
  <c r="BP22"/>
  <c r="BO22"/>
  <c r="BN22"/>
  <c r="BM22"/>
  <c r="BL22" s="1"/>
  <c r="BK22"/>
  <c r="BJ22"/>
  <c r="BI22"/>
  <c r="BH22"/>
  <c r="BG22"/>
  <c r="BF22"/>
  <c r="BE22"/>
  <c r="BD22"/>
  <c r="BC22"/>
  <c r="BB22"/>
  <c r="AX22"/>
  <c r="AW22"/>
  <c r="AV22"/>
  <c r="AC22"/>
  <c r="H22"/>
  <c r="BT21"/>
  <c r="BS21"/>
  <c r="BR21"/>
  <c r="BQ21"/>
  <c r="BP21"/>
  <c r="BO21"/>
  <c r="BN21"/>
  <c r="BM21"/>
  <c r="BK21"/>
  <c r="BJ21"/>
  <c r="BI21"/>
  <c r="BH21"/>
  <c r="BG21"/>
  <c r="BF21"/>
  <c r="BE21"/>
  <c r="BD21"/>
  <c r="BC21"/>
  <c r="BB21"/>
  <c r="AX21"/>
  <c r="AW21"/>
  <c r="AV21"/>
  <c r="AC21"/>
  <c r="H21"/>
  <c r="BT204"/>
  <c r="BS204"/>
  <c r="BR204"/>
  <c r="BQ204"/>
  <c r="BP204"/>
  <c r="BO204"/>
  <c r="BN204"/>
  <c r="BM204"/>
  <c r="BL204" s="1"/>
  <c r="BK204"/>
  <c r="BJ204"/>
  <c r="BI204"/>
  <c r="BH204"/>
  <c r="BG204"/>
  <c r="BF204"/>
  <c r="BE204"/>
  <c r="BD204"/>
  <c r="BC204"/>
  <c r="BB204"/>
  <c r="AX204"/>
  <c r="AW204"/>
  <c r="AV204"/>
  <c r="AC204"/>
  <c r="H204"/>
  <c r="G204" s="1"/>
  <c r="BT203"/>
  <c r="BS203"/>
  <c r="BR203"/>
  <c r="BQ203"/>
  <c r="BP203"/>
  <c r="BO203"/>
  <c r="BN203"/>
  <c r="BM203"/>
  <c r="BK203"/>
  <c r="BJ203"/>
  <c r="BI203"/>
  <c r="BH203"/>
  <c r="BG203"/>
  <c r="BF203"/>
  <c r="BE203"/>
  <c r="BD203"/>
  <c r="BC203"/>
  <c r="BB203"/>
  <c r="AX203"/>
  <c r="AW203"/>
  <c r="AV203"/>
  <c r="AC203"/>
  <c r="H203"/>
  <c r="G203" s="1"/>
  <c r="BT202"/>
  <c r="BS202"/>
  <c r="BR202"/>
  <c r="BQ202"/>
  <c r="BP202"/>
  <c r="BO202"/>
  <c r="BN202"/>
  <c r="BM202"/>
  <c r="BK202"/>
  <c r="BJ202"/>
  <c r="BI202"/>
  <c r="BH202"/>
  <c r="BG202"/>
  <c r="BF202"/>
  <c r="BE202"/>
  <c r="BD202"/>
  <c r="BC202"/>
  <c r="BB202"/>
  <c r="BA202" s="1"/>
  <c r="AX202"/>
  <c r="AW202"/>
  <c r="AV202"/>
  <c r="AC202"/>
  <c r="H202"/>
  <c r="BT201"/>
  <c r="BS201"/>
  <c r="BR201"/>
  <c r="BQ201"/>
  <c r="BP201"/>
  <c r="BO201"/>
  <c r="BN201"/>
  <c r="BM201"/>
  <c r="BK201"/>
  <c r="BJ201"/>
  <c r="BI201"/>
  <c r="BH201"/>
  <c r="BG201"/>
  <c r="BF201"/>
  <c r="BE201"/>
  <c r="BD201"/>
  <c r="BC201"/>
  <c r="BB201"/>
  <c r="BA201"/>
  <c r="AX201"/>
  <c r="AW201"/>
  <c r="AV201"/>
  <c r="AC201"/>
  <c r="H201"/>
  <c r="G201" s="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BT198"/>
  <c r="BS198"/>
  <c r="BR198"/>
  <c r="BQ198"/>
  <c r="BP198"/>
  <c r="BO198"/>
  <c r="BN198"/>
  <c r="BM198"/>
  <c r="BL198" s="1"/>
  <c r="BK198"/>
  <c r="BJ198"/>
  <c r="BI198"/>
  <c r="BH198"/>
  <c r="BG198"/>
  <c r="BF198"/>
  <c r="BE198"/>
  <c r="BD198"/>
  <c r="BC198"/>
  <c r="BB198"/>
  <c r="BA198" s="1"/>
  <c r="AX198"/>
  <c r="AW198"/>
  <c r="AV198"/>
  <c r="AC198"/>
  <c r="H198"/>
  <c r="BT197"/>
  <c r="BS197"/>
  <c r="BR197"/>
  <c r="BQ197"/>
  <c r="BP197"/>
  <c r="BO197"/>
  <c r="BN197"/>
  <c r="BM197"/>
  <c r="BK197"/>
  <c r="BJ197"/>
  <c r="BI197"/>
  <c r="BH197"/>
  <c r="BG197"/>
  <c r="BF197"/>
  <c r="BE197"/>
  <c r="BD197"/>
  <c r="BC197"/>
  <c r="BB197"/>
  <c r="BA197" s="1"/>
  <c r="AX197"/>
  <c r="AW197"/>
  <c r="AV197"/>
  <c r="AC197"/>
  <c r="H197"/>
  <c r="G197" s="1"/>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L195" s="1"/>
  <c r="BK195"/>
  <c r="BJ195"/>
  <c r="BI195"/>
  <c r="BH195"/>
  <c r="BG195"/>
  <c r="BF195"/>
  <c r="BE195"/>
  <c r="BD195"/>
  <c r="BC195"/>
  <c r="BB195"/>
  <c r="AX195"/>
  <c r="AW195"/>
  <c r="AV195"/>
  <c r="AC195"/>
  <c r="H195"/>
  <c r="BT194"/>
  <c r="BS194"/>
  <c r="BR194"/>
  <c r="BQ194"/>
  <c r="BP194"/>
  <c r="BO194"/>
  <c r="BN194"/>
  <c r="BM194"/>
  <c r="BL194" s="1"/>
  <c r="BK194"/>
  <c r="BJ194"/>
  <c r="BI194"/>
  <c r="BH194"/>
  <c r="BG194"/>
  <c r="BF194"/>
  <c r="BE194"/>
  <c r="BD194"/>
  <c r="BC194"/>
  <c r="BB194"/>
  <c r="AX194"/>
  <c r="AW194"/>
  <c r="AV194"/>
  <c r="AC194"/>
  <c r="H194"/>
  <c r="BT193"/>
  <c r="BS193"/>
  <c r="BR193"/>
  <c r="BQ193"/>
  <c r="BP193"/>
  <c r="BO193"/>
  <c r="BN193"/>
  <c r="BM193"/>
  <c r="BK193"/>
  <c r="BJ193"/>
  <c r="BI193"/>
  <c r="BH193"/>
  <c r="BG193"/>
  <c r="BF193"/>
  <c r="BE193"/>
  <c r="BD193"/>
  <c r="BC193"/>
  <c r="BB193"/>
  <c r="BA193" s="1"/>
  <c r="AX193"/>
  <c r="AW193"/>
  <c r="AV193"/>
  <c r="AC193"/>
  <c r="H193"/>
  <c r="G193" s="1"/>
  <c r="BT192"/>
  <c r="BS192"/>
  <c r="BR192"/>
  <c r="BQ192"/>
  <c r="BP192"/>
  <c r="BO192"/>
  <c r="BN192"/>
  <c r="BM192"/>
  <c r="BK192"/>
  <c r="BJ192"/>
  <c r="BI192"/>
  <c r="BH192"/>
  <c r="BG192"/>
  <c r="BF192"/>
  <c r="BE192"/>
  <c r="BD192"/>
  <c r="BC192"/>
  <c r="BB192"/>
  <c r="AX192"/>
  <c r="AW192"/>
  <c r="AV192"/>
  <c r="AC192"/>
  <c r="H192"/>
  <c r="BT191"/>
  <c r="BS191"/>
  <c r="BR191"/>
  <c r="BQ191"/>
  <c r="BP191"/>
  <c r="BO191"/>
  <c r="BN191"/>
  <c r="BM191"/>
  <c r="BL191" s="1"/>
  <c r="BK191"/>
  <c r="BJ191"/>
  <c r="BI191"/>
  <c r="BH191"/>
  <c r="BG191"/>
  <c r="BF191"/>
  <c r="BE191"/>
  <c r="BD191"/>
  <c r="BC191"/>
  <c r="BB191"/>
  <c r="AX191"/>
  <c r="AW191"/>
  <c r="AV191"/>
  <c r="AC191"/>
  <c r="H191"/>
  <c r="BT190"/>
  <c r="BS190"/>
  <c r="BR190"/>
  <c r="BQ190"/>
  <c r="BP190"/>
  <c r="BO190"/>
  <c r="BN190"/>
  <c r="BM190"/>
  <c r="BL190" s="1"/>
  <c r="BK190"/>
  <c r="BJ190"/>
  <c r="BI190"/>
  <c r="BH190"/>
  <c r="BG190"/>
  <c r="BF190"/>
  <c r="BE190"/>
  <c r="BD190"/>
  <c r="BC190"/>
  <c r="BB190"/>
  <c r="AX190"/>
  <c r="AW190"/>
  <c r="AV190"/>
  <c r="AC190"/>
  <c r="H190"/>
  <c r="BT189"/>
  <c r="BS189"/>
  <c r="BR189"/>
  <c r="BQ189"/>
  <c r="BP189"/>
  <c r="BO189"/>
  <c r="BN189"/>
  <c r="BM189"/>
  <c r="BK189"/>
  <c r="BJ189"/>
  <c r="BI189"/>
  <c r="BH189"/>
  <c r="BG189"/>
  <c r="BF189"/>
  <c r="BE189"/>
  <c r="BD189"/>
  <c r="BC189"/>
  <c r="BB189"/>
  <c r="BA189" s="1"/>
  <c r="AX189"/>
  <c r="AW189"/>
  <c r="AV189"/>
  <c r="AC189"/>
  <c r="H189"/>
  <c r="G189" s="1"/>
  <c r="BT188"/>
  <c r="BS188"/>
  <c r="BR188"/>
  <c r="BQ188"/>
  <c r="BP188"/>
  <c r="BO188"/>
  <c r="BN188"/>
  <c r="BM188"/>
  <c r="BK188"/>
  <c r="BJ188"/>
  <c r="BI188"/>
  <c r="BH188"/>
  <c r="BG188"/>
  <c r="BF188"/>
  <c r="BE188"/>
  <c r="BD188"/>
  <c r="BC188"/>
  <c r="BB188"/>
  <c r="AX188"/>
  <c r="AW188"/>
  <c r="AV188"/>
  <c r="AC188"/>
  <c r="H188"/>
  <c r="BT187"/>
  <c r="BS187"/>
  <c r="BR187"/>
  <c r="BQ187"/>
  <c r="BP187"/>
  <c r="BO187"/>
  <c r="BN187"/>
  <c r="BM187"/>
  <c r="BL187" s="1"/>
  <c r="BK187"/>
  <c r="BJ187"/>
  <c r="BI187"/>
  <c r="BH187"/>
  <c r="BG187"/>
  <c r="BF187"/>
  <c r="BE187"/>
  <c r="BD187"/>
  <c r="BC187"/>
  <c r="BB187"/>
  <c r="AX187"/>
  <c r="AW187"/>
  <c r="AV187"/>
  <c r="AC187"/>
  <c r="H187"/>
  <c r="BT186"/>
  <c r="BS186"/>
  <c r="BR186"/>
  <c r="BQ186"/>
  <c r="BP186"/>
  <c r="BO186"/>
  <c r="BN186"/>
  <c r="BM186"/>
  <c r="BL186" s="1"/>
  <c r="BK186"/>
  <c r="BJ186"/>
  <c r="BI186"/>
  <c r="BH186"/>
  <c r="BG186"/>
  <c r="BF186"/>
  <c r="BE186"/>
  <c r="BD186"/>
  <c r="BC186"/>
  <c r="BB186"/>
  <c r="AX186"/>
  <c r="AW186"/>
  <c r="AV186"/>
  <c r="AC186"/>
  <c r="H186"/>
  <c r="BT185"/>
  <c r="BS185"/>
  <c r="BR185"/>
  <c r="BQ185"/>
  <c r="BP185"/>
  <c r="BO185"/>
  <c r="BN185"/>
  <c r="BM185"/>
  <c r="BK185"/>
  <c r="BJ185"/>
  <c r="BI185"/>
  <c r="BH185"/>
  <c r="BG185"/>
  <c r="BF185"/>
  <c r="BE185"/>
  <c r="BD185"/>
  <c r="BC185"/>
  <c r="BB185"/>
  <c r="BA185" s="1"/>
  <c r="AX185"/>
  <c r="AW185"/>
  <c r="AV185"/>
  <c r="AC185"/>
  <c r="H185"/>
  <c r="G185" s="1"/>
  <c r="BT184"/>
  <c r="BS184"/>
  <c r="BR184"/>
  <c r="BQ184"/>
  <c r="BP184"/>
  <c r="BO184"/>
  <c r="BN184"/>
  <c r="BM184"/>
  <c r="BK184"/>
  <c r="BJ184"/>
  <c r="BI184"/>
  <c r="BH184"/>
  <c r="BG184"/>
  <c r="BF184"/>
  <c r="BE184"/>
  <c r="BD184"/>
  <c r="BC184"/>
  <c r="BB184"/>
  <c r="AX184"/>
  <c r="AW184"/>
  <c r="AV184"/>
  <c r="AC184"/>
  <c r="H184"/>
  <c r="BT183"/>
  <c r="BS183"/>
  <c r="BR183"/>
  <c r="BQ183"/>
  <c r="BP183"/>
  <c r="BO183"/>
  <c r="BN183"/>
  <c r="BM183"/>
  <c r="BL183" s="1"/>
  <c r="BK183"/>
  <c r="BJ183"/>
  <c r="BI183"/>
  <c r="BH183"/>
  <c r="BG183"/>
  <c r="BF183"/>
  <c r="BE183"/>
  <c r="BD183"/>
  <c r="BC183"/>
  <c r="BB183"/>
  <c r="AX183"/>
  <c r="AW183"/>
  <c r="AV183"/>
  <c r="AC183"/>
  <c r="H183"/>
  <c r="BT182"/>
  <c r="BS182"/>
  <c r="BR182"/>
  <c r="BQ182"/>
  <c r="BP182"/>
  <c r="BO182"/>
  <c r="BN182"/>
  <c r="BM182"/>
  <c r="BL182" s="1"/>
  <c r="BK182"/>
  <c r="BJ182"/>
  <c r="BI182"/>
  <c r="BH182"/>
  <c r="BG182"/>
  <c r="BF182"/>
  <c r="BE182"/>
  <c r="BD182"/>
  <c r="BC182"/>
  <c r="BB182"/>
  <c r="AX182"/>
  <c r="AW182"/>
  <c r="AV182"/>
  <c r="AC182"/>
  <c r="H182"/>
  <c r="BT181"/>
  <c r="BS181"/>
  <c r="BR181"/>
  <c r="BQ181"/>
  <c r="BP181"/>
  <c r="BO181"/>
  <c r="BN181"/>
  <c r="BM181"/>
  <c r="BK181"/>
  <c r="BJ181"/>
  <c r="BI181"/>
  <c r="BH181"/>
  <c r="BG181"/>
  <c r="BF181"/>
  <c r="BE181"/>
  <c r="BD181"/>
  <c r="BC181"/>
  <c r="BB181"/>
  <c r="BA181" s="1"/>
  <c r="AX181"/>
  <c r="AW181"/>
  <c r="AV181"/>
  <c r="AC181"/>
  <c r="H181"/>
  <c r="G181" s="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BA179" s="1"/>
  <c r="AX179"/>
  <c r="AW179"/>
  <c r="AV179"/>
  <c r="AC179"/>
  <c r="H179"/>
  <c r="G179" s="1"/>
  <c r="BT178"/>
  <c r="BS178"/>
  <c r="BR178"/>
  <c r="BQ178"/>
  <c r="BP178"/>
  <c r="BO178"/>
  <c r="BN178"/>
  <c r="BM178"/>
  <c r="BK178"/>
  <c r="BJ178"/>
  <c r="BI178"/>
  <c r="BH178"/>
  <c r="BG178"/>
  <c r="BF178"/>
  <c r="BE178"/>
  <c r="BD178"/>
  <c r="BC178"/>
  <c r="BB178"/>
  <c r="AX178"/>
  <c r="AW178"/>
  <c r="AV178"/>
  <c r="AC178"/>
  <c r="H178"/>
  <c r="G178" s="1"/>
  <c r="BT177"/>
  <c r="BS177"/>
  <c r="BR177"/>
  <c r="BQ177"/>
  <c r="BP177"/>
  <c r="BO177"/>
  <c r="BN177"/>
  <c r="BM177"/>
  <c r="BL177" s="1"/>
  <c r="BK177"/>
  <c r="BJ177"/>
  <c r="BI177"/>
  <c r="BH177"/>
  <c r="BG177"/>
  <c r="BF177"/>
  <c r="BE177"/>
  <c r="BD177"/>
  <c r="BC177"/>
  <c r="BB177"/>
  <c r="AX177"/>
  <c r="AW177"/>
  <c r="AV177"/>
  <c r="AC177"/>
  <c r="H177"/>
  <c r="G177" s="1"/>
  <c r="BT176"/>
  <c r="BS176"/>
  <c r="BR176"/>
  <c r="BQ176"/>
  <c r="BP176"/>
  <c r="BO176"/>
  <c r="BN176"/>
  <c r="BM176"/>
  <c r="BL176" s="1"/>
  <c r="BK176"/>
  <c r="BJ176"/>
  <c r="BI176"/>
  <c r="BH176"/>
  <c r="BG176"/>
  <c r="BF176"/>
  <c r="BE176"/>
  <c r="BD176"/>
  <c r="BC176"/>
  <c r="BB176"/>
  <c r="AX176"/>
  <c r="AW176"/>
  <c r="AV176"/>
  <c r="AC176"/>
  <c r="H176"/>
  <c r="G176" s="1"/>
  <c r="BT175"/>
  <c r="BS175"/>
  <c r="BR175"/>
  <c r="BQ175"/>
  <c r="BP175"/>
  <c r="BO175"/>
  <c r="BN175"/>
  <c r="BM175"/>
  <c r="BK175"/>
  <c r="BJ175"/>
  <c r="BI175"/>
  <c r="BH175"/>
  <c r="BG175"/>
  <c r="BF175"/>
  <c r="BE175"/>
  <c r="BD175"/>
  <c r="BC175"/>
  <c r="BB175"/>
  <c r="BA175" s="1"/>
  <c r="AX175"/>
  <c r="AW175"/>
  <c r="AV175"/>
  <c r="AC175"/>
  <c r="H175"/>
  <c r="BT174"/>
  <c r="BS174"/>
  <c r="BR174"/>
  <c r="BQ174"/>
  <c r="BP174"/>
  <c r="BO174"/>
  <c r="BN174"/>
  <c r="BM174"/>
  <c r="BK174"/>
  <c r="BJ174"/>
  <c r="BI174"/>
  <c r="BH174"/>
  <c r="BG174"/>
  <c r="BF174"/>
  <c r="BE174"/>
  <c r="BD174"/>
  <c r="BC174"/>
  <c r="BB174"/>
  <c r="AX174"/>
  <c r="AW174"/>
  <c r="AV174"/>
  <c r="AC174"/>
  <c r="H174"/>
  <c r="G174" s="1"/>
  <c r="BT173"/>
  <c r="BS173"/>
  <c r="BR173"/>
  <c r="BQ173"/>
  <c r="BP173"/>
  <c r="BO173"/>
  <c r="BN173"/>
  <c r="BM173"/>
  <c r="BL173" s="1"/>
  <c r="BK173"/>
  <c r="BJ173"/>
  <c r="BI173"/>
  <c r="BH173"/>
  <c r="BG173"/>
  <c r="BF173"/>
  <c r="BE173"/>
  <c r="BD173"/>
  <c r="BC173"/>
  <c r="BB173"/>
  <c r="AX173"/>
  <c r="AW173"/>
  <c r="AV173"/>
  <c r="AC173"/>
  <c r="H173"/>
  <c r="G173" s="1"/>
  <c r="BT172"/>
  <c r="BS172"/>
  <c r="BR172"/>
  <c r="BQ172"/>
  <c r="BP172"/>
  <c r="BO172"/>
  <c r="BN172"/>
  <c r="BM172"/>
  <c r="BK172"/>
  <c r="BJ172"/>
  <c r="BI172"/>
  <c r="BH172"/>
  <c r="BG172"/>
  <c r="BF172"/>
  <c r="BE172"/>
  <c r="BD172"/>
  <c r="BC172"/>
  <c r="BB172"/>
  <c r="BA172" s="1"/>
  <c r="AX172"/>
  <c r="AW172"/>
  <c r="AV172"/>
  <c r="AC172"/>
  <c r="H172"/>
  <c r="BT171"/>
  <c r="BS171"/>
  <c r="BR171"/>
  <c r="BQ171"/>
  <c r="BP171"/>
  <c r="BO171"/>
  <c r="BN171"/>
  <c r="BM171"/>
  <c r="BL171" s="1"/>
  <c r="BK171"/>
  <c r="BJ171"/>
  <c r="BI171"/>
  <c r="BH171"/>
  <c r="BG171"/>
  <c r="BF171"/>
  <c r="BE171"/>
  <c r="BD171"/>
  <c r="BC171"/>
  <c r="BB171"/>
  <c r="AX171"/>
  <c r="AW171"/>
  <c r="AV171"/>
  <c r="AC171"/>
  <c r="H17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L168"/>
  <c r="BK168"/>
  <c r="BJ168"/>
  <c r="BI168"/>
  <c r="BH168"/>
  <c r="BG168"/>
  <c r="BF168"/>
  <c r="BE168"/>
  <c r="BD168"/>
  <c r="BC168"/>
  <c r="BB168"/>
  <c r="BA168" s="1"/>
  <c r="AZ168" s="1"/>
  <c r="AX168"/>
  <c r="AW168"/>
  <c r="AV168"/>
  <c r="AC168"/>
  <c r="H168"/>
  <c r="G168"/>
  <c r="BT167"/>
  <c r="BS167"/>
  <c r="BR167"/>
  <c r="BQ167"/>
  <c r="BP167"/>
  <c r="BO167"/>
  <c r="BN167"/>
  <c r="BM167"/>
  <c r="BL167" s="1"/>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AX162"/>
  <c r="AW162"/>
  <c r="AV162"/>
  <c r="AC162"/>
  <c r="H162"/>
  <c r="G162" s="1"/>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K160"/>
  <c r="BJ160"/>
  <c r="BI160"/>
  <c r="BH160"/>
  <c r="BG160"/>
  <c r="BF160"/>
  <c r="BE160"/>
  <c r="BD160"/>
  <c r="BC160"/>
  <c r="BB160"/>
  <c r="AX160"/>
  <c r="AW160"/>
  <c r="AV160"/>
  <c r="AC160"/>
  <c r="H160"/>
  <c r="G160" s="1"/>
  <c r="BT159"/>
  <c r="BS159"/>
  <c r="BR159"/>
  <c r="BQ159"/>
  <c r="BP159"/>
  <c r="BO159"/>
  <c r="BN159"/>
  <c r="BM159"/>
  <c r="BK159"/>
  <c r="BJ159"/>
  <c r="BI159"/>
  <c r="BH159"/>
  <c r="BG159"/>
  <c r="BF159"/>
  <c r="BE159"/>
  <c r="BD159"/>
  <c r="BC159"/>
  <c r="BB159"/>
  <c r="BA159" s="1"/>
  <c r="AX159"/>
  <c r="AW159"/>
  <c r="AV159"/>
  <c r="AC159"/>
  <c r="H159"/>
  <c r="BT158"/>
  <c r="BS158"/>
  <c r="BR158"/>
  <c r="BQ158"/>
  <c r="BP158"/>
  <c r="BO158"/>
  <c r="BN158"/>
  <c r="BM158"/>
  <c r="BK158"/>
  <c r="BJ158"/>
  <c r="BI158"/>
  <c r="BH158"/>
  <c r="BG158"/>
  <c r="BF158"/>
  <c r="BE158"/>
  <c r="BD158"/>
  <c r="BC158"/>
  <c r="BB158"/>
  <c r="AX158"/>
  <c r="AW158"/>
  <c r="AV158"/>
  <c r="AC158"/>
  <c r="H158"/>
  <c r="BT157"/>
  <c r="BS157"/>
  <c r="BR157"/>
  <c r="BQ157"/>
  <c r="BP157"/>
  <c r="BO157"/>
  <c r="BN157"/>
  <c r="BM157"/>
  <c r="BK157"/>
  <c r="BJ157"/>
  <c r="BI157"/>
  <c r="BH157"/>
  <c r="BG157"/>
  <c r="BF157"/>
  <c r="BE157"/>
  <c r="BD157"/>
  <c r="BC157"/>
  <c r="BB157"/>
  <c r="AX157"/>
  <c r="AW157"/>
  <c r="AV157"/>
  <c r="AC157"/>
  <c r="H157"/>
  <c r="G157" s="1"/>
  <c r="BT156"/>
  <c r="BS156"/>
  <c r="BR156"/>
  <c r="BQ156"/>
  <c r="BP156"/>
  <c r="BO156"/>
  <c r="BN156"/>
  <c r="BM156"/>
  <c r="BK156"/>
  <c r="BJ156"/>
  <c r="BI156"/>
  <c r="BH156"/>
  <c r="BG156"/>
  <c r="BF156"/>
  <c r="BE156"/>
  <c r="BD156"/>
  <c r="BC156"/>
  <c r="BB156"/>
  <c r="BA156" s="1"/>
  <c r="AX156"/>
  <c r="AW156"/>
  <c r="AV156"/>
  <c r="AC156"/>
  <c r="H156"/>
  <c r="BT155"/>
  <c r="BS155"/>
  <c r="BR155"/>
  <c r="BQ155"/>
  <c r="BP155"/>
  <c r="BO155"/>
  <c r="BN155"/>
  <c r="BM155"/>
  <c r="BL155" s="1"/>
  <c r="BK155"/>
  <c r="BJ155"/>
  <c r="BI155"/>
  <c r="BH155"/>
  <c r="BG155"/>
  <c r="BF155"/>
  <c r="BE155"/>
  <c r="BD155"/>
  <c r="BC155"/>
  <c r="BB155"/>
  <c r="AX155"/>
  <c r="AW155"/>
  <c r="AV155"/>
  <c r="AC155"/>
  <c r="H155"/>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L152" s="1"/>
  <c r="BK152"/>
  <c r="BJ152"/>
  <c r="BI152"/>
  <c r="BH152"/>
  <c r="BG152"/>
  <c r="BF152"/>
  <c r="BE152"/>
  <c r="BD152"/>
  <c r="BC152"/>
  <c r="BB152"/>
  <c r="AX152"/>
  <c r="AW152"/>
  <c r="AV152"/>
  <c r="AC152"/>
  <c r="H152"/>
  <c r="BT151"/>
  <c r="BS151"/>
  <c r="BR151"/>
  <c r="BQ151"/>
  <c r="BP151"/>
  <c r="BO151"/>
  <c r="BN151"/>
  <c r="BM151"/>
  <c r="BK151"/>
  <c r="BJ151"/>
  <c r="BI151"/>
  <c r="BH151"/>
  <c r="BG151"/>
  <c r="BF151"/>
  <c r="BE151"/>
  <c r="BD151"/>
  <c r="BC151"/>
  <c r="BB151"/>
  <c r="BA151" s="1"/>
  <c r="AX151"/>
  <c r="AW151"/>
  <c r="AV151"/>
  <c r="AC151"/>
  <c r="H151"/>
  <c r="G151" s="1"/>
  <c r="BT150"/>
  <c r="BS150"/>
  <c r="BR150"/>
  <c r="BQ150"/>
  <c r="BP150"/>
  <c r="BO150"/>
  <c r="BN150"/>
  <c r="BM150"/>
  <c r="BK150"/>
  <c r="BJ150"/>
  <c r="BI150"/>
  <c r="BH150"/>
  <c r="BG150"/>
  <c r="BF150"/>
  <c r="BE150"/>
  <c r="BD150"/>
  <c r="BC150"/>
  <c r="BB150"/>
  <c r="AX150"/>
  <c r="AW150"/>
  <c r="AV150"/>
  <c r="AC150"/>
  <c r="H150"/>
  <c r="BT149"/>
  <c r="BS149"/>
  <c r="BR149"/>
  <c r="BQ149"/>
  <c r="BP149"/>
  <c r="BO149"/>
  <c r="BN149"/>
  <c r="BM149"/>
  <c r="BL149" s="1"/>
  <c r="BK149"/>
  <c r="BJ149"/>
  <c r="BI149"/>
  <c r="BH149"/>
  <c r="BG149"/>
  <c r="BF149"/>
  <c r="BE149"/>
  <c r="BD149"/>
  <c r="BC149"/>
  <c r="BB149"/>
  <c r="AX149"/>
  <c r="AW149"/>
  <c r="AV149"/>
  <c r="AC149"/>
  <c r="H149"/>
  <c r="G149" s="1"/>
  <c r="BT148"/>
  <c r="BS148"/>
  <c r="BR148"/>
  <c r="BQ148"/>
  <c r="BP148"/>
  <c r="BO148"/>
  <c r="BN148"/>
  <c r="BM148"/>
  <c r="BK148"/>
  <c r="BJ148"/>
  <c r="BI148"/>
  <c r="BH148"/>
  <c r="BG148"/>
  <c r="BF148"/>
  <c r="BE148"/>
  <c r="BD148"/>
  <c r="BC148"/>
  <c r="BB148"/>
  <c r="AX148"/>
  <c r="AW148"/>
  <c r="AV148"/>
  <c r="AC148"/>
  <c r="H148"/>
  <c r="BT147"/>
  <c r="BS147"/>
  <c r="BR147"/>
  <c r="BQ147"/>
  <c r="BP147"/>
  <c r="BO147"/>
  <c r="BN147"/>
  <c r="BM147"/>
  <c r="BK147"/>
  <c r="BJ147"/>
  <c r="BI147"/>
  <c r="BH147"/>
  <c r="BG147"/>
  <c r="BF147"/>
  <c r="BE147"/>
  <c r="BD147"/>
  <c r="BC147"/>
  <c r="BB147"/>
  <c r="BA147" s="1"/>
  <c r="AX147"/>
  <c r="AW147"/>
  <c r="AV147"/>
  <c r="AC147"/>
  <c r="H147"/>
  <c r="BT146"/>
  <c r="BS146"/>
  <c r="BR146"/>
  <c r="BQ146"/>
  <c r="BP146"/>
  <c r="BO146"/>
  <c r="BN146"/>
  <c r="BM146"/>
  <c r="BL146"/>
  <c r="BK146"/>
  <c r="BJ146"/>
  <c r="BI146"/>
  <c r="BH146"/>
  <c r="BG146"/>
  <c r="BF146"/>
  <c r="BE146"/>
  <c r="BD146"/>
  <c r="BC146"/>
  <c r="BB146"/>
  <c r="AX146"/>
  <c r="AW146"/>
  <c r="AV146"/>
  <c r="AC146"/>
  <c r="H146"/>
  <c r="G146"/>
  <c r="BT145"/>
  <c r="BS145"/>
  <c r="BR145"/>
  <c r="BQ145"/>
  <c r="BP145"/>
  <c r="BO145"/>
  <c r="BN145"/>
  <c r="BM145"/>
  <c r="BL145" s="1"/>
  <c r="BK145"/>
  <c r="BJ145"/>
  <c r="BI145"/>
  <c r="BH145"/>
  <c r="BG145"/>
  <c r="BF145"/>
  <c r="BE145"/>
  <c r="BD145"/>
  <c r="BC145"/>
  <c r="BB145"/>
  <c r="BA145" s="1"/>
  <c r="AX145"/>
  <c r="AW145"/>
  <c r="AV145"/>
  <c r="AC145"/>
  <c r="H145"/>
  <c r="BT144"/>
  <c r="BS144"/>
  <c r="BR144"/>
  <c r="BQ144"/>
  <c r="BP144"/>
  <c r="BO144"/>
  <c r="BN144"/>
  <c r="BM144"/>
  <c r="BK144"/>
  <c r="BJ144"/>
  <c r="BI144"/>
  <c r="BH144"/>
  <c r="BG144"/>
  <c r="BF144"/>
  <c r="BE144"/>
  <c r="BD144"/>
  <c r="BC144"/>
  <c r="BB144"/>
  <c r="AX144"/>
  <c r="AW144"/>
  <c r="AV144"/>
  <c r="AC144"/>
  <c r="H144"/>
  <c r="BT143"/>
  <c r="BS143"/>
  <c r="BR143"/>
  <c r="BQ143"/>
  <c r="BP143"/>
  <c r="BO143"/>
  <c r="BN143"/>
  <c r="BM143"/>
  <c r="BK143"/>
  <c r="BJ143"/>
  <c r="BI143"/>
  <c r="BH143"/>
  <c r="BG143"/>
  <c r="BF143"/>
  <c r="BE143"/>
  <c r="BD143"/>
  <c r="BC143"/>
  <c r="BB143"/>
  <c r="BA143" s="1"/>
  <c r="AX143"/>
  <c r="AW143"/>
  <c r="AV143"/>
  <c r="AC143"/>
  <c r="H143"/>
  <c r="BT142"/>
  <c r="BS142"/>
  <c r="BR142"/>
  <c r="BQ142"/>
  <c r="BP142"/>
  <c r="BO142"/>
  <c r="BN142"/>
  <c r="BM142"/>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BA140"/>
  <c r="AX140"/>
  <c r="AW140"/>
  <c r="AV140"/>
  <c r="AC140"/>
  <c r="H140"/>
  <c r="BT139"/>
  <c r="BS139"/>
  <c r="BR139"/>
  <c r="BQ139"/>
  <c r="BP139"/>
  <c r="BO139"/>
  <c r="BN139"/>
  <c r="BM139"/>
  <c r="BK139"/>
  <c r="BJ139"/>
  <c r="BI139"/>
  <c r="BH139"/>
  <c r="BG139"/>
  <c r="BF139"/>
  <c r="BE139"/>
  <c r="BD139"/>
  <c r="BC139"/>
  <c r="BB139"/>
  <c r="BA139"/>
  <c r="AX139"/>
  <c r="AW139"/>
  <c r="AV139"/>
  <c r="AC139"/>
  <c r="H139"/>
  <c r="G139"/>
  <c r="BT138"/>
  <c r="BS138"/>
  <c r="BR138"/>
  <c r="BQ138"/>
  <c r="BP138"/>
  <c r="BO138"/>
  <c r="BN138"/>
  <c r="BM138"/>
  <c r="BL138" s="1"/>
  <c r="BK138"/>
  <c r="BJ138"/>
  <c r="BI138"/>
  <c r="BH138"/>
  <c r="BG138"/>
  <c r="BF138"/>
  <c r="BE138"/>
  <c r="BD138"/>
  <c r="BC138"/>
  <c r="BB138"/>
  <c r="AX138"/>
  <c r="AW138"/>
  <c r="AV138"/>
  <c r="AC138"/>
  <c r="H138"/>
  <c r="BT137"/>
  <c r="BS137"/>
  <c r="BR137"/>
  <c r="BQ137"/>
  <c r="BP137"/>
  <c r="BO137"/>
  <c r="BN137"/>
  <c r="BM137"/>
  <c r="BL137"/>
  <c r="BK137"/>
  <c r="BJ137"/>
  <c r="BI137"/>
  <c r="BH137"/>
  <c r="BG137"/>
  <c r="BF137"/>
  <c r="BE137"/>
  <c r="BD137"/>
  <c r="BC137"/>
  <c r="BB137"/>
  <c r="BA137" s="1"/>
  <c r="AX137"/>
  <c r="AW137"/>
  <c r="AV137"/>
  <c r="AC137"/>
  <c r="H137"/>
  <c r="BT136"/>
  <c r="BS136"/>
  <c r="BR136"/>
  <c r="BQ136"/>
  <c r="BP136"/>
  <c r="BO136"/>
  <c r="BN136"/>
  <c r="BM136"/>
  <c r="BL136"/>
  <c r="BK136"/>
  <c r="BJ136"/>
  <c r="BI136"/>
  <c r="BH136"/>
  <c r="BG136"/>
  <c r="BF136"/>
  <c r="BE136"/>
  <c r="BD136"/>
  <c r="BC136"/>
  <c r="BB136"/>
  <c r="BA136" s="1"/>
  <c r="AZ136" s="1"/>
  <c r="AX136"/>
  <c r="AW136"/>
  <c r="AV136"/>
  <c r="AC136"/>
  <c r="H136"/>
  <c r="BT135"/>
  <c r="BS135"/>
  <c r="BR135"/>
  <c r="BQ135"/>
  <c r="BP135"/>
  <c r="BO135"/>
  <c r="BN135"/>
  <c r="BM135"/>
  <c r="BK135"/>
  <c r="BJ135"/>
  <c r="BI135"/>
  <c r="BH135"/>
  <c r="BG135"/>
  <c r="BF135"/>
  <c r="BE135"/>
  <c r="BD135"/>
  <c r="BC135"/>
  <c r="BB135"/>
  <c r="BA135"/>
  <c r="AX135"/>
  <c r="AW135"/>
  <c r="AV135"/>
  <c r="AC135"/>
  <c r="H135"/>
  <c r="G135"/>
  <c r="BT134"/>
  <c r="BS134"/>
  <c r="BR134"/>
  <c r="BQ134"/>
  <c r="BP134"/>
  <c r="BO134"/>
  <c r="BN134"/>
  <c r="BM134"/>
  <c r="BL134" s="1"/>
  <c r="BK134"/>
  <c r="BJ134"/>
  <c r="BI134"/>
  <c r="BH134"/>
  <c r="BG134"/>
  <c r="BF134"/>
  <c r="BE134"/>
  <c r="BD134"/>
  <c r="BC134"/>
  <c r="BB134"/>
  <c r="AX134"/>
  <c r="AW134"/>
  <c r="AV134"/>
  <c r="AC134"/>
  <c r="H134"/>
  <c r="BT133"/>
  <c r="BS133"/>
  <c r="BR133"/>
  <c r="BQ133"/>
  <c r="BP133"/>
  <c r="BO133"/>
  <c r="BN133"/>
  <c r="BM133"/>
  <c r="BL133"/>
  <c r="BK133"/>
  <c r="BJ133"/>
  <c r="BI133"/>
  <c r="BH133"/>
  <c r="BG133"/>
  <c r="BF133"/>
  <c r="BE133"/>
  <c r="BD133"/>
  <c r="BC133"/>
  <c r="BB133"/>
  <c r="BA133" s="1"/>
  <c r="AZ133" s="1"/>
  <c r="AX133"/>
  <c r="AW133"/>
  <c r="AV133"/>
  <c r="AC133"/>
  <c r="H133"/>
  <c r="G133"/>
  <c r="BT132"/>
  <c r="BS132"/>
  <c r="BR132"/>
  <c r="BQ132"/>
  <c r="BP132"/>
  <c r="BO132"/>
  <c r="BN132"/>
  <c r="BM132"/>
  <c r="BL132" s="1"/>
  <c r="BK132"/>
  <c r="BJ132"/>
  <c r="BI132"/>
  <c r="BH132"/>
  <c r="BG132"/>
  <c r="BF132"/>
  <c r="BE132"/>
  <c r="BD132"/>
  <c r="BC132"/>
  <c r="BB132"/>
  <c r="BA132" s="1"/>
  <c r="AX132"/>
  <c r="AW132"/>
  <c r="AV132"/>
  <c r="AC132"/>
  <c r="H132"/>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L130" s="1"/>
  <c r="BK130"/>
  <c r="BJ130"/>
  <c r="BI130"/>
  <c r="BH130"/>
  <c r="BG130"/>
  <c r="BF130"/>
  <c r="BE130"/>
  <c r="BD130"/>
  <c r="BC130"/>
  <c r="BB130"/>
  <c r="AX130"/>
  <c r="AW130"/>
  <c r="AV130"/>
  <c r="AC130"/>
  <c r="H130"/>
  <c r="G130" s="1"/>
  <c r="BT129"/>
  <c r="BS129"/>
  <c r="BR129"/>
  <c r="BQ129"/>
  <c r="BP129"/>
  <c r="BO129"/>
  <c r="BN129"/>
  <c r="BM129"/>
  <c r="BK129"/>
  <c r="BJ129"/>
  <c r="BI129"/>
  <c r="BH129"/>
  <c r="BG129"/>
  <c r="BF129"/>
  <c r="BE129"/>
  <c r="BD129"/>
  <c r="BC129"/>
  <c r="BB129"/>
  <c r="AX129"/>
  <c r="AW129"/>
  <c r="AV129"/>
  <c r="AC129"/>
  <c r="H129"/>
  <c r="G129" s="1"/>
  <c r="BT128"/>
  <c r="BS128"/>
  <c r="BR128"/>
  <c r="BQ128"/>
  <c r="BP128"/>
  <c r="BO128"/>
  <c r="BN128"/>
  <c r="BM128"/>
  <c r="BL128" s="1"/>
  <c r="BK128"/>
  <c r="BJ128"/>
  <c r="BI128"/>
  <c r="BH128"/>
  <c r="BG128"/>
  <c r="BF128"/>
  <c r="BE128"/>
  <c r="BD128"/>
  <c r="BC128"/>
  <c r="BB128"/>
  <c r="AX128"/>
  <c r="AW128"/>
  <c r="AV128"/>
  <c r="AC128"/>
  <c r="H128"/>
  <c r="BT127"/>
  <c r="BS127"/>
  <c r="BR127"/>
  <c r="BQ127"/>
  <c r="BP127"/>
  <c r="BO127"/>
  <c r="BN127"/>
  <c r="BM127"/>
  <c r="BK127"/>
  <c r="BJ127"/>
  <c r="BI127"/>
  <c r="BH127"/>
  <c r="BG127"/>
  <c r="BF127"/>
  <c r="BE127"/>
  <c r="BD127"/>
  <c r="BC127"/>
  <c r="BB127"/>
  <c r="AX127"/>
  <c r="AW127"/>
  <c r="AV127"/>
  <c r="AC127"/>
  <c r="H127"/>
  <c r="G127" s="1"/>
  <c r="BT126"/>
  <c r="BS126"/>
  <c r="BR126"/>
  <c r="BQ126"/>
  <c r="BP126"/>
  <c r="BO126"/>
  <c r="BN126"/>
  <c r="BM126"/>
  <c r="BK126"/>
  <c r="BJ126"/>
  <c r="BI126"/>
  <c r="BH126"/>
  <c r="BG126"/>
  <c r="BF126"/>
  <c r="BE126"/>
  <c r="BD126"/>
  <c r="BC126"/>
  <c r="BB126"/>
  <c r="AX126"/>
  <c r="AW126"/>
  <c r="AV126"/>
  <c r="AC126"/>
  <c r="H126"/>
  <c r="BT125"/>
  <c r="BS125"/>
  <c r="BR125"/>
  <c r="BQ125"/>
  <c r="BP125"/>
  <c r="BO125"/>
  <c r="BN125"/>
  <c r="BM125"/>
  <c r="BK125"/>
  <c r="BJ125"/>
  <c r="BI125"/>
  <c r="BH125"/>
  <c r="BG125"/>
  <c r="BF125"/>
  <c r="BE125"/>
  <c r="BD125"/>
  <c r="BC125"/>
  <c r="BB125"/>
  <c r="AX125"/>
  <c r="AW125"/>
  <c r="AV125"/>
  <c r="AC125"/>
  <c r="H125"/>
  <c r="G125" s="1"/>
  <c r="BT124"/>
  <c r="BS124"/>
  <c r="BR124"/>
  <c r="BQ124"/>
  <c r="BP124"/>
  <c r="BO124"/>
  <c r="BN124"/>
  <c r="BM124"/>
  <c r="BK124"/>
  <c r="BJ124"/>
  <c r="BI124"/>
  <c r="BH124"/>
  <c r="BG124"/>
  <c r="BF124"/>
  <c r="BE124"/>
  <c r="BD124"/>
  <c r="BC124"/>
  <c r="BB124"/>
  <c r="BA124" s="1"/>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K122"/>
  <c r="BJ122"/>
  <c r="BI122"/>
  <c r="BH122"/>
  <c r="BG122"/>
  <c r="BF122"/>
  <c r="BE122"/>
  <c r="BD122"/>
  <c r="BC122"/>
  <c r="BB122"/>
  <c r="AX122"/>
  <c r="AW122"/>
  <c r="AV122"/>
  <c r="AC122"/>
  <c r="H122"/>
  <c r="BT121"/>
  <c r="BS121"/>
  <c r="BR121"/>
  <c r="BQ121"/>
  <c r="BP121"/>
  <c r="BO121"/>
  <c r="BN121"/>
  <c r="BM121"/>
  <c r="BL121" s="1"/>
  <c r="BK121"/>
  <c r="BJ121"/>
  <c r="BI121"/>
  <c r="BH121"/>
  <c r="BG121"/>
  <c r="BF121"/>
  <c r="BE121"/>
  <c r="BD121"/>
  <c r="BC121"/>
  <c r="BB121"/>
  <c r="AX121"/>
  <c r="AW121"/>
  <c r="AV121"/>
  <c r="AC121"/>
  <c r="H121"/>
  <c r="BT120"/>
  <c r="BS120"/>
  <c r="BR120"/>
  <c r="BQ120"/>
  <c r="BP120"/>
  <c r="BO120"/>
  <c r="BN120"/>
  <c r="BM120"/>
  <c r="BL120" s="1"/>
  <c r="BK120"/>
  <c r="BJ120"/>
  <c r="BI120"/>
  <c r="BH120"/>
  <c r="BG120"/>
  <c r="BF120"/>
  <c r="BE120"/>
  <c r="BD120"/>
  <c r="BC120"/>
  <c r="BB120"/>
  <c r="AX120"/>
  <c r="AW120"/>
  <c r="AV120"/>
  <c r="AC120"/>
  <c r="H120"/>
  <c r="BT119"/>
  <c r="BS119"/>
  <c r="BR119"/>
  <c r="BQ119"/>
  <c r="BP119"/>
  <c r="BO119"/>
  <c r="BN119"/>
  <c r="BM119"/>
  <c r="BK119"/>
  <c r="BJ119"/>
  <c r="BI119"/>
  <c r="BH119"/>
  <c r="BG119"/>
  <c r="BF119"/>
  <c r="BE119"/>
  <c r="BD119"/>
  <c r="BC119"/>
  <c r="BB119"/>
  <c r="BA119" s="1"/>
  <c r="AX119"/>
  <c r="AW119"/>
  <c r="AV119"/>
  <c r="AC119"/>
  <c r="H119"/>
  <c r="G119" s="1"/>
  <c r="BT118"/>
  <c r="BS118"/>
  <c r="BR118"/>
  <c r="BQ118"/>
  <c r="BP118"/>
  <c r="BO118"/>
  <c r="BN118"/>
  <c r="BM118"/>
  <c r="BK118"/>
  <c r="BJ118"/>
  <c r="BI118"/>
  <c r="BH118"/>
  <c r="BG118"/>
  <c r="BF118"/>
  <c r="BE118"/>
  <c r="BD118"/>
  <c r="BC118"/>
  <c r="BB118"/>
  <c r="AX118"/>
  <c r="AW118"/>
  <c r="AV118"/>
  <c r="AC118"/>
  <c r="H118"/>
  <c r="BT117"/>
  <c r="BS117"/>
  <c r="BR117"/>
  <c r="BQ117"/>
  <c r="BP117"/>
  <c r="BO117"/>
  <c r="BN117"/>
  <c r="BM117"/>
  <c r="BL117" s="1"/>
  <c r="BK117"/>
  <c r="BJ117"/>
  <c r="BI117"/>
  <c r="BH117"/>
  <c r="BG117"/>
  <c r="BF117"/>
  <c r="BE117"/>
  <c r="BD117"/>
  <c r="BC117"/>
  <c r="BB117"/>
  <c r="AX117"/>
  <c r="AW117"/>
  <c r="AV117"/>
  <c r="AC117"/>
  <c r="H117"/>
  <c r="G117" s="1"/>
  <c r="BT116"/>
  <c r="BS116"/>
  <c r="BR116"/>
  <c r="BQ116"/>
  <c r="BP116"/>
  <c r="BO116"/>
  <c r="BN116"/>
  <c r="BM116"/>
  <c r="BK116"/>
  <c r="BJ116"/>
  <c r="BI116"/>
  <c r="BH116"/>
  <c r="BG116"/>
  <c r="BF116"/>
  <c r="BE116"/>
  <c r="BD116"/>
  <c r="BC116"/>
  <c r="BB116"/>
  <c r="AX116"/>
  <c r="AW116"/>
  <c r="AV116"/>
  <c r="AC116"/>
  <c r="H116"/>
  <c r="BT115"/>
  <c r="BS115"/>
  <c r="BR115"/>
  <c r="BQ115"/>
  <c r="BP115"/>
  <c r="BO115"/>
  <c r="BN115"/>
  <c r="BM115"/>
  <c r="BK115"/>
  <c r="BJ115"/>
  <c r="BI115"/>
  <c r="BH115"/>
  <c r="BG115"/>
  <c r="BF115"/>
  <c r="BE115"/>
  <c r="BD115"/>
  <c r="BC115"/>
  <c r="BB115"/>
  <c r="BA115" s="1"/>
  <c r="AX115"/>
  <c r="AW115"/>
  <c r="AV115"/>
  <c r="AC115"/>
  <c r="H115"/>
  <c r="BT114"/>
  <c r="BS114"/>
  <c r="BR114"/>
  <c r="BQ114"/>
  <c r="BP114"/>
  <c r="BO114"/>
  <c r="BN114"/>
  <c r="BM114"/>
  <c r="BL114"/>
  <c r="BK114"/>
  <c r="BJ114"/>
  <c r="BI114"/>
  <c r="BH114"/>
  <c r="BG114"/>
  <c r="BF114"/>
  <c r="BE114"/>
  <c r="BD114"/>
  <c r="BC114"/>
  <c r="BB114"/>
  <c r="AX114"/>
  <c r="AW114"/>
  <c r="AV114"/>
  <c r="AC114"/>
  <c r="H114"/>
  <c r="G114"/>
  <c r="BT113"/>
  <c r="BS113"/>
  <c r="BR113"/>
  <c r="BQ113"/>
  <c r="BP113"/>
  <c r="BO113"/>
  <c r="BN113"/>
  <c r="BM113"/>
  <c r="BL113" s="1"/>
  <c r="BK113"/>
  <c r="BJ113"/>
  <c r="BI113"/>
  <c r="BH113"/>
  <c r="BG113"/>
  <c r="BF113"/>
  <c r="BE113"/>
  <c r="BD113"/>
  <c r="BC113"/>
  <c r="BB113"/>
  <c r="BA113" s="1"/>
  <c r="AX113"/>
  <c r="AW113"/>
  <c r="AV113"/>
  <c r="AC113"/>
  <c r="H113"/>
  <c r="BT296"/>
  <c r="BS296"/>
  <c r="BR296"/>
  <c r="BQ296"/>
  <c r="BP296"/>
  <c r="BO296"/>
  <c r="BN296"/>
  <c r="BM296"/>
  <c r="BK296"/>
  <c r="BJ296"/>
  <c r="BI296"/>
  <c r="BH296"/>
  <c r="BG296"/>
  <c r="BF296"/>
  <c r="BE296"/>
  <c r="BD296"/>
  <c r="BC296"/>
  <c r="BB296"/>
  <c r="AX296"/>
  <c r="AW296"/>
  <c r="AV296"/>
  <c r="AC296"/>
  <c r="H296"/>
  <c r="G296" s="1"/>
  <c r="BT295"/>
  <c r="BS295"/>
  <c r="BR295"/>
  <c r="BQ295"/>
  <c r="BP295"/>
  <c r="BO295"/>
  <c r="BN295"/>
  <c r="BM295"/>
  <c r="BK295"/>
  <c r="BJ295"/>
  <c r="BI295"/>
  <c r="BH295"/>
  <c r="BG295"/>
  <c r="BF295"/>
  <c r="BE295"/>
  <c r="BD295"/>
  <c r="BC295"/>
  <c r="BB295"/>
  <c r="BA295" s="1"/>
  <c r="AX295"/>
  <c r="AW295"/>
  <c r="AV295"/>
  <c r="AC295"/>
  <c r="H295"/>
  <c r="G295" s="1"/>
  <c r="BT294"/>
  <c r="BS294"/>
  <c r="BR294"/>
  <c r="BQ294"/>
  <c r="BP294"/>
  <c r="BO294"/>
  <c r="BN294"/>
  <c r="BM294"/>
  <c r="BK294"/>
  <c r="BJ294"/>
  <c r="BI294"/>
  <c r="BH294"/>
  <c r="BG294"/>
  <c r="BF294"/>
  <c r="BE294"/>
  <c r="BD294"/>
  <c r="BC294"/>
  <c r="BB294"/>
  <c r="AX294"/>
  <c r="AW294"/>
  <c r="AV294"/>
  <c r="AC294"/>
  <c r="H294"/>
  <c r="G294" s="1"/>
  <c r="BT293"/>
  <c r="BS293"/>
  <c r="BR293"/>
  <c r="BQ293"/>
  <c r="BP293"/>
  <c r="BO293"/>
  <c r="BN293"/>
  <c r="BM293"/>
  <c r="BL293" s="1"/>
  <c r="BK293"/>
  <c r="BJ293"/>
  <c r="BI293"/>
  <c r="BH293"/>
  <c r="BG293"/>
  <c r="BF293"/>
  <c r="BE293"/>
  <c r="BD293"/>
  <c r="BC293"/>
  <c r="BB293"/>
  <c r="AX293"/>
  <c r="AW293"/>
  <c r="AV293"/>
  <c r="AC293"/>
  <c r="H293"/>
  <c r="BT292"/>
  <c r="BS292"/>
  <c r="BR292"/>
  <c r="BQ292"/>
  <c r="BP292"/>
  <c r="BO292"/>
  <c r="BN292"/>
  <c r="BM292"/>
  <c r="BK292"/>
  <c r="BJ292"/>
  <c r="BI292"/>
  <c r="BH292"/>
  <c r="BG292"/>
  <c r="BF292"/>
  <c r="BE292"/>
  <c r="BD292"/>
  <c r="BC292"/>
  <c r="BB292"/>
  <c r="BA292"/>
  <c r="AX292"/>
  <c r="AW292"/>
  <c r="AV292"/>
  <c r="AC292"/>
  <c r="H292"/>
  <c r="G292"/>
  <c r="BT291"/>
  <c r="BS291"/>
  <c r="BR291"/>
  <c r="BQ291"/>
  <c r="BP291"/>
  <c r="BO291"/>
  <c r="BN291"/>
  <c r="BM291"/>
  <c r="BL291" s="1"/>
  <c r="BK291"/>
  <c r="BJ291"/>
  <c r="BI291"/>
  <c r="BH291"/>
  <c r="BG291"/>
  <c r="BF291"/>
  <c r="BE291"/>
  <c r="BD291"/>
  <c r="BC291"/>
  <c r="BB291"/>
  <c r="BA291" s="1"/>
  <c r="AZ291" s="1"/>
  <c r="AX291"/>
  <c r="AW291"/>
  <c r="AV291"/>
  <c r="AC291"/>
  <c r="H291"/>
  <c r="BT290"/>
  <c r="BS290"/>
  <c r="BR290"/>
  <c r="BQ290"/>
  <c r="BP290"/>
  <c r="BO290"/>
  <c r="BN290"/>
  <c r="BM290"/>
  <c r="BK290"/>
  <c r="BJ290"/>
  <c r="BI290"/>
  <c r="BH290"/>
  <c r="BG290"/>
  <c r="BF290"/>
  <c r="BE290"/>
  <c r="BD290"/>
  <c r="BC290"/>
  <c r="BB290"/>
  <c r="AX290"/>
  <c r="AW290"/>
  <c r="AV290"/>
  <c r="AC290"/>
  <c r="H290"/>
  <c r="G290" s="1"/>
  <c r="BT289"/>
  <c r="BS289"/>
  <c r="BR289"/>
  <c r="BQ289"/>
  <c r="BP289"/>
  <c r="BO289"/>
  <c r="BN289"/>
  <c r="BM289"/>
  <c r="BL289" s="1"/>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AX288"/>
  <c r="AW288"/>
  <c r="AV288"/>
  <c r="AC288"/>
  <c r="H288"/>
  <c r="G288" s="1"/>
  <c r="BT287"/>
  <c r="BS287"/>
  <c r="BR287"/>
  <c r="BQ287"/>
  <c r="BP287"/>
  <c r="BO287"/>
  <c r="BN287"/>
  <c r="BM287"/>
  <c r="BK287"/>
  <c r="BJ287"/>
  <c r="BI287"/>
  <c r="BH287"/>
  <c r="BG287"/>
  <c r="BF287"/>
  <c r="BE287"/>
  <c r="BD287"/>
  <c r="BC287"/>
  <c r="BB287"/>
  <c r="BA287" s="1"/>
  <c r="AX287"/>
  <c r="AW287"/>
  <c r="AV287"/>
  <c r="AC287"/>
  <c r="H287"/>
  <c r="BT286"/>
  <c r="BS286"/>
  <c r="BR286"/>
  <c r="BQ286"/>
  <c r="BP286"/>
  <c r="BO286"/>
  <c r="BN286"/>
  <c r="BM286"/>
  <c r="BL286" s="1"/>
  <c r="BK286"/>
  <c r="BJ286"/>
  <c r="BI286"/>
  <c r="BH286"/>
  <c r="BG286"/>
  <c r="BF286"/>
  <c r="BE286"/>
  <c r="BD286"/>
  <c r="BC286"/>
  <c r="BB286"/>
  <c r="AX286"/>
  <c r="AW286"/>
  <c r="AV286"/>
  <c r="AC286"/>
  <c r="H286"/>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AX284"/>
  <c r="AW284"/>
  <c r="AV284"/>
  <c r="AC284"/>
  <c r="H284"/>
  <c r="G284" s="1"/>
  <c r="BT283"/>
  <c r="BS283"/>
  <c r="BR283"/>
  <c r="BQ283"/>
  <c r="BP283"/>
  <c r="BO283"/>
  <c r="BN283"/>
  <c r="BM283"/>
  <c r="BL283" s="1"/>
  <c r="BK283"/>
  <c r="BJ283"/>
  <c r="BI283"/>
  <c r="BH283"/>
  <c r="BG283"/>
  <c r="BF283"/>
  <c r="BE283"/>
  <c r="BD283"/>
  <c r="BC283"/>
  <c r="BB283"/>
  <c r="BA283" s="1"/>
  <c r="AZ283" s="1"/>
  <c r="AX283"/>
  <c r="AW283"/>
  <c r="AV283"/>
  <c r="AC283"/>
  <c r="H283"/>
  <c r="BT282"/>
  <c r="BS282"/>
  <c r="BR282"/>
  <c r="BQ282"/>
  <c r="BP282"/>
  <c r="BO282"/>
  <c r="BN282"/>
  <c r="BM282"/>
  <c r="BK282"/>
  <c r="BJ282"/>
  <c r="BI282"/>
  <c r="BH282"/>
  <c r="BG282"/>
  <c r="BF282"/>
  <c r="BE282"/>
  <c r="BD282"/>
  <c r="BC282"/>
  <c r="BB282"/>
  <c r="AX282"/>
  <c r="AW282"/>
  <c r="AV282"/>
  <c r="AC282"/>
  <c r="H282"/>
  <c r="G282" s="1"/>
  <c r="BT281"/>
  <c r="BS281"/>
  <c r="BR281"/>
  <c r="BQ281"/>
  <c r="BP281"/>
  <c r="BO281"/>
  <c r="BN281"/>
  <c r="BM281"/>
  <c r="BL281" s="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AX280"/>
  <c r="AW280"/>
  <c r="AV280"/>
  <c r="AC280"/>
  <c r="H280"/>
  <c r="G280" s="1"/>
  <c r="BT279"/>
  <c r="BS279"/>
  <c r="BR279"/>
  <c r="BQ279"/>
  <c r="BP279"/>
  <c r="BO279"/>
  <c r="BN279"/>
  <c r="BM279"/>
  <c r="BK279"/>
  <c r="BJ279"/>
  <c r="BI279"/>
  <c r="BH279"/>
  <c r="BG279"/>
  <c r="BF279"/>
  <c r="BE279"/>
  <c r="BD279"/>
  <c r="BC279"/>
  <c r="BB279"/>
  <c r="BA279" s="1"/>
  <c r="AX279"/>
  <c r="AW279"/>
  <c r="AV279"/>
  <c r="AC279"/>
  <c r="H279"/>
  <c r="BT278"/>
  <c r="BS278"/>
  <c r="BR278"/>
  <c r="BQ278"/>
  <c r="BP278"/>
  <c r="BO278"/>
  <c r="BN278"/>
  <c r="BM278"/>
  <c r="BK278"/>
  <c r="BJ278"/>
  <c r="BI278"/>
  <c r="BH278"/>
  <c r="BG278"/>
  <c r="BF278"/>
  <c r="BE278"/>
  <c r="BD278"/>
  <c r="BC278"/>
  <c r="BB278"/>
  <c r="BA278" s="1"/>
  <c r="AX278"/>
  <c r="AW278"/>
  <c r="AV278"/>
  <c r="AC278"/>
  <c r="H278"/>
  <c r="BT277"/>
  <c r="BS277"/>
  <c r="BR277"/>
  <c r="BQ277"/>
  <c r="BP277"/>
  <c r="BO277"/>
  <c r="BN277"/>
  <c r="BM277"/>
  <c r="BL277" s="1"/>
  <c r="BK277"/>
  <c r="BJ277"/>
  <c r="BI277"/>
  <c r="BH277"/>
  <c r="BG277"/>
  <c r="BF277"/>
  <c r="BE277"/>
  <c r="BD277"/>
  <c r="BC277"/>
  <c r="BB277"/>
  <c r="AX277"/>
  <c r="AW277"/>
  <c r="AV277"/>
  <c r="AC277"/>
  <c r="H277"/>
  <c r="G277" s="1"/>
  <c r="BT276"/>
  <c r="BS276"/>
  <c r="BR276"/>
  <c r="BQ276"/>
  <c r="BP276"/>
  <c r="BO276"/>
  <c r="BN276"/>
  <c r="BM276"/>
  <c r="BK276"/>
  <c r="BJ276"/>
  <c r="BI276"/>
  <c r="BH276"/>
  <c r="BG276"/>
  <c r="BF276"/>
  <c r="BE276"/>
  <c r="BD276"/>
  <c r="BC276"/>
  <c r="BB276"/>
  <c r="AX276"/>
  <c r="AW276"/>
  <c r="AV276"/>
  <c r="AC276"/>
  <c r="H276"/>
  <c r="G276" s="1"/>
  <c r="BT275"/>
  <c r="BS275"/>
  <c r="BR275"/>
  <c r="BQ275"/>
  <c r="BP275"/>
  <c r="BO275"/>
  <c r="BN275"/>
  <c r="BM275"/>
  <c r="BK275"/>
  <c r="BJ275"/>
  <c r="BI275"/>
  <c r="BH275"/>
  <c r="BG275"/>
  <c r="BF275"/>
  <c r="BE275"/>
  <c r="BD275"/>
  <c r="BC275"/>
  <c r="BB275"/>
  <c r="BA275" s="1"/>
  <c r="AX275"/>
  <c r="AW275"/>
  <c r="AV275"/>
  <c r="AC275"/>
  <c r="H275"/>
  <c r="BT274"/>
  <c r="BS274"/>
  <c r="BR274"/>
  <c r="BQ274"/>
  <c r="BP274"/>
  <c r="BO274"/>
  <c r="BN274"/>
  <c r="BM274"/>
  <c r="BL274" s="1"/>
  <c r="BK274"/>
  <c r="BJ274"/>
  <c r="BI274"/>
  <c r="BH274"/>
  <c r="BG274"/>
  <c r="BF274"/>
  <c r="BE274"/>
  <c r="BD274"/>
  <c r="BC274"/>
  <c r="BB274"/>
  <c r="AX274"/>
  <c r="AW274"/>
  <c r="AV274"/>
  <c r="AC274"/>
  <c r="H274"/>
  <c r="BT273"/>
  <c r="BS273"/>
  <c r="BR273"/>
  <c r="BQ273"/>
  <c r="BP273"/>
  <c r="BO273"/>
  <c r="BN273"/>
  <c r="BM273"/>
  <c r="BL273" s="1"/>
  <c r="BK273"/>
  <c r="BJ273"/>
  <c r="BI273"/>
  <c r="BH273"/>
  <c r="BG273"/>
  <c r="BF273"/>
  <c r="BE273"/>
  <c r="BD273"/>
  <c r="BC273"/>
  <c r="BB273"/>
  <c r="AX273"/>
  <c r="AW273"/>
  <c r="AV273"/>
  <c r="AC273"/>
  <c r="H273"/>
  <c r="BT272"/>
  <c r="BS272"/>
  <c r="BR272"/>
  <c r="BQ272"/>
  <c r="BP272"/>
  <c r="BO272"/>
  <c r="BN272"/>
  <c r="BM272"/>
  <c r="BL272" s="1"/>
  <c r="BK272"/>
  <c r="BJ272"/>
  <c r="BI272"/>
  <c r="BH272"/>
  <c r="BG272"/>
  <c r="BF272"/>
  <c r="BE272"/>
  <c r="BD272"/>
  <c r="BC272"/>
  <c r="BB272"/>
  <c r="AX272"/>
  <c r="AW272"/>
  <c r="AV272"/>
  <c r="AC272"/>
  <c r="H272"/>
  <c r="G272" s="1"/>
  <c r="BT271"/>
  <c r="BS271"/>
  <c r="BR271"/>
  <c r="BQ271"/>
  <c r="BP271"/>
  <c r="BO271"/>
  <c r="BN271"/>
  <c r="BM271"/>
  <c r="BK271"/>
  <c r="BJ271"/>
  <c r="BI271"/>
  <c r="BH271"/>
  <c r="BG271"/>
  <c r="BF271"/>
  <c r="BE271"/>
  <c r="BD271"/>
  <c r="BC271"/>
  <c r="BB271"/>
  <c r="AX271"/>
  <c r="AW271"/>
  <c r="AV271"/>
  <c r="AC271"/>
  <c r="H271"/>
  <c r="G271" s="1"/>
  <c r="BT270"/>
  <c r="BS270"/>
  <c r="BR270"/>
  <c r="BQ270"/>
  <c r="BP270"/>
  <c r="BO270"/>
  <c r="BN270"/>
  <c r="BM270"/>
  <c r="BL270" s="1"/>
  <c r="BK270"/>
  <c r="BJ270"/>
  <c r="BI270"/>
  <c r="BH270"/>
  <c r="BG270"/>
  <c r="BF270"/>
  <c r="BE270"/>
  <c r="BD270"/>
  <c r="BC270"/>
  <c r="BB270"/>
  <c r="AX270"/>
  <c r="AW270"/>
  <c r="AV270"/>
  <c r="AC270"/>
  <c r="H270"/>
  <c r="BT269"/>
  <c r="BS269"/>
  <c r="BR269"/>
  <c r="BQ269"/>
  <c r="BP269"/>
  <c r="BO269"/>
  <c r="BN269"/>
  <c r="BM269"/>
  <c r="BK269"/>
  <c r="BJ269"/>
  <c r="BI269"/>
  <c r="BH269"/>
  <c r="BG269"/>
  <c r="BF269"/>
  <c r="BE269"/>
  <c r="BD269"/>
  <c r="BC269"/>
  <c r="BB269"/>
  <c r="AX269"/>
  <c r="AW269"/>
  <c r="AV269"/>
  <c r="AC269"/>
  <c r="H269"/>
  <c r="G269" s="1"/>
  <c r="BT268"/>
  <c r="BS268"/>
  <c r="BR268"/>
  <c r="BQ268"/>
  <c r="BP268"/>
  <c r="BO268"/>
  <c r="BN268"/>
  <c r="BM268"/>
  <c r="BK268"/>
  <c r="BJ268"/>
  <c r="BI268"/>
  <c r="BH268"/>
  <c r="BG268"/>
  <c r="BF268"/>
  <c r="BE268"/>
  <c r="BD268"/>
  <c r="BC268"/>
  <c r="BB268"/>
  <c r="BA268" s="1"/>
  <c r="AX268"/>
  <c r="AW268"/>
  <c r="AV268"/>
  <c r="AC268"/>
  <c r="H268"/>
  <c r="G268" s="1"/>
  <c r="BT267"/>
  <c r="BS267"/>
  <c r="BR267"/>
  <c r="BQ267"/>
  <c r="BP267"/>
  <c r="BO267"/>
  <c r="BN267"/>
  <c r="BM267"/>
  <c r="BK267"/>
  <c r="BJ267"/>
  <c r="BI267"/>
  <c r="BH267"/>
  <c r="BG267"/>
  <c r="BF267"/>
  <c r="BE267"/>
  <c r="BD267"/>
  <c r="BC267"/>
  <c r="BB267"/>
  <c r="AX267"/>
  <c r="AW267"/>
  <c r="AV267"/>
  <c r="AC267"/>
  <c r="H267"/>
  <c r="G267" s="1"/>
  <c r="BT266"/>
  <c r="BS266"/>
  <c r="BR266"/>
  <c r="BQ266"/>
  <c r="BP266"/>
  <c r="BO266"/>
  <c r="BN266"/>
  <c r="BM266"/>
  <c r="BL266" s="1"/>
  <c r="BK266"/>
  <c r="BJ266"/>
  <c r="BI266"/>
  <c r="BH266"/>
  <c r="BG266"/>
  <c r="BF266"/>
  <c r="BE266"/>
  <c r="BD266"/>
  <c r="BC266"/>
  <c r="BB266"/>
  <c r="AX266"/>
  <c r="AW266"/>
  <c r="AV266"/>
  <c r="AC266"/>
  <c r="H266"/>
  <c r="BT265"/>
  <c r="BS265"/>
  <c r="BR265"/>
  <c r="BQ265"/>
  <c r="BP265"/>
  <c r="BO265"/>
  <c r="BN265"/>
  <c r="BM265"/>
  <c r="BK265"/>
  <c r="BJ265"/>
  <c r="BI265"/>
  <c r="BH265"/>
  <c r="BG265"/>
  <c r="BF265"/>
  <c r="BE265"/>
  <c r="BD265"/>
  <c r="BC265"/>
  <c r="BB265"/>
  <c r="BA265"/>
  <c r="AX265"/>
  <c r="AW265"/>
  <c r="AV265"/>
  <c r="AC265"/>
  <c r="H265"/>
  <c r="G265"/>
  <c r="BT264"/>
  <c r="BS264"/>
  <c r="BR264"/>
  <c r="BQ264"/>
  <c r="BP264"/>
  <c r="BO264"/>
  <c r="BN264"/>
  <c r="BM264"/>
  <c r="BL264" s="1"/>
  <c r="BK264"/>
  <c r="BJ264"/>
  <c r="BI264"/>
  <c r="BH264"/>
  <c r="BG264"/>
  <c r="BF264"/>
  <c r="BE264"/>
  <c r="BD264"/>
  <c r="BC264"/>
  <c r="BB264"/>
  <c r="BA264" s="1"/>
  <c r="AZ264" s="1"/>
  <c r="AX264"/>
  <c r="AW264"/>
  <c r="AV264"/>
  <c r="AC264"/>
  <c r="H264"/>
  <c r="BT263"/>
  <c r="BS263"/>
  <c r="BR263"/>
  <c r="BQ263"/>
  <c r="BP263"/>
  <c r="BO263"/>
  <c r="BN263"/>
  <c r="BM263"/>
  <c r="BK263"/>
  <c r="BJ263"/>
  <c r="BI263"/>
  <c r="BH263"/>
  <c r="BG263"/>
  <c r="BF263"/>
  <c r="BE263"/>
  <c r="BD263"/>
  <c r="BC263"/>
  <c r="BB263"/>
  <c r="AX263"/>
  <c r="AW263"/>
  <c r="AV263"/>
  <c r="AC263"/>
  <c r="H263"/>
  <c r="G263" s="1"/>
  <c r="BT262"/>
  <c r="BS262"/>
  <c r="BR262"/>
  <c r="BQ262"/>
  <c r="BP262"/>
  <c r="BO262"/>
  <c r="BN262"/>
  <c r="BM262"/>
  <c r="BL262" s="1"/>
  <c r="BK262"/>
  <c r="BJ262"/>
  <c r="BI262"/>
  <c r="BH262"/>
  <c r="BG262"/>
  <c r="BF262"/>
  <c r="BE262"/>
  <c r="BD262"/>
  <c r="BC262"/>
  <c r="BB262"/>
  <c r="AX262"/>
  <c r="AW262"/>
  <c r="AV262"/>
  <c r="AC262"/>
  <c r="H262"/>
  <c r="BT261"/>
  <c r="BS261"/>
  <c r="BR261"/>
  <c r="BQ261"/>
  <c r="BP261"/>
  <c r="BO261"/>
  <c r="BN261"/>
  <c r="BM261"/>
  <c r="BK261"/>
  <c r="BJ261"/>
  <c r="BI261"/>
  <c r="BH261"/>
  <c r="BG261"/>
  <c r="BF261"/>
  <c r="BE261"/>
  <c r="BD261"/>
  <c r="BC261"/>
  <c r="BB261"/>
  <c r="BA261"/>
  <c r="AX261"/>
  <c r="AW261"/>
  <c r="AV261"/>
  <c r="AC261"/>
  <c r="H261"/>
  <c r="G261"/>
  <c r="BT260"/>
  <c r="BS260"/>
  <c r="BR260"/>
  <c r="BQ260"/>
  <c r="BP260"/>
  <c r="BO260"/>
  <c r="BN260"/>
  <c r="BM260"/>
  <c r="BL260" s="1"/>
  <c r="BK260"/>
  <c r="BJ260"/>
  <c r="BI260"/>
  <c r="BH260"/>
  <c r="BG260"/>
  <c r="BF260"/>
  <c r="BE260"/>
  <c r="BD260"/>
  <c r="BC260"/>
  <c r="BB260"/>
  <c r="BA260" s="1"/>
  <c r="AX260"/>
  <c r="AW260"/>
  <c r="AV260"/>
  <c r="AC260"/>
  <c r="H260"/>
  <c r="BT259"/>
  <c r="BS259"/>
  <c r="BR259"/>
  <c r="BQ259"/>
  <c r="BP259"/>
  <c r="BO259"/>
  <c r="BN259"/>
  <c r="BM259"/>
  <c r="BK259"/>
  <c r="BJ259"/>
  <c r="BI259"/>
  <c r="BH259"/>
  <c r="BG259"/>
  <c r="BF259"/>
  <c r="BE259"/>
  <c r="BD259"/>
  <c r="BC259"/>
  <c r="BB259"/>
  <c r="BA259"/>
  <c r="AX259"/>
  <c r="AW259"/>
  <c r="AV259"/>
  <c r="AC259"/>
  <c r="H259"/>
  <c r="BT258"/>
  <c r="BS258"/>
  <c r="BR258"/>
  <c r="BQ258"/>
  <c r="BP258"/>
  <c r="BO258"/>
  <c r="BN258"/>
  <c r="BM258"/>
  <c r="BL258"/>
  <c r="BK258"/>
  <c r="BJ258"/>
  <c r="BI258"/>
  <c r="BH258"/>
  <c r="BG258"/>
  <c r="BF258"/>
  <c r="BE258"/>
  <c r="BD258"/>
  <c r="BC258"/>
  <c r="BB258"/>
  <c r="BA258" s="1"/>
  <c r="AZ258" s="1"/>
  <c r="AX258"/>
  <c r="AW258"/>
  <c r="AV258"/>
  <c r="AC258"/>
  <c r="H258"/>
  <c r="G258"/>
  <c r="BT257"/>
  <c r="BS257"/>
  <c r="BR257"/>
  <c r="BQ257"/>
  <c r="BP257"/>
  <c r="BO257"/>
  <c r="BN257"/>
  <c r="BM257"/>
  <c r="BL257" s="1"/>
  <c r="BK257"/>
  <c r="BJ257"/>
  <c r="BI257"/>
  <c r="BH257"/>
  <c r="BG257"/>
  <c r="BF257"/>
  <c r="BE257"/>
  <c r="BD257"/>
  <c r="BC257"/>
  <c r="BB257"/>
  <c r="BA257" s="1"/>
  <c r="AX257"/>
  <c r="AW257"/>
  <c r="AV257"/>
  <c r="AC257"/>
  <c r="H257"/>
  <c r="BT256"/>
  <c r="BS256"/>
  <c r="BR256"/>
  <c r="BQ256"/>
  <c r="BP256"/>
  <c r="BO256"/>
  <c r="BN256"/>
  <c r="BM256"/>
  <c r="BK256"/>
  <c r="BJ256"/>
  <c r="BI256"/>
  <c r="BH256"/>
  <c r="BG256"/>
  <c r="BF256"/>
  <c r="BE256"/>
  <c r="BD256"/>
  <c r="BC256"/>
  <c r="BB256"/>
  <c r="BA256"/>
  <c r="AX256"/>
  <c r="AW256"/>
  <c r="AV256"/>
  <c r="AC256"/>
  <c r="H256"/>
  <c r="BT255"/>
  <c r="BS255"/>
  <c r="BR255"/>
  <c r="BQ255"/>
  <c r="BP255"/>
  <c r="BO255"/>
  <c r="BN255"/>
  <c r="BM255"/>
  <c r="BL255"/>
  <c r="BK255"/>
  <c r="BJ255"/>
  <c r="BI255"/>
  <c r="BH255"/>
  <c r="BG255"/>
  <c r="BF255"/>
  <c r="BE255"/>
  <c r="BD255"/>
  <c r="BC255"/>
  <c r="BB255"/>
  <c r="BA255" s="1"/>
  <c r="AX255"/>
  <c r="AW255"/>
  <c r="AV255"/>
  <c r="AC255"/>
  <c r="H255"/>
  <c r="BT254"/>
  <c r="BS254"/>
  <c r="BR254"/>
  <c r="BQ254"/>
  <c r="BP254"/>
  <c r="BO254"/>
  <c r="BN254"/>
  <c r="BM254"/>
  <c r="BL254"/>
  <c r="BK254"/>
  <c r="BJ254"/>
  <c r="BI254"/>
  <c r="BH254"/>
  <c r="BG254"/>
  <c r="BF254"/>
  <c r="BE254"/>
  <c r="BD254"/>
  <c r="BC254"/>
  <c r="BB254"/>
  <c r="BA254" s="1"/>
  <c r="AZ254" s="1"/>
  <c r="AX254"/>
  <c r="AW254"/>
  <c r="AV254"/>
  <c r="AC254"/>
  <c r="H254"/>
  <c r="G254"/>
  <c r="BT253"/>
  <c r="BS253"/>
  <c r="BR253"/>
  <c r="BQ253"/>
  <c r="BP253"/>
  <c r="BO253"/>
  <c r="BN253"/>
  <c r="BM253"/>
  <c r="BL253" s="1"/>
  <c r="BK253"/>
  <c r="BJ253"/>
  <c r="BI253"/>
  <c r="BH253"/>
  <c r="BG253"/>
  <c r="BF253"/>
  <c r="BE253"/>
  <c r="BD253"/>
  <c r="BC253"/>
  <c r="BB253"/>
  <c r="BA253" s="1"/>
  <c r="AX253"/>
  <c r="AW253"/>
  <c r="AV253"/>
  <c r="AC253"/>
  <c r="H253"/>
  <c r="BT252"/>
  <c r="BS252"/>
  <c r="BR252"/>
  <c r="BQ252"/>
  <c r="BP252"/>
  <c r="BO252"/>
  <c r="BN252"/>
  <c r="BM252"/>
  <c r="BK252"/>
  <c r="BJ252"/>
  <c r="BI252"/>
  <c r="BH252"/>
  <c r="BG252"/>
  <c r="BF252"/>
  <c r="BE252"/>
  <c r="BD252"/>
  <c r="BC252"/>
  <c r="BB252"/>
  <c r="BA252"/>
  <c r="AX252"/>
  <c r="AW252"/>
  <c r="AV252"/>
  <c r="AC252"/>
  <c r="H252"/>
  <c r="G252"/>
  <c r="BT251"/>
  <c r="BS251"/>
  <c r="BR251"/>
  <c r="BQ251"/>
  <c r="BP251"/>
  <c r="BO251"/>
  <c r="BN251"/>
  <c r="BM251"/>
  <c r="BL251" s="1"/>
  <c r="BK251"/>
  <c r="BJ251"/>
  <c r="BI251"/>
  <c r="BH251"/>
  <c r="BG251"/>
  <c r="BF251"/>
  <c r="BE251"/>
  <c r="BD251"/>
  <c r="BC251"/>
  <c r="BB251"/>
  <c r="BA251" s="1"/>
  <c r="AZ251" s="1"/>
  <c r="AX251"/>
  <c r="AW251"/>
  <c r="AV251"/>
  <c r="AC251"/>
  <c r="H251"/>
  <c r="BT250"/>
  <c r="BS250"/>
  <c r="BR250"/>
  <c r="BQ250"/>
  <c r="BP250"/>
  <c r="BO250"/>
  <c r="BN250"/>
  <c r="BM250"/>
  <c r="BK250"/>
  <c r="BJ250"/>
  <c r="BI250"/>
  <c r="BH250"/>
  <c r="BG250"/>
  <c r="BF250"/>
  <c r="BE250"/>
  <c r="BD250"/>
  <c r="BC250"/>
  <c r="BB250"/>
  <c r="AX250"/>
  <c r="AW250"/>
  <c r="AV250"/>
  <c r="AC250"/>
  <c r="H250"/>
  <c r="G250" s="1"/>
  <c r="BT249"/>
  <c r="BS249"/>
  <c r="BR249"/>
  <c r="BQ249"/>
  <c r="BP249"/>
  <c r="BO249"/>
  <c r="BN249"/>
  <c r="BM249"/>
  <c r="BK249"/>
  <c r="BJ249"/>
  <c r="BI249"/>
  <c r="BH249"/>
  <c r="BG249"/>
  <c r="BF249"/>
  <c r="BE249"/>
  <c r="BD249"/>
  <c r="BC249"/>
  <c r="BB249"/>
  <c r="BA249" s="1"/>
  <c r="AX249"/>
  <c r="AW249"/>
  <c r="AV249"/>
  <c r="AC249"/>
  <c r="H249"/>
  <c r="G249" s="1"/>
  <c r="BT248"/>
  <c r="BS248"/>
  <c r="BR248"/>
  <c r="BQ248"/>
  <c r="BP248"/>
  <c r="BO248"/>
  <c r="BN248"/>
  <c r="BM248"/>
  <c r="BK248"/>
  <c r="BJ248"/>
  <c r="BI248"/>
  <c r="BH248"/>
  <c r="BG248"/>
  <c r="BF248"/>
  <c r="BE248"/>
  <c r="BD248"/>
  <c r="BC248"/>
  <c r="BB248"/>
  <c r="AX248"/>
  <c r="AW248"/>
  <c r="AV248"/>
  <c r="AC248"/>
  <c r="H248"/>
  <c r="G248" s="1"/>
  <c r="BT247"/>
  <c r="BS247"/>
  <c r="BR247"/>
  <c r="BQ247"/>
  <c r="BP247"/>
  <c r="BO247"/>
  <c r="BN247"/>
  <c r="BM247"/>
  <c r="BL247" s="1"/>
  <c r="BK247"/>
  <c r="BJ247"/>
  <c r="BI247"/>
  <c r="BH247"/>
  <c r="BG247"/>
  <c r="BF247"/>
  <c r="BE247"/>
  <c r="BD247"/>
  <c r="BC247"/>
  <c r="BB247"/>
  <c r="AX247"/>
  <c r="AW247"/>
  <c r="AV247"/>
  <c r="AC247"/>
  <c r="H247"/>
  <c r="BT246"/>
  <c r="BS246"/>
  <c r="BR246"/>
  <c r="BQ246"/>
  <c r="BP246"/>
  <c r="BO246"/>
  <c r="BN246"/>
  <c r="BM246"/>
  <c r="BK246"/>
  <c r="BJ246"/>
  <c r="BI246"/>
  <c r="BH246"/>
  <c r="BG246"/>
  <c r="BF246"/>
  <c r="BE246"/>
  <c r="BD246"/>
  <c r="BC246"/>
  <c r="BB246"/>
  <c r="AX246"/>
  <c r="AW246"/>
  <c r="AV246"/>
  <c r="AC246"/>
  <c r="H246"/>
  <c r="G246" s="1"/>
  <c r="BT245"/>
  <c r="BS245"/>
  <c r="BR245"/>
  <c r="BQ245"/>
  <c r="BP245"/>
  <c r="BO245"/>
  <c r="BN245"/>
  <c r="BM245"/>
  <c r="BK245"/>
  <c r="BJ245"/>
  <c r="BI245"/>
  <c r="BH245"/>
  <c r="BG245"/>
  <c r="BF245"/>
  <c r="BE245"/>
  <c r="BD245"/>
  <c r="BC245"/>
  <c r="BB245"/>
  <c r="BA245" s="1"/>
  <c r="AX245"/>
  <c r="AW245"/>
  <c r="AV245"/>
  <c r="AC245"/>
  <c r="H245"/>
  <c r="G245" s="1"/>
  <c r="BT244"/>
  <c r="BS244"/>
  <c r="BR244"/>
  <c r="BQ244"/>
  <c r="BP244"/>
  <c r="BO244"/>
  <c r="BN244"/>
  <c r="BM244"/>
  <c r="BK244"/>
  <c r="BJ244"/>
  <c r="BI244"/>
  <c r="BH244"/>
  <c r="BG244"/>
  <c r="BF244"/>
  <c r="BE244"/>
  <c r="BD244"/>
  <c r="BC244"/>
  <c r="BB244"/>
  <c r="AX244"/>
  <c r="AW244"/>
  <c r="AV244"/>
  <c r="AC244"/>
  <c r="H244"/>
  <c r="G244" s="1"/>
  <c r="BT243"/>
  <c r="BS243"/>
  <c r="BR243"/>
  <c r="BQ243"/>
  <c r="BP243"/>
  <c r="BO243"/>
  <c r="BN243"/>
  <c r="BM243"/>
  <c r="BK243"/>
  <c r="BJ243"/>
  <c r="BI243"/>
  <c r="BH243"/>
  <c r="BG243"/>
  <c r="BF243"/>
  <c r="BE243"/>
  <c r="BD243"/>
  <c r="BC243"/>
  <c r="BB243"/>
  <c r="BA243" s="1"/>
  <c r="AX243"/>
  <c r="AW243"/>
  <c r="AV243"/>
  <c r="AC243"/>
  <c r="H243"/>
  <c r="BT242"/>
  <c r="BS242"/>
  <c r="BR242"/>
  <c r="BQ242"/>
  <c r="BP242"/>
  <c r="BO242"/>
  <c r="BN242"/>
  <c r="BM242"/>
  <c r="BL242" s="1"/>
  <c r="BK242"/>
  <c r="BJ242"/>
  <c r="BI242"/>
  <c r="BH242"/>
  <c r="BG242"/>
  <c r="BF242"/>
  <c r="BE242"/>
  <c r="BD242"/>
  <c r="BC242"/>
  <c r="BB242"/>
  <c r="AX242"/>
  <c r="AW242"/>
  <c r="AV242"/>
  <c r="AC242"/>
  <c r="H242"/>
  <c r="G242" s="1"/>
  <c r="BT241"/>
  <c r="BS241"/>
  <c r="BR241"/>
  <c r="BQ241"/>
  <c r="BP241"/>
  <c r="BO241"/>
  <c r="BN241"/>
  <c r="BM241"/>
  <c r="BK241"/>
  <c r="BJ241"/>
  <c r="BI241"/>
  <c r="BH241"/>
  <c r="BG241"/>
  <c r="BF241"/>
  <c r="BE241"/>
  <c r="BD241"/>
  <c r="BC241"/>
  <c r="BB241"/>
  <c r="AX241"/>
  <c r="AW241"/>
  <c r="AV241"/>
  <c r="AC241"/>
  <c r="H241"/>
  <c r="G241" s="1"/>
  <c r="BT240"/>
  <c r="BS240"/>
  <c r="BR240"/>
  <c r="BQ240"/>
  <c r="BP240"/>
  <c r="BO240"/>
  <c r="BN240"/>
  <c r="BM240"/>
  <c r="BK240"/>
  <c r="BJ240"/>
  <c r="BI240"/>
  <c r="BH240"/>
  <c r="BG240"/>
  <c r="BF240"/>
  <c r="BE240"/>
  <c r="BD240"/>
  <c r="BC240"/>
  <c r="BB240"/>
  <c r="BA240" s="1"/>
  <c r="AX240"/>
  <c r="AW240"/>
  <c r="AV240"/>
  <c r="AC240"/>
  <c r="H240"/>
  <c r="BT239"/>
  <c r="BS239"/>
  <c r="BR239"/>
  <c r="BQ239"/>
  <c r="BP239"/>
  <c r="BO239"/>
  <c r="BN239"/>
  <c r="BM239"/>
  <c r="BL239" s="1"/>
  <c r="BK239"/>
  <c r="BJ239"/>
  <c r="BI239"/>
  <c r="BH239"/>
  <c r="BG239"/>
  <c r="BF239"/>
  <c r="BE239"/>
  <c r="BD239"/>
  <c r="BC239"/>
  <c r="BB239"/>
  <c r="AX239"/>
  <c r="AW239"/>
  <c r="AV239"/>
  <c r="AC239"/>
  <c r="H239"/>
  <c r="BT238"/>
  <c r="BS238"/>
  <c r="BR238"/>
  <c r="BQ238"/>
  <c r="BP238"/>
  <c r="BO238"/>
  <c r="BN238"/>
  <c r="BM238"/>
  <c r="BL238" s="1"/>
  <c r="BK238"/>
  <c r="BJ238"/>
  <c r="BI238"/>
  <c r="BH238"/>
  <c r="BG238"/>
  <c r="BF238"/>
  <c r="BE238"/>
  <c r="BD238"/>
  <c r="BC238"/>
  <c r="BB238"/>
  <c r="AX238"/>
  <c r="AW238"/>
  <c r="AV238"/>
  <c r="AC238"/>
  <c r="H238"/>
  <c r="G238" s="1"/>
  <c r="BT237"/>
  <c r="BS237"/>
  <c r="BR237"/>
  <c r="BQ237"/>
  <c r="BP237"/>
  <c r="BO237"/>
  <c r="BN237"/>
  <c r="BM237"/>
  <c r="BK237"/>
  <c r="BJ237"/>
  <c r="BI237"/>
  <c r="BH237"/>
  <c r="BG237"/>
  <c r="BF237"/>
  <c r="BE237"/>
  <c r="BD237"/>
  <c r="BC237"/>
  <c r="BB237"/>
  <c r="AX237"/>
  <c r="AW237"/>
  <c r="AV237"/>
  <c r="AC237"/>
  <c r="H237"/>
  <c r="G237" s="1"/>
  <c r="BT236"/>
  <c r="BS236"/>
  <c r="BR236"/>
  <c r="BQ236"/>
  <c r="BP236"/>
  <c r="BO236"/>
  <c r="BN236"/>
  <c r="BM236"/>
  <c r="BK236"/>
  <c r="BJ236"/>
  <c r="BI236"/>
  <c r="BH236"/>
  <c r="BG236"/>
  <c r="BF236"/>
  <c r="BE236"/>
  <c r="BD236"/>
  <c r="BC236"/>
  <c r="BB236"/>
  <c r="BA236" s="1"/>
  <c r="AX236"/>
  <c r="AW236"/>
  <c r="AV236"/>
  <c r="AC236"/>
  <c r="H236"/>
  <c r="G236" s="1"/>
  <c r="BT235"/>
  <c r="BS235"/>
  <c r="BR235"/>
  <c r="BQ235"/>
  <c r="BP235"/>
  <c r="BO235"/>
  <c r="BN235"/>
  <c r="BM235"/>
  <c r="BK235"/>
  <c r="BJ235"/>
  <c r="BI235"/>
  <c r="BH235"/>
  <c r="BG235"/>
  <c r="BF235"/>
  <c r="BE235"/>
  <c r="BD235"/>
  <c r="BC235"/>
  <c r="BB235"/>
  <c r="AX235"/>
  <c r="AW235"/>
  <c r="AV235"/>
  <c r="AC235"/>
  <c r="H235"/>
  <c r="G235" s="1"/>
  <c r="BT234"/>
  <c r="BS234"/>
  <c r="BR234"/>
  <c r="BQ234"/>
  <c r="BP234"/>
  <c r="BO234"/>
  <c r="BN234"/>
  <c r="BM234"/>
  <c r="BL234" s="1"/>
  <c r="BK234"/>
  <c r="BJ234"/>
  <c r="BI234"/>
  <c r="BH234"/>
  <c r="BG234"/>
  <c r="BF234"/>
  <c r="BE234"/>
  <c r="BD234"/>
  <c r="BC234"/>
  <c r="BB234"/>
  <c r="AX234"/>
  <c r="AW234"/>
  <c r="AV234"/>
  <c r="AC234"/>
  <c r="H234"/>
  <c r="BT233"/>
  <c r="BS233"/>
  <c r="BR233"/>
  <c r="BQ233"/>
  <c r="BP233"/>
  <c r="BO233"/>
  <c r="BN233"/>
  <c r="BM233"/>
  <c r="BK233"/>
  <c r="BJ233"/>
  <c r="BI233"/>
  <c r="BH233"/>
  <c r="BG233"/>
  <c r="BF233"/>
  <c r="BE233"/>
  <c r="BD233"/>
  <c r="BC233"/>
  <c r="BB233"/>
  <c r="BA233"/>
  <c r="AX233"/>
  <c r="AW233"/>
  <c r="AV233"/>
  <c r="AC233"/>
  <c r="H233"/>
  <c r="G233"/>
  <c r="BT232"/>
  <c r="BS232"/>
  <c r="BR232"/>
  <c r="BQ232"/>
  <c r="BP232"/>
  <c r="BO232"/>
  <c r="BN232"/>
  <c r="BM232"/>
  <c r="BL232" s="1"/>
  <c r="BK232"/>
  <c r="BJ232"/>
  <c r="BI232"/>
  <c r="BH232"/>
  <c r="BG232"/>
  <c r="BF232"/>
  <c r="BE232"/>
  <c r="BD232"/>
  <c r="BC232"/>
  <c r="BB232"/>
  <c r="BA232" s="1"/>
  <c r="AZ232" s="1"/>
  <c r="AX232"/>
  <c r="AW232"/>
  <c r="AV232"/>
  <c r="AC232"/>
  <c r="H232"/>
  <c r="BT231"/>
  <c r="BS231"/>
  <c r="BR231"/>
  <c r="BQ231"/>
  <c r="BP231"/>
  <c r="BO231"/>
  <c r="BN231"/>
  <c r="BM231"/>
  <c r="BK231"/>
  <c r="BJ231"/>
  <c r="BI231"/>
  <c r="BH231"/>
  <c r="BG231"/>
  <c r="BF231"/>
  <c r="BE231"/>
  <c r="BD231"/>
  <c r="BC231"/>
  <c r="BB231"/>
  <c r="AX231"/>
  <c r="AW231"/>
  <c r="AV231"/>
  <c r="AC231"/>
  <c r="H231"/>
  <c r="G231" s="1"/>
  <c r="BT230"/>
  <c r="BS230"/>
  <c r="BR230"/>
  <c r="BQ230"/>
  <c r="BP230"/>
  <c r="BO230"/>
  <c r="BN230"/>
  <c r="BM230"/>
  <c r="BL230" s="1"/>
  <c r="BK230"/>
  <c r="BJ230"/>
  <c r="BI230"/>
  <c r="BH230"/>
  <c r="BG230"/>
  <c r="BF230"/>
  <c r="BE230"/>
  <c r="BD230"/>
  <c r="BC230"/>
  <c r="BB230"/>
  <c r="AX230"/>
  <c r="AW230"/>
  <c r="AV230"/>
  <c r="AC230"/>
  <c r="H230"/>
  <c r="BT229"/>
  <c r="BS229"/>
  <c r="BR229"/>
  <c r="BQ229"/>
  <c r="BP229"/>
  <c r="BO229"/>
  <c r="BN229"/>
  <c r="BM229"/>
  <c r="BK229"/>
  <c r="BJ229"/>
  <c r="BI229"/>
  <c r="BH229"/>
  <c r="BG229"/>
  <c r="BF229"/>
  <c r="BE229"/>
  <c r="BD229"/>
  <c r="BC229"/>
  <c r="BB229"/>
  <c r="BA229"/>
  <c r="AX229"/>
  <c r="AW229"/>
  <c r="AV229"/>
  <c r="AC229"/>
  <c r="H229"/>
  <c r="G229"/>
  <c r="BT228"/>
  <c r="BS228"/>
  <c r="BR228"/>
  <c r="BQ228"/>
  <c r="BP228"/>
  <c r="BO228"/>
  <c r="BN228"/>
  <c r="BM228"/>
  <c r="BL228" s="1"/>
  <c r="BK228"/>
  <c r="BJ228"/>
  <c r="BI228"/>
  <c r="BH228"/>
  <c r="BG228"/>
  <c r="BF228"/>
  <c r="BE228"/>
  <c r="BD228"/>
  <c r="BC228"/>
  <c r="BB228"/>
  <c r="BA228" s="1"/>
  <c r="AX228"/>
  <c r="AW228"/>
  <c r="AV228"/>
  <c r="AC228"/>
  <c r="H228"/>
  <c r="BT227"/>
  <c r="BS227"/>
  <c r="BR227"/>
  <c r="BQ227"/>
  <c r="BP227"/>
  <c r="BO227"/>
  <c r="BN227"/>
  <c r="BM227"/>
  <c r="BK227"/>
  <c r="BJ227"/>
  <c r="BI227"/>
  <c r="BH227"/>
  <c r="BG227"/>
  <c r="BF227"/>
  <c r="BE227"/>
  <c r="BD227"/>
  <c r="BC227"/>
  <c r="BB227"/>
  <c r="BA227"/>
  <c r="AX227"/>
  <c r="AW227"/>
  <c r="AV227"/>
  <c r="AC227"/>
  <c r="H227"/>
  <c r="BT226"/>
  <c r="BS226"/>
  <c r="BR226"/>
  <c r="BQ226"/>
  <c r="BP226"/>
  <c r="BO226"/>
  <c r="BN226"/>
  <c r="BM226"/>
  <c r="BL226"/>
  <c r="BK226"/>
  <c r="BJ226"/>
  <c r="BI226"/>
  <c r="BH226"/>
  <c r="BG226"/>
  <c r="BF226"/>
  <c r="BE226"/>
  <c r="BD226"/>
  <c r="BC226"/>
  <c r="BB226"/>
  <c r="BA226" s="1"/>
  <c r="AZ226" s="1"/>
  <c r="AX226"/>
  <c r="AW226"/>
  <c r="AV226"/>
  <c r="AC226"/>
  <c r="H226"/>
  <c r="G226"/>
  <c r="BT225"/>
  <c r="BS225"/>
  <c r="BR225"/>
  <c r="BQ225"/>
  <c r="BP225"/>
  <c r="BO225"/>
  <c r="BN225"/>
  <c r="BM225"/>
  <c r="BL225" s="1"/>
  <c r="BK225"/>
  <c r="BJ225"/>
  <c r="BI225"/>
  <c r="BH225"/>
  <c r="BG225"/>
  <c r="BF225"/>
  <c r="BE225"/>
  <c r="BD225"/>
  <c r="BC225"/>
  <c r="BB225"/>
  <c r="BA225" s="1"/>
  <c r="AX225"/>
  <c r="AW225"/>
  <c r="AV225"/>
  <c r="AC225"/>
  <c r="H225"/>
  <c r="BT224"/>
  <c r="BS224"/>
  <c r="BR224"/>
  <c r="BQ224"/>
  <c r="BP224"/>
  <c r="BO224"/>
  <c r="BN224"/>
  <c r="BM224"/>
  <c r="BK224"/>
  <c r="BJ224"/>
  <c r="BI224"/>
  <c r="BH224"/>
  <c r="BG224"/>
  <c r="BF224"/>
  <c r="BE224"/>
  <c r="BD224"/>
  <c r="BC224"/>
  <c r="BB224"/>
  <c r="BA224"/>
  <c r="AX224"/>
  <c r="AW224"/>
  <c r="AV224"/>
  <c r="AC224"/>
  <c r="H224"/>
  <c r="BT223"/>
  <c r="BS223"/>
  <c r="BR223"/>
  <c r="BQ223"/>
  <c r="BP223"/>
  <c r="BO223"/>
  <c r="BN223"/>
  <c r="BM223"/>
  <c r="BL223"/>
  <c r="BK223"/>
  <c r="BJ223"/>
  <c r="BI223"/>
  <c r="BH223"/>
  <c r="BG223"/>
  <c r="BF223"/>
  <c r="BE223"/>
  <c r="BD223"/>
  <c r="BC223"/>
  <c r="BB223"/>
  <c r="BA223" s="1"/>
  <c r="AX223"/>
  <c r="AW223"/>
  <c r="AV223"/>
  <c r="AC223"/>
  <c r="H223"/>
  <c r="BT222"/>
  <c r="BS222"/>
  <c r="BR222"/>
  <c r="BQ222"/>
  <c r="BP222"/>
  <c r="BO222"/>
  <c r="BN222"/>
  <c r="BM222"/>
  <c r="BL222"/>
  <c r="BK222"/>
  <c r="BJ222"/>
  <c r="BI222"/>
  <c r="BH222"/>
  <c r="BG222"/>
  <c r="BF222"/>
  <c r="BE222"/>
  <c r="BD222"/>
  <c r="BC222"/>
  <c r="BB222"/>
  <c r="BA222" s="1"/>
  <c r="AZ222" s="1"/>
  <c r="AX222"/>
  <c r="AW222"/>
  <c r="AV222"/>
  <c r="AC222"/>
  <c r="H222"/>
  <c r="G222"/>
  <c r="BT221"/>
  <c r="BS221"/>
  <c r="BR221"/>
  <c r="BQ221"/>
  <c r="BP221"/>
  <c r="BO221"/>
  <c r="BN221"/>
  <c r="BM221"/>
  <c r="BL221" s="1"/>
  <c r="BK221"/>
  <c r="BJ221"/>
  <c r="BI221"/>
  <c r="BH221"/>
  <c r="BG221"/>
  <c r="BF221"/>
  <c r="BE221"/>
  <c r="BD221"/>
  <c r="BC221"/>
  <c r="BB221"/>
  <c r="BA221" s="1"/>
  <c r="AX221"/>
  <c r="AW221"/>
  <c r="AV221"/>
  <c r="AC221"/>
  <c r="H221"/>
  <c r="BT220"/>
  <c r="BS220"/>
  <c r="BR220"/>
  <c r="BQ220"/>
  <c r="BP220"/>
  <c r="BO220"/>
  <c r="BN220"/>
  <c r="BM220"/>
  <c r="BK220"/>
  <c r="BJ220"/>
  <c r="BI220"/>
  <c r="BH220"/>
  <c r="BG220"/>
  <c r="BF220"/>
  <c r="BE220"/>
  <c r="BD220"/>
  <c r="BC220"/>
  <c r="BB220"/>
  <c r="BA220"/>
  <c r="AX220"/>
  <c r="AW220"/>
  <c r="AV220"/>
  <c r="AC220"/>
  <c r="H220"/>
  <c r="G220"/>
  <c r="BT219"/>
  <c r="BS219"/>
  <c r="BR219"/>
  <c r="BQ219"/>
  <c r="BP219"/>
  <c r="BO219"/>
  <c r="BN219"/>
  <c r="BM219"/>
  <c r="BL219" s="1"/>
  <c r="BK219"/>
  <c r="BJ219"/>
  <c r="BI219"/>
  <c r="BH219"/>
  <c r="BG219"/>
  <c r="BF219"/>
  <c r="BE219"/>
  <c r="BD219"/>
  <c r="BC219"/>
  <c r="BB219"/>
  <c r="BA219" s="1"/>
  <c r="AZ219" s="1"/>
  <c r="AX219"/>
  <c r="AW219"/>
  <c r="AV219"/>
  <c r="AC219"/>
  <c r="H219"/>
  <c r="BT218"/>
  <c r="BS218"/>
  <c r="BR218"/>
  <c r="BQ218"/>
  <c r="BP218"/>
  <c r="BO218"/>
  <c r="BN218"/>
  <c r="BM218"/>
  <c r="BK218"/>
  <c r="BJ218"/>
  <c r="BI218"/>
  <c r="BH218"/>
  <c r="BG218"/>
  <c r="BF218"/>
  <c r="BE218"/>
  <c r="BD218"/>
  <c r="BC218"/>
  <c r="BB218"/>
  <c r="AX218"/>
  <c r="AW218"/>
  <c r="AV218"/>
  <c r="AC218"/>
  <c r="H218"/>
  <c r="G218" s="1"/>
  <c r="BT217"/>
  <c r="BS217"/>
  <c r="BR217"/>
  <c r="BQ217"/>
  <c r="BP217"/>
  <c r="BO217"/>
  <c r="BN217"/>
  <c r="BM217"/>
  <c r="BK217"/>
  <c r="BJ217"/>
  <c r="BI217"/>
  <c r="BH217"/>
  <c r="BG217"/>
  <c r="BF217"/>
  <c r="BE217"/>
  <c r="BD217"/>
  <c r="BC217"/>
  <c r="BB217"/>
  <c r="BA217" s="1"/>
  <c r="AX217"/>
  <c r="AW217"/>
  <c r="AV217"/>
  <c r="AC217"/>
  <c r="H217"/>
  <c r="G217" s="1"/>
  <c r="BT216"/>
  <c r="BS216"/>
  <c r="BR216"/>
  <c r="BQ216"/>
  <c r="BP216"/>
  <c r="BO216"/>
  <c r="BN216"/>
  <c r="BM216"/>
  <c r="BK216"/>
  <c r="BJ216"/>
  <c r="BI216"/>
  <c r="BH216"/>
  <c r="BG216"/>
  <c r="BF216"/>
  <c r="BE216"/>
  <c r="BD216"/>
  <c r="BC216"/>
  <c r="BB216"/>
  <c r="AX216"/>
  <c r="AW216"/>
  <c r="AV216"/>
  <c r="AC216"/>
  <c r="H216"/>
  <c r="G216" s="1"/>
  <c r="BT215"/>
  <c r="BS215"/>
  <c r="BR215"/>
  <c r="BQ215"/>
  <c r="BP215"/>
  <c r="BO215"/>
  <c r="BN215"/>
  <c r="BM215"/>
  <c r="BL215" s="1"/>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G214" s="1"/>
  <c r="BT213"/>
  <c r="BS213"/>
  <c r="BR213"/>
  <c r="BQ213"/>
  <c r="BP213"/>
  <c r="BO213"/>
  <c r="BN213"/>
  <c r="BM213"/>
  <c r="BK213"/>
  <c r="BJ213"/>
  <c r="BI213"/>
  <c r="BH213"/>
  <c r="BG213"/>
  <c r="BF213"/>
  <c r="BE213"/>
  <c r="BD213"/>
  <c r="BC213"/>
  <c r="BB213"/>
  <c r="BA213" s="1"/>
  <c r="AX213"/>
  <c r="AW213"/>
  <c r="AV213"/>
  <c r="AC213"/>
  <c r="H213"/>
  <c r="G213" s="1"/>
  <c r="BT212"/>
  <c r="BS212"/>
  <c r="BR212"/>
  <c r="BQ212"/>
  <c r="BP212"/>
  <c r="BO212"/>
  <c r="BN212"/>
  <c r="BM212"/>
  <c r="BK212"/>
  <c r="BJ212"/>
  <c r="BI212"/>
  <c r="BH212"/>
  <c r="BG212"/>
  <c r="BF212"/>
  <c r="BE212"/>
  <c r="BD212"/>
  <c r="BC212"/>
  <c r="BB212"/>
  <c r="AX212"/>
  <c r="AW212"/>
  <c r="AV212"/>
  <c r="AC212"/>
  <c r="H212"/>
  <c r="G212" s="1"/>
  <c r="BT211"/>
  <c r="BS211"/>
  <c r="BR211"/>
  <c r="BQ211"/>
  <c r="BP211"/>
  <c r="BO211"/>
  <c r="BN211"/>
  <c r="BM211"/>
  <c r="BK211"/>
  <c r="BJ211"/>
  <c r="BI211"/>
  <c r="BH211"/>
  <c r="BG211"/>
  <c r="BF211"/>
  <c r="BE211"/>
  <c r="BD211"/>
  <c r="BC211"/>
  <c r="BB211"/>
  <c r="BA211" s="1"/>
  <c r="AX211"/>
  <c r="AW211"/>
  <c r="AV211"/>
  <c r="AC211"/>
  <c r="H211"/>
  <c r="BT210"/>
  <c r="BS210"/>
  <c r="BR210"/>
  <c r="BQ210"/>
  <c r="BP210"/>
  <c r="BO210"/>
  <c r="BN210"/>
  <c r="BM210"/>
  <c r="BL210" s="1"/>
  <c r="BK210"/>
  <c r="BJ210"/>
  <c r="BI210"/>
  <c r="BH210"/>
  <c r="BG210"/>
  <c r="BF210"/>
  <c r="BE210"/>
  <c r="BD210"/>
  <c r="BC210"/>
  <c r="BB210"/>
  <c r="AX210"/>
  <c r="AW210"/>
  <c r="AV210"/>
  <c r="AC210"/>
  <c r="H210"/>
  <c r="G210" s="1"/>
  <c r="BT209"/>
  <c r="BS209"/>
  <c r="BR209"/>
  <c r="BQ209"/>
  <c r="BP209"/>
  <c r="BO209"/>
  <c r="BN209"/>
  <c r="BM209"/>
  <c r="BK209"/>
  <c r="BJ209"/>
  <c r="BI209"/>
  <c r="BH209"/>
  <c r="BG209"/>
  <c r="BF209"/>
  <c r="BE209"/>
  <c r="BD209"/>
  <c r="BC209"/>
  <c r="BB209"/>
  <c r="AX209"/>
  <c r="AW209"/>
  <c r="AV209"/>
  <c r="AC209"/>
  <c r="H209"/>
  <c r="G209" s="1"/>
  <c r="BT208"/>
  <c r="BS208"/>
  <c r="BR208"/>
  <c r="BQ208"/>
  <c r="BP208"/>
  <c r="BO208"/>
  <c r="BN208"/>
  <c r="BM208"/>
  <c r="BK208"/>
  <c r="BJ208"/>
  <c r="BI208"/>
  <c r="BH208"/>
  <c r="BG208"/>
  <c r="BF208"/>
  <c r="BE208"/>
  <c r="BD208"/>
  <c r="BC208"/>
  <c r="BB208"/>
  <c r="BA208" s="1"/>
  <c r="AX208"/>
  <c r="AW208"/>
  <c r="AV208"/>
  <c r="AC208"/>
  <c r="H208"/>
  <c r="BT207"/>
  <c r="BS207"/>
  <c r="BR207"/>
  <c r="BQ207"/>
  <c r="BP207"/>
  <c r="BO207"/>
  <c r="BN207"/>
  <c r="BM207"/>
  <c r="BL207" s="1"/>
  <c r="BK207"/>
  <c r="BJ207"/>
  <c r="BI207"/>
  <c r="BH207"/>
  <c r="BG207"/>
  <c r="BF207"/>
  <c r="BE207"/>
  <c r="BD207"/>
  <c r="BC207"/>
  <c r="BB207"/>
  <c r="AX207"/>
  <c r="AW207"/>
  <c r="AV207"/>
  <c r="AC207"/>
  <c r="H207"/>
  <c r="BT206"/>
  <c r="BS206"/>
  <c r="BR206"/>
  <c r="BQ206"/>
  <c r="BP206"/>
  <c r="BO206"/>
  <c r="BN206"/>
  <c r="BM206"/>
  <c r="BL206" s="1"/>
  <c r="BK206"/>
  <c r="BJ206"/>
  <c r="BI206"/>
  <c r="BH206"/>
  <c r="BG206"/>
  <c r="BF206"/>
  <c r="BE206"/>
  <c r="BD206"/>
  <c r="BC206"/>
  <c r="BB206"/>
  <c r="AX206"/>
  <c r="AW206"/>
  <c r="AV206"/>
  <c r="AC206"/>
  <c r="H206"/>
  <c r="G206" s="1"/>
  <c r="BT205"/>
  <c r="BS205"/>
  <c r="BR205"/>
  <c r="BQ205"/>
  <c r="BP205"/>
  <c r="BO205"/>
  <c r="BN205"/>
  <c r="BM205"/>
  <c r="BK205"/>
  <c r="BJ205"/>
  <c r="BI205"/>
  <c r="BH205"/>
  <c r="BG205"/>
  <c r="BF205"/>
  <c r="BE205"/>
  <c r="BD205"/>
  <c r="BC205"/>
  <c r="BB205"/>
  <c r="AX205"/>
  <c r="AW205"/>
  <c r="AV205"/>
  <c r="AC205"/>
  <c r="H205"/>
  <c r="G205" s="1"/>
  <c r="BT388"/>
  <c r="BS388"/>
  <c r="BR388"/>
  <c r="BQ388"/>
  <c r="BP388"/>
  <c r="BO388"/>
  <c r="BN388"/>
  <c r="BM388"/>
  <c r="BK388"/>
  <c r="BJ388"/>
  <c r="BI388"/>
  <c r="BH388"/>
  <c r="BG388"/>
  <c r="BF388"/>
  <c r="BE388"/>
  <c r="BD388"/>
  <c r="BC388"/>
  <c r="BB388"/>
  <c r="BA388" s="1"/>
  <c r="AX388"/>
  <c r="AW388"/>
  <c r="AV388"/>
  <c r="AC388"/>
  <c r="H388"/>
  <c r="G388"/>
  <c r="BT387"/>
  <c r="BS387"/>
  <c r="BR387"/>
  <c r="BQ387"/>
  <c r="BP387"/>
  <c r="BO387"/>
  <c r="BN387"/>
  <c r="BM387"/>
  <c r="BL387" s="1"/>
  <c r="BK387"/>
  <c r="BJ387"/>
  <c r="BI387"/>
  <c r="BH387"/>
  <c r="BG387"/>
  <c r="BF387"/>
  <c r="BE387"/>
  <c r="BD387"/>
  <c r="BC387"/>
  <c r="BB387"/>
  <c r="BA387" s="1"/>
  <c r="AZ387" s="1"/>
  <c r="AX387"/>
  <c r="AW387"/>
  <c r="AV387"/>
  <c r="AC387"/>
  <c r="H387"/>
  <c r="G387" s="1"/>
  <c r="BT386"/>
  <c r="BS386"/>
  <c r="BR386"/>
  <c r="BQ386"/>
  <c r="BP386"/>
  <c r="BO386"/>
  <c r="BN386"/>
  <c r="BM386"/>
  <c r="BL386" s="1"/>
  <c r="BK386"/>
  <c r="BJ386"/>
  <c r="BI386"/>
  <c r="BH386"/>
  <c r="BG386"/>
  <c r="BF386"/>
  <c r="BE386"/>
  <c r="BD386"/>
  <c r="BC386"/>
  <c r="BB386"/>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M384"/>
  <c r="BL384" s="1"/>
  <c r="BK384"/>
  <c r="BJ384"/>
  <c r="BI384"/>
  <c r="BH384"/>
  <c r="BG384"/>
  <c r="BF384"/>
  <c r="BE384"/>
  <c r="BD384"/>
  <c r="BC384"/>
  <c r="BB384"/>
  <c r="AX384"/>
  <c r="AW384"/>
  <c r="AV384"/>
  <c r="AC384"/>
  <c r="H384"/>
  <c r="BT383"/>
  <c r="BS383"/>
  <c r="BR383"/>
  <c r="BQ383"/>
  <c r="BP383"/>
  <c r="BO383"/>
  <c r="BN383"/>
  <c r="BM383"/>
  <c r="BK383"/>
  <c r="BJ383"/>
  <c r="BI383"/>
  <c r="BH383"/>
  <c r="BG383"/>
  <c r="BF383"/>
  <c r="BE383"/>
  <c r="BD383"/>
  <c r="BC383"/>
  <c r="BB383"/>
  <c r="BA383" s="1"/>
  <c r="AX383"/>
  <c r="AW383"/>
  <c r="AV383"/>
  <c r="AC383"/>
  <c r="H383"/>
  <c r="G383" s="1"/>
  <c r="BT382"/>
  <c r="BS382"/>
  <c r="BR382"/>
  <c r="BQ382"/>
  <c r="BP382"/>
  <c r="BO382"/>
  <c r="BN382"/>
  <c r="BM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G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s="1"/>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G375" s="1"/>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AX370"/>
  <c r="AW370"/>
  <c r="AV370"/>
  <c r="AC370"/>
  <c r="H370"/>
  <c r="G370"/>
  <c r="BT369"/>
  <c r="BS369"/>
  <c r="BR369"/>
  <c r="BQ369"/>
  <c r="BP369"/>
  <c r="BO369"/>
  <c r="BN369"/>
  <c r="BM369"/>
  <c r="BL369" s="1"/>
  <c r="BK369"/>
  <c r="BJ369"/>
  <c r="BI369"/>
  <c r="BH369"/>
  <c r="BG369"/>
  <c r="BF369"/>
  <c r="BE369"/>
  <c r="BD369"/>
  <c r="BC369"/>
  <c r="BB369"/>
  <c r="BA369" s="1"/>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N367"/>
  <c r="BM367"/>
  <c r="BK367"/>
  <c r="BJ367"/>
  <c r="BI367"/>
  <c r="BH367"/>
  <c r="BG367"/>
  <c r="BF367"/>
  <c r="BE367"/>
  <c r="BD367"/>
  <c r="BC367"/>
  <c r="BB367"/>
  <c r="BA367" s="1"/>
  <c r="AX367"/>
  <c r="AW367"/>
  <c r="AV367"/>
  <c r="AC367"/>
  <c r="H367"/>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G365"/>
  <c r="BT364"/>
  <c r="BS364"/>
  <c r="BR364"/>
  <c r="BQ364"/>
  <c r="BP364"/>
  <c r="BO364"/>
  <c r="BN364"/>
  <c r="BM364"/>
  <c r="BL364" s="1"/>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L351"/>
  <c r="BK351"/>
  <c r="BJ351"/>
  <c r="BI351"/>
  <c r="BH351"/>
  <c r="BG351"/>
  <c r="BF351"/>
  <c r="BE351"/>
  <c r="BD351"/>
  <c r="BC351"/>
  <c r="BB351"/>
  <c r="BA351" s="1"/>
  <c r="AX351"/>
  <c r="AW351"/>
  <c r="AV351"/>
  <c r="AC351"/>
  <c r="H351"/>
  <c r="BT350"/>
  <c r="BS350"/>
  <c r="BR350"/>
  <c r="BQ350"/>
  <c r="BP350"/>
  <c r="BO350"/>
  <c r="BN350"/>
  <c r="BM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L346" s="1"/>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L335" s="1"/>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BA334" s="1"/>
  <c r="AX334"/>
  <c r="AW334"/>
  <c r="AV334"/>
  <c r="AC334"/>
  <c r="H334"/>
  <c r="BT333"/>
  <c r="BS333"/>
  <c r="BR333"/>
  <c r="BQ333"/>
  <c r="BP333"/>
  <c r="BO333"/>
  <c r="BN333"/>
  <c r="BM333"/>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s="1"/>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L326" s="1"/>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G325" s="1"/>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L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BA318"/>
  <c r="AX318"/>
  <c r="AW318"/>
  <c r="AV318"/>
  <c r="AC318"/>
  <c r="H318"/>
  <c r="BT317"/>
  <c r="BS317"/>
  <c r="BR317"/>
  <c r="BQ317"/>
  <c r="BP317"/>
  <c r="BO317"/>
  <c r="BN317"/>
  <c r="BM317"/>
  <c r="BK317"/>
  <c r="BJ317"/>
  <c r="BI317"/>
  <c r="BH317"/>
  <c r="BG317"/>
  <c r="BF317"/>
  <c r="BE317"/>
  <c r="BD317"/>
  <c r="BC317"/>
  <c r="BB317"/>
  <c r="AX317"/>
  <c r="AW317"/>
  <c r="AV317"/>
  <c r="AC317"/>
  <c r="H317"/>
  <c r="G317" s="1"/>
  <c r="BT316"/>
  <c r="BS316"/>
  <c r="BR316"/>
  <c r="BQ316"/>
  <c r="BP316"/>
  <c r="BO316"/>
  <c r="BN316"/>
  <c r="BM316"/>
  <c r="BL316" s="1"/>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AX315"/>
  <c r="AW315"/>
  <c r="AV315"/>
  <c r="AC315"/>
  <c r="H315"/>
  <c r="G315" s="1"/>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L312" s="1"/>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BA311" s="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L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G305" s="1"/>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L302" s="1"/>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AX297"/>
  <c r="AW297"/>
  <c r="AV297"/>
  <c r="AC297"/>
  <c r="H297"/>
  <c r="BT480"/>
  <c r="BS480"/>
  <c r="BR480"/>
  <c r="BQ480"/>
  <c r="BP480"/>
  <c r="BO480"/>
  <c r="BN480"/>
  <c r="BM480"/>
  <c r="BL480" s="1"/>
  <c r="BK480"/>
  <c r="BJ480"/>
  <c r="BI480"/>
  <c r="BH480"/>
  <c r="BG480"/>
  <c r="BF480"/>
  <c r="BE480"/>
  <c r="BD480"/>
  <c r="BC480"/>
  <c r="BB480"/>
  <c r="AX480"/>
  <c r="AW480"/>
  <c r="AV480"/>
  <c r="AC480"/>
  <c r="H480"/>
  <c r="BT479"/>
  <c r="BS479"/>
  <c r="BR479"/>
  <c r="BQ479"/>
  <c r="BP479"/>
  <c r="BO479"/>
  <c r="BN479"/>
  <c r="BM479"/>
  <c r="BK479"/>
  <c r="BJ479"/>
  <c r="BI479"/>
  <c r="BH479"/>
  <c r="BG479"/>
  <c r="BF479"/>
  <c r="BE479"/>
  <c r="BD479"/>
  <c r="BC479"/>
  <c r="BB479"/>
  <c r="BA479"/>
  <c r="AX479"/>
  <c r="AW479"/>
  <c r="AV479"/>
  <c r="AC479"/>
  <c r="H479"/>
  <c r="G479"/>
  <c r="BT478"/>
  <c r="BS478"/>
  <c r="BR478"/>
  <c r="BQ478"/>
  <c r="BP478"/>
  <c r="BO478"/>
  <c r="BN478"/>
  <c r="BM478"/>
  <c r="BL478" s="1"/>
  <c r="BK478"/>
  <c r="BJ478"/>
  <c r="BI478"/>
  <c r="BH478"/>
  <c r="BG478"/>
  <c r="BF478"/>
  <c r="BE478"/>
  <c r="BD478"/>
  <c r="BC478"/>
  <c r="BB478"/>
  <c r="BA478" s="1"/>
  <c r="AZ478" s="1"/>
  <c r="AX478"/>
  <c r="AW478"/>
  <c r="AV478"/>
  <c r="AC478"/>
  <c r="H478"/>
  <c r="BT477"/>
  <c r="BS477"/>
  <c r="BR477"/>
  <c r="BQ477"/>
  <c r="BP477"/>
  <c r="BO477"/>
  <c r="BN477"/>
  <c r="BM477"/>
  <c r="BK477"/>
  <c r="BJ477"/>
  <c r="BI477"/>
  <c r="BH477"/>
  <c r="BG477"/>
  <c r="BF477"/>
  <c r="BE477"/>
  <c r="BD477"/>
  <c r="BC477"/>
  <c r="BB477"/>
  <c r="AX477"/>
  <c r="AW477"/>
  <c r="AV477"/>
  <c r="AC477"/>
  <c r="H477"/>
  <c r="G477" s="1"/>
  <c r="BT476"/>
  <c r="BS476"/>
  <c r="BR476"/>
  <c r="BQ476"/>
  <c r="BP476"/>
  <c r="BO476"/>
  <c r="BN476"/>
  <c r="BM476"/>
  <c r="BL476" s="1"/>
  <c r="BK476"/>
  <c r="BJ476"/>
  <c r="BI476"/>
  <c r="BH476"/>
  <c r="BG476"/>
  <c r="BF476"/>
  <c r="BE476"/>
  <c r="BD476"/>
  <c r="BC476"/>
  <c r="BB476"/>
  <c r="AX476"/>
  <c r="AW476"/>
  <c r="AV476"/>
  <c r="AC476"/>
  <c r="H476"/>
  <c r="BT475"/>
  <c r="BS475"/>
  <c r="BR475"/>
  <c r="BQ475"/>
  <c r="BP475"/>
  <c r="BO475"/>
  <c r="BN475"/>
  <c r="BM475"/>
  <c r="BK475"/>
  <c r="BJ475"/>
  <c r="BI475"/>
  <c r="BH475"/>
  <c r="BG475"/>
  <c r="BF475"/>
  <c r="BE475"/>
  <c r="BD475"/>
  <c r="BC475"/>
  <c r="BB475"/>
  <c r="BA475"/>
  <c r="AX475"/>
  <c r="AW475"/>
  <c r="AV475"/>
  <c r="AC475"/>
  <c r="H475"/>
  <c r="G475"/>
  <c r="BT474"/>
  <c r="BS474"/>
  <c r="BR474"/>
  <c r="BQ474"/>
  <c r="BP474"/>
  <c r="BO474"/>
  <c r="BN474"/>
  <c r="BM474"/>
  <c r="BL474" s="1"/>
  <c r="BK474"/>
  <c r="BJ474"/>
  <c r="BI474"/>
  <c r="BH474"/>
  <c r="BG474"/>
  <c r="BF474"/>
  <c r="BE474"/>
  <c r="BD474"/>
  <c r="BC474"/>
  <c r="BB474"/>
  <c r="BA474" s="1"/>
  <c r="AX474"/>
  <c r="AW474"/>
  <c r="AV474"/>
  <c r="AC474"/>
  <c r="H474"/>
  <c r="BT473"/>
  <c r="BS473"/>
  <c r="BR473"/>
  <c r="BQ473"/>
  <c r="BP473"/>
  <c r="BO473"/>
  <c r="BN473"/>
  <c r="BM473"/>
  <c r="BK473"/>
  <c r="BJ473"/>
  <c r="BI473"/>
  <c r="BH473"/>
  <c r="BG473"/>
  <c r="BF473"/>
  <c r="BE473"/>
  <c r="BD473"/>
  <c r="BC473"/>
  <c r="BB473"/>
  <c r="BA473"/>
  <c r="AX473"/>
  <c r="AW473"/>
  <c r="AV473"/>
  <c r="AC473"/>
  <c r="H473"/>
  <c r="BT472"/>
  <c r="BS472"/>
  <c r="BR472"/>
  <c r="BQ472"/>
  <c r="BP472"/>
  <c r="BO472"/>
  <c r="BN472"/>
  <c r="BM472"/>
  <c r="BL472"/>
  <c r="BK472"/>
  <c r="BJ472"/>
  <c r="BI472"/>
  <c r="BH472"/>
  <c r="BG472"/>
  <c r="BF472"/>
  <c r="BE472"/>
  <c r="BD472"/>
  <c r="BC472"/>
  <c r="BB472"/>
  <c r="BA472" s="1"/>
  <c r="AZ472" s="1"/>
  <c r="AX472"/>
  <c r="AW472"/>
  <c r="AV472"/>
  <c r="AC472"/>
  <c r="H472"/>
  <c r="G472"/>
  <c r="BT471"/>
  <c r="BS471"/>
  <c r="BR471"/>
  <c r="BQ471"/>
  <c r="BP471"/>
  <c r="BO471"/>
  <c r="BN471"/>
  <c r="BM471"/>
  <c r="BL471" s="1"/>
  <c r="BK471"/>
  <c r="BJ471"/>
  <c r="BI471"/>
  <c r="BH471"/>
  <c r="BG471"/>
  <c r="BF471"/>
  <c r="BE471"/>
  <c r="BD471"/>
  <c r="BC471"/>
  <c r="BB471"/>
  <c r="BA471" s="1"/>
  <c r="AX471"/>
  <c r="AW471"/>
  <c r="AV471"/>
  <c r="AC471"/>
  <c r="H471"/>
  <c r="BT470"/>
  <c r="BS470"/>
  <c r="BR470"/>
  <c r="BQ470"/>
  <c r="BP470"/>
  <c r="BO470"/>
  <c r="BN470"/>
  <c r="BM470"/>
  <c r="BK470"/>
  <c r="BJ470"/>
  <c r="BI470"/>
  <c r="BH470"/>
  <c r="BG470"/>
  <c r="BF470"/>
  <c r="BE470"/>
  <c r="BD470"/>
  <c r="BC470"/>
  <c r="BB470"/>
  <c r="BA470"/>
  <c r="AX470"/>
  <c r="AW470"/>
  <c r="AV470"/>
  <c r="AC470"/>
  <c r="H470"/>
  <c r="BT469"/>
  <c r="BS469"/>
  <c r="BR469"/>
  <c r="BQ469"/>
  <c r="BP469"/>
  <c r="BO469"/>
  <c r="BN469"/>
  <c r="BM469"/>
  <c r="BL469"/>
  <c r="BK469"/>
  <c r="BJ469"/>
  <c r="BI469"/>
  <c r="BH469"/>
  <c r="BG469"/>
  <c r="BF469"/>
  <c r="BE469"/>
  <c r="BD469"/>
  <c r="BC469"/>
  <c r="BB469"/>
  <c r="BA469" s="1"/>
  <c r="AZ469" s="1"/>
  <c r="AX469"/>
  <c r="AW469"/>
  <c r="AV469"/>
  <c r="AC469"/>
  <c r="H469"/>
  <c r="BT468"/>
  <c r="BS468"/>
  <c r="BR468"/>
  <c r="BQ468"/>
  <c r="BP468"/>
  <c r="BO468"/>
  <c r="BN468"/>
  <c r="BM468"/>
  <c r="BL468"/>
  <c r="BK468"/>
  <c r="BJ468"/>
  <c r="BI468"/>
  <c r="BH468"/>
  <c r="BG468"/>
  <c r="BF468"/>
  <c r="BE468"/>
  <c r="BD468"/>
  <c r="BC468"/>
  <c r="BB468"/>
  <c r="BA468" s="1"/>
  <c r="AZ468" s="1"/>
  <c r="AX468"/>
  <c r="AW468"/>
  <c r="AV468"/>
  <c r="AC468"/>
  <c r="H468"/>
  <c r="G468"/>
  <c r="BT467"/>
  <c r="BS467"/>
  <c r="BR467"/>
  <c r="BQ467"/>
  <c r="BP467"/>
  <c r="BO467"/>
  <c r="BN467"/>
  <c r="BM467"/>
  <c r="BL467" s="1"/>
  <c r="BK467"/>
  <c r="BJ467"/>
  <c r="BI467"/>
  <c r="BH467"/>
  <c r="BG467"/>
  <c r="BF467"/>
  <c r="BE467"/>
  <c r="BD467"/>
  <c r="BC467"/>
  <c r="BB467"/>
  <c r="BA467" s="1"/>
  <c r="AX467"/>
  <c r="AW467"/>
  <c r="AV467"/>
  <c r="AC467"/>
  <c r="H467"/>
  <c r="BT466"/>
  <c r="BS466"/>
  <c r="BR466"/>
  <c r="BQ466"/>
  <c r="BP466"/>
  <c r="BO466"/>
  <c r="BN466"/>
  <c r="BM466"/>
  <c r="BK466"/>
  <c r="BJ466"/>
  <c r="BI466"/>
  <c r="BH466"/>
  <c r="BG466"/>
  <c r="BF466"/>
  <c r="BE466"/>
  <c r="BD466"/>
  <c r="BC466"/>
  <c r="BB466"/>
  <c r="BA466"/>
  <c r="AX466"/>
  <c r="AW466"/>
  <c r="AV466"/>
  <c r="AC466"/>
  <c r="H466"/>
  <c r="G466"/>
  <c r="BT465"/>
  <c r="BS465"/>
  <c r="BR465"/>
  <c r="BQ465"/>
  <c r="BP465"/>
  <c r="BO465"/>
  <c r="BN465"/>
  <c r="BM465"/>
  <c r="BL465" s="1"/>
  <c r="BK465"/>
  <c r="BJ465"/>
  <c r="BI465"/>
  <c r="BH465"/>
  <c r="BG465"/>
  <c r="BF465"/>
  <c r="BE465"/>
  <c r="BD465"/>
  <c r="BC465"/>
  <c r="BB465"/>
  <c r="BA465" s="1"/>
  <c r="AX465"/>
  <c r="AW465"/>
  <c r="AV465"/>
  <c r="AC465"/>
  <c r="H465"/>
  <c r="BT464"/>
  <c r="BS464"/>
  <c r="BR464"/>
  <c r="BQ464"/>
  <c r="BP464"/>
  <c r="BO464"/>
  <c r="BN464"/>
  <c r="BM464"/>
  <c r="BK464"/>
  <c r="BJ464"/>
  <c r="BI464"/>
  <c r="BH464"/>
  <c r="BG464"/>
  <c r="BF464"/>
  <c r="BE464"/>
  <c r="BD464"/>
  <c r="BC464"/>
  <c r="BB464"/>
  <c r="AX464"/>
  <c r="AW464"/>
  <c r="AV464"/>
  <c r="AC464"/>
  <c r="H464"/>
  <c r="G464" s="1"/>
  <c r="BT463"/>
  <c r="BS463"/>
  <c r="BR463"/>
  <c r="BQ463"/>
  <c r="BP463"/>
  <c r="BO463"/>
  <c r="BN463"/>
  <c r="BM463"/>
  <c r="BK463"/>
  <c r="BJ463"/>
  <c r="BI463"/>
  <c r="BH463"/>
  <c r="BG463"/>
  <c r="BF463"/>
  <c r="BE463"/>
  <c r="BD463"/>
  <c r="BC463"/>
  <c r="BB463"/>
  <c r="BA463" s="1"/>
  <c r="AX463"/>
  <c r="AW463"/>
  <c r="AV463"/>
  <c r="AC463"/>
  <c r="H463"/>
  <c r="G463" s="1"/>
  <c r="BT462"/>
  <c r="BS462"/>
  <c r="BR462"/>
  <c r="BQ462"/>
  <c r="BP462"/>
  <c r="BO462"/>
  <c r="BN462"/>
  <c r="BM462"/>
  <c r="BK462"/>
  <c r="BJ462"/>
  <c r="BI462"/>
  <c r="BH462"/>
  <c r="BG462"/>
  <c r="BF462"/>
  <c r="BE462"/>
  <c r="BD462"/>
  <c r="BC462"/>
  <c r="BB462"/>
  <c r="AX462"/>
  <c r="AW462"/>
  <c r="AV462"/>
  <c r="AC462"/>
  <c r="H462"/>
  <c r="G462" s="1"/>
  <c r="BT461"/>
  <c r="BS461"/>
  <c r="BR461"/>
  <c r="BQ461"/>
  <c r="BP461"/>
  <c r="BO461"/>
  <c r="BN461"/>
  <c r="BM461"/>
  <c r="BL461" s="1"/>
  <c r="BK461"/>
  <c r="BJ461"/>
  <c r="BI461"/>
  <c r="BH461"/>
  <c r="BG461"/>
  <c r="BF461"/>
  <c r="BE461"/>
  <c r="BD461"/>
  <c r="BC461"/>
  <c r="BB461"/>
  <c r="AX461"/>
  <c r="AW461"/>
  <c r="AV461"/>
  <c r="AC461"/>
  <c r="H461"/>
  <c r="BT460"/>
  <c r="BS460"/>
  <c r="BR460"/>
  <c r="BQ460"/>
  <c r="BP460"/>
  <c r="BO460"/>
  <c r="BN460"/>
  <c r="BM460"/>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B459"/>
  <c r="BA459" s="1"/>
  <c r="AX459"/>
  <c r="AW459"/>
  <c r="AV459"/>
  <c r="AC459"/>
  <c r="H459"/>
  <c r="G459" s="1"/>
  <c r="BT458"/>
  <c r="BS458"/>
  <c r="BR458"/>
  <c r="BQ458"/>
  <c r="BP458"/>
  <c r="BO458"/>
  <c r="BN458"/>
  <c r="BM458"/>
  <c r="BK458"/>
  <c r="BJ458"/>
  <c r="BI458"/>
  <c r="BH458"/>
  <c r="BG458"/>
  <c r="BF458"/>
  <c r="BE458"/>
  <c r="BD458"/>
  <c r="BC458"/>
  <c r="BB458"/>
  <c r="AX458"/>
  <c r="AW458"/>
  <c r="AV458"/>
  <c r="AC458"/>
  <c r="H458"/>
  <c r="G458" s="1"/>
  <c r="BT457"/>
  <c r="BS457"/>
  <c r="BR457"/>
  <c r="BQ457"/>
  <c r="BP457"/>
  <c r="BO457"/>
  <c r="BN457"/>
  <c r="BM457"/>
  <c r="BK457"/>
  <c r="BJ457"/>
  <c r="BI457"/>
  <c r="BH457"/>
  <c r="BG457"/>
  <c r="BF457"/>
  <c r="BE457"/>
  <c r="BD457"/>
  <c r="BC457"/>
  <c r="BB457"/>
  <c r="BA457" s="1"/>
  <c r="AX457"/>
  <c r="AW457"/>
  <c r="AV457"/>
  <c r="AC457"/>
  <c r="H457"/>
  <c r="BT456"/>
  <c r="BS456"/>
  <c r="BR456"/>
  <c r="BQ456"/>
  <c r="BP456"/>
  <c r="BO456"/>
  <c r="BN456"/>
  <c r="BM456"/>
  <c r="BL456" s="1"/>
  <c r="BK456"/>
  <c r="BJ456"/>
  <c r="BI456"/>
  <c r="BH456"/>
  <c r="BG456"/>
  <c r="BF456"/>
  <c r="BE456"/>
  <c r="BD456"/>
  <c r="BC456"/>
  <c r="BB456"/>
  <c r="AX456"/>
  <c r="AW456"/>
  <c r="AV456"/>
  <c r="AC456"/>
  <c r="H456"/>
  <c r="BT455"/>
  <c r="BS455"/>
  <c r="BR455"/>
  <c r="BQ455"/>
  <c r="BP455"/>
  <c r="BO455"/>
  <c r="BN455"/>
  <c r="BM455"/>
  <c r="BL455" s="1"/>
  <c r="BK455"/>
  <c r="BJ455"/>
  <c r="BI455"/>
  <c r="BH455"/>
  <c r="BG455"/>
  <c r="BF455"/>
  <c r="BE455"/>
  <c r="BD455"/>
  <c r="BC455"/>
  <c r="BB455"/>
  <c r="AX455"/>
  <c r="AW455"/>
  <c r="AV455"/>
  <c r="AC455"/>
  <c r="H455"/>
  <c r="BT454"/>
  <c r="BS454"/>
  <c r="BR454"/>
  <c r="BQ454"/>
  <c r="BP454"/>
  <c r="BO454"/>
  <c r="BN454"/>
  <c r="BM454"/>
  <c r="BL454" s="1"/>
  <c r="BK454"/>
  <c r="BJ454"/>
  <c r="BI454"/>
  <c r="BH454"/>
  <c r="BG454"/>
  <c r="BF454"/>
  <c r="BE454"/>
  <c r="BD454"/>
  <c r="BC454"/>
  <c r="BB454"/>
  <c r="AX454"/>
  <c r="AW454"/>
  <c r="AV454"/>
  <c r="AC454"/>
  <c r="H454"/>
  <c r="BT453"/>
  <c r="BS453"/>
  <c r="BR453"/>
  <c r="BQ453"/>
  <c r="BP453"/>
  <c r="BO453"/>
  <c r="BN453"/>
  <c r="BM453"/>
  <c r="BL453" s="1"/>
  <c r="BK453"/>
  <c r="BJ453"/>
  <c r="BI453"/>
  <c r="BH453"/>
  <c r="BG453"/>
  <c r="BF453"/>
  <c r="BE453"/>
  <c r="BD453"/>
  <c r="BC453"/>
  <c r="BB453"/>
  <c r="AX453"/>
  <c r="AW453"/>
  <c r="AV453"/>
  <c r="AC453"/>
  <c r="H453"/>
  <c r="G453" s="1"/>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BA451" s="1"/>
  <c r="AX451"/>
  <c r="AW451"/>
  <c r="AV451"/>
  <c r="AC451"/>
  <c r="H451"/>
  <c r="BT450"/>
  <c r="BS450"/>
  <c r="BR450"/>
  <c r="BQ450"/>
  <c r="BP450"/>
  <c r="BO450"/>
  <c r="BN450"/>
  <c r="BM450"/>
  <c r="BL450" s="1"/>
  <c r="BK450"/>
  <c r="BJ450"/>
  <c r="BI450"/>
  <c r="BH450"/>
  <c r="BG450"/>
  <c r="BF450"/>
  <c r="BE450"/>
  <c r="BD450"/>
  <c r="BC450"/>
  <c r="BB450"/>
  <c r="AX450"/>
  <c r="AW450"/>
  <c r="AV450"/>
  <c r="AC450"/>
  <c r="H450"/>
  <c r="BT449"/>
  <c r="BS449"/>
  <c r="BR449"/>
  <c r="BQ449"/>
  <c r="BP449"/>
  <c r="BO449"/>
  <c r="BN449"/>
  <c r="BM449"/>
  <c r="BL449" s="1"/>
  <c r="BK449"/>
  <c r="BJ449"/>
  <c r="BI449"/>
  <c r="BH449"/>
  <c r="BG449"/>
  <c r="BF449"/>
  <c r="BE449"/>
  <c r="BD449"/>
  <c r="BC449"/>
  <c r="BB449"/>
  <c r="AX449"/>
  <c r="AW449"/>
  <c r="AV449"/>
  <c r="AC449"/>
  <c r="H449"/>
  <c r="BT448"/>
  <c r="BS448"/>
  <c r="BR448"/>
  <c r="BQ448"/>
  <c r="BP448"/>
  <c r="BO448"/>
  <c r="BN448"/>
  <c r="BM448"/>
  <c r="BL448" s="1"/>
  <c r="BK448"/>
  <c r="BJ448"/>
  <c r="BI448"/>
  <c r="BH448"/>
  <c r="BG448"/>
  <c r="BF448"/>
  <c r="BE448"/>
  <c r="BD448"/>
  <c r="BC448"/>
  <c r="BB448"/>
  <c r="AX448"/>
  <c r="AW448"/>
  <c r="AV448"/>
  <c r="AC448"/>
  <c r="H448"/>
  <c r="G448" s="1"/>
  <c r="BT447"/>
  <c r="BS447"/>
  <c r="BR447"/>
  <c r="BQ447"/>
  <c r="BP447"/>
  <c r="BO447"/>
  <c r="BN447"/>
  <c r="BM447"/>
  <c r="BK447"/>
  <c r="BJ447"/>
  <c r="BI447"/>
  <c r="BH447"/>
  <c r="BG447"/>
  <c r="BF447"/>
  <c r="BE447"/>
  <c r="BD447"/>
  <c r="BC447"/>
  <c r="BB447"/>
  <c r="AX447"/>
  <c r="AW447"/>
  <c r="AV447"/>
  <c r="AC447"/>
  <c r="H447"/>
  <c r="G447" s="1"/>
  <c r="BT446"/>
  <c r="BS446"/>
  <c r="BR446"/>
  <c r="BQ446"/>
  <c r="BP446"/>
  <c r="BO446"/>
  <c r="BN446"/>
  <c r="BM446"/>
  <c r="BL446" s="1"/>
  <c r="BK446"/>
  <c r="BJ446"/>
  <c r="BI446"/>
  <c r="BH446"/>
  <c r="BG446"/>
  <c r="BF446"/>
  <c r="BE446"/>
  <c r="BD446"/>
  <c r="BC446"/>
  <c r="BB446"/>
  <c r="AX446"/>
  <c r="AW446"/>
  <c r="AV446"/>
  <c r="AC446"/>
  <c r="H446"/>
  <c r="BT445"/>
  <c r="BS445"/>
  <c r="BR445"/>
  <c r="BQ445"/>
  <c r="BP445"/>
  <c r="BO445"/>
  <c r="BN445"/>
  <c r="BM445"/>
  <c r="BK445"/>
  <c r="BJ445"/>
  <c r="BI445"/>
  <c r="BH445"/>
  <c r="BG445"/>
  <c r="BF445"/>
  <c r="BE445"/>
  <c r="BD445"/>
  <c r="BC445"/>
  <c r="BB445"/>
  <c r="AX445"/>
  <c r="AW445"/>
  <c r="AV445"/>
  <c r="AC445"/>
  <c r="H445"/>
  <c r="G445" s="1"/>
  <c r="BT444"/>
  <c r="BS444"/>
  <c r="BR444"/>
  <c r="BQ444"/>
  <c r="BP444"/>
  <c r="BO444"/>
  <c r="BN444"/>
  <c r="BM444"/>
  <c r="BK444"/>
  <c r="BJ444"/>
  <c r="BI444"/>
  <c r="BH444"/>
  <c r="BG444"/>
  <c r="BF444"/>
  <c r="BE444"/>
  <c r="BD444"/>
  <c r="BC444"/>
  <c r="BB444"/>
  <c r="BA444" s="1"/>
  <c r="AX444"/>
  <c r="AW444"/>
  <c r="AV444"/>
  <c r="AC444"/>
  <c r="H444"/>
  <c r="G444" s="1"/>
  <c r="BT443"/>
  <c r="BS443"/>
  <c r="BR443"/>
  <c r="BQ443"/>
  <c r="BP443"/>
  <c r="BO443"/>
  <c r="BN443"/>
  <c r="BM443"/>
  <c r="BK443"/>
  <c r="BJ443"/>
  <c r="BI443"/>
  <c r="BH443"/>
  <c r="BG443"/>
  <c r="BF443"/>
  <c r="BE443"/>
  <c r="BD443"/>
  <c r="BC443"/>
  <c r="BB443"/>
  <c r="AX443"/>
  <c r="AW443"/>
  <c r="AV443"/>
  <c r="AC443"/>
  <c r="H443"/>
  <c r="G443" s="1"/>
  <c r="BT442"/>
  <c r="BS442"/>
  <c r="BR442"/>
  <c r="BQ442"/>
  <c r="BP442"/>
  <c r="BO442"/>
  <c r="BN442"/>
  <c r="BM442"/>
  <c r="BL442" s="1"/>
  <c r="BK442"/>
  <c r="BJ442"/>
  <c r="BI442"/>
  <c r="BH442"/>
  <c r="BG442"/>
  <c r="BF442"/>
  <c r="BE442"/>
  <c r="BD442"/>
  <c r="BC442"/>
  <c r="BB442"/>
  <c r="AX442"/>
  <c r="AW442"/>
  <c r="AV442"/>
  <c r="AC442"/>
  <c r="H442"/>
  <c r="BT441"/>
  <c r="BS441"/>
  <c r="BR441"/>
  <c r="BQ441"/>
  <c r="BP441"/>
  <c r="BO441"/>
  <c r="BN441"/>
  <c r="BM441"/>
  <c r="BK441"/>
  <c r="BJ441"/>
  <c r="BI441"/>
  <c r="BH441"/>
  <c r="BG441"/>
  <c r="BF441"/>
  <c r="BE441"/>
  <c r="BD441"/>
  <c r="BC441"/>
  <c r="BB441"/>
  <c r="AX441"/>
  <c r="AW441"/>
  <c r="AV441"/>
  <c r="AC441"/>
  <c r="H441"/>
  <c r="G441" s="1"/>
  <c r="BT440"/>
  <c r="BS440"/>
  <c r="BR440"/>
  <c r="BQ440"/>
  <c r="BP440"/>
  <c r="BO440"/>
  <c r="BN440"/>
  <c r="BM440"/>
  <c r="BL440" s="1"/>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BA439"/>
  <c r="AX439"/>
  <c r="AW439"/>
  <c r="AV439"/>
  <c r="AC439"/>
  <c r="H439"/>
  <c r="G439"/>
  <c r="BT438"/>
  <c r="BS438"/>
  <c r="BR438"/>
  <c r="BQ438"/>
  <c r="BP438"/>
  <c r="BO438"/>
  <c r="BN438"/>
  <c r="BM438"/>
  <c r="BL438" s="1"/>
  <c r="BK438"/>
  <c r="BJ438"/>
  <c r="BI438"/>
  <c r="BH438"/>
  <c r="BG438"/>
  <c r="BF438"/>
  <c r="BE438"/>
  <c r="BD438"/>
  <c r="BC438"/>
  <c r="BB438"/>
  <c r="BA438" s="1"/>
  <c r="AX438"/>
  <c r="AW438"/>
  <c r="AV438"/>
  <c r="AC438"/>
  <c r="H438"/>
  <c r="BT437"/>
  <c r="BS437"/>
  <c r="BR437"/>
  <c r="BQ437"/>
  <c r="BP437"/>
  <c r="BO437"/>
  <c r="BN437"/>
  <c r="BM437"/>
  <c r="BK437"/>
  <c r="BJ437"/>
  <c r="BI437"/>
  <c r="BH437"/>
  <c r="BG437"/>
  <c r="BF437"/>
  <c r="BE437"/>
  <c r="BD437"/>
  <c r="BC437"/>
  <c r="BB437"/>
  <c r="BA437"/>
  <c r="AX437"/>
  <c r="AW437"/>
  <c r="AV437"/>
  <c r="AC437"/>
  <c r="H437"/>
  <c r="BT436"/>
  <c r="BS436"/>
  <c r="BR436"/>
  <c r="BQ436"/>
  <c r="BP436"/>
  <c r="BO436"/>
  <c r="BN436"/>
  <c r="BM436"/>
  <c r="BL436"/>
  <c r="BK436"/>
  <c r="BJ436"/>
  <c r="BI436"/>
  <c r="BH436"/>
  <c r="BG436"/>
  <c r="BF436"/>
  <c r="BE436"/>
  <c r="BD436"/>
  <c r="BC436"/>
  <c r="BB436"/>
  <c r="BA436" s="1"/>
  <c r="AZ436" s="1"/>
  <c r="AX436"/>
  <c r="AW436"/>
  <c r="AV436"/>
  <c r="AC436"/>
  <c r="H436"/>
  <c r="BT435"/>
  <c r="BS435"/>
  <c r="BR435"/>
  <c r="BQ435"/>
  <c r="BP435"/>
  <c r="BO435"/>
  <c r="BN435"/>
  <c r="BM435"/>
  <c r="BL435"/>
  <c r="BK435"/>
  <c r="BJ435"/>
  <c r="BI435"/>
  <c r="BH435"/>
  <c r="BG435"/>
  <c r="BF435"/>
  <c r="BE435"/>
  <c r="BD435"/>
  <c r="BC435"/>
  <c r="BB435"/>
  <c r="BA435" s="1"/>
  <c r="AZ435" s="1"/>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BT433"/>
  <c r="BS433"/>
  <c r="BR433"/>
  <c r="BQ433"/>
  <c r="BP433"/>
  <c r="BO433"/>
  <c r="BN433"/>
  <c r="BM433"/>
  <c r="BK433"/>
  <c r="BJ433"/>
  <c r="BI433"/>
  <c r="BH433"/>
  <c r="BG433"/>
  <c r="BF433"/>
  <c r="BE433"/>
  <c r="BD433"/>
  <c r="BC433"/>
  <c r="BB433"/>
  <c r="BA433"/>
  <c r="AX433"/>
  <c r="AW433"/>
  <c r="AV433"/>
  <c r="AC433"/>
  <c r="H433"/>
  <c r="G433"/>
  <c r="BT432"/>
  <c r="BS432"/>
  <c r="BR432"/>
  <c r="BQ432"/>
  <c r="BP432"/>
  <c r="BO432"/>
  <c r="BN432"/>
  <c r="BM432"/>
  <c r="BL432" s="1"/>
  <c r="BK432"/>
  <c r="BJ432"/>
  <c r="BI432"/>
  <c r="BH432"/>
  <c r="BG432"/>
  <c r="BF432"/>
  <c r="BE432"/>
  <c r="BD432"/>
  <c r="BC432"/>
  <c r="BB432"/>
  <c r="BA432" s="1"/>
  <c r="AX432"/>
  <c r="AW432"/>
  <c r="AV432"/>
  <c r="AC432"/>
  <c r="H432"/>
  <c r="BT431"/>
  <c r="BS431"/>
  <c r="BR431"/>
  <c r="BQ431"/>
  <c r="BP431"/>
  <c r="BO431"/>
  <c r="BN431"/>
  <c r="BM431"/>
  <c r="BK431"/>
  <c r="BJ431"/>
  <c r="BI431"/>
  <c r="BH431"/>
  <c r="BG431"/>
  <c r="BF431"/>
  <c r="BE431"/>
  <c r="BD431"/>
  <c r="BC431"/>
  <c r="BB431"/>
  <c r="AX431"/>
  <c r="AW431"/>
  <c r="AV431"/>
  <c r="AC431"/>
  <c r="H431"/>
  <c r="G431" s="1"/>
  <c r="BT430"/>
  <c r="BS430"/>
  <c r="BR430"/>
  <c r="BQ430"/>
  <c r="BP430"/>
  <c r="BO430"/>
  <c r="BN430"/>
  <c r="BM430"/>
  <c r="BL430" s="1"/>
  <c r="BK430"/>
  <c r="BJ430"/>
  <c r="BI430"/>
  <c r="BH430"/>
  <c r="BG430"/>
  <c r="BF430"/>
  <c r="BE430"/>
  <c r="BD430"/>
  <c r="BC430"/>
  <c r="BB430"/>
  <c r="AX430"/>
  <c r="AW430"/>
  <c r="AV430"/>
  <c r="AC430"/>
  <c r="H430"/>
  <c r="BT429"/>
  <c r="BS429"/>
  <c r="BR429"/>
  <c r="BQ429"/>
  <c r="BP429"/>
  <c r="BO429"/>
  <c r="BN429"/>
  <c r="BM429"/>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BA428" s="1"/>
  <c r="AX428"/>
  <c r="AW428"/>
  <c r="AV428"/>
  <c r="AC428"/>
  <c r="H428"/>
  <c r="G428" s="1"/>
  <c r="BT427"/>
  <c r="BS427"/>
  <c r="BR427"/>
  <c r="BQ427"/>
  <c r="BP427"/>
  <c r="BO427"/>
  <c r="BN427"/>
  <c r="BM427"/>
  <c r="BK427"/>
  <c r="BJ427"/>
  <c r="BI427"/>
  <c r="BH427"/>
  <c r="BG427"/>
  <c r="BF427"/>
  <c r="BE427"/>
  <c r="BD427"/>
  <c r="BC427"/>
  <c r="BB427"/>
  <c r="AX427"/>
  <c r="AW427"/>
  <c r="AV427"/>
  <c r="AC427"/>
  <c r="H427"/>
  <c r="G427" s="1"/>
  <c r="BT426"/>
  <c r="BS426"/>
  <c r="BR426"/>
  <c r="BQ426"/>
  <c r="BP426"/>
  <c r="BO426"/>
  <c r="BN426"/>
  <c r="BM426"/>
  <c r="BL426" s="1"/>
  <c r="BK426"/>
  <c r="BJ426"/>
  <c r="BI426"/>
  <c r="BH426"/>
  <c r="BG426"/>
  <c r="BF426"/>
  <c r="BE426"/>
  <c r="BD426"/>
  <c r="BC426"/>
  <c r="BB426"/>
  <c r="AX426"/>
  <c r="AW426"/>
  <c r="AV426"/>
  <c r="AC426"/>
  <c r="H426"/>
  <c r="BT425"/>
  <c r="BS425"/>
  <c r="BR425"/>
  <c r="BQ425"/>
  <c r="BP425"/>
  <c r="BO425"/>
  <c r="BN425"/>
  <c r="BM425"/>
  <c r="BK425"/>
  <c r="BJ425"/>
  <c r="BI425"/>
  <c r="BH425"/>
  <c r="BG425"/>
  <c r="BF425"/>
  <c r="BE425"/>
  <c r="BD425"/>
  <c r="BC425"/>
  <c r="BB425"/>
  <c r="AX425"/>
  <c r="AW425"/>
  <c r="AV425"/>
  <c r="AC425"/>
  <c r="H425"/>
  <c r="G425" s="1"/>
  <c r="BT424"/>
  <c r="BS424"/>
  <c r="BR424"/>
  <c r="BQ424"/>
  <c r="BP424"/>
  <c r="BO424"/>
  <c r="BN424"/>
  <c r="BM424"/>
  <c r="BK424"/>
  <c r="BJ424"/>
  <c r="BI424"/>
  <c r="BH424"/>
  <c r="BG424"/>
  <c r="BF424"/>
  <c r="BE424"/>
  <c r="BD424"/>
  <c r="BC424"/>
  <c r="BB424"/>
  <c r="BA424" s="1"/>
  <c r="AX424"/>
  <c r="AW424"/>
  <c r="AV424"/>
  <c r="AC424"/>
  <c r="H424"/>
  <c r="BT423"/>
  <c r="BS423"/>
  <c r="BR423"/>
  <c r="BQ423"/>
  <c r="BP423"/>
  <c r="BO423"/>
  <c r="BN423"/>
  <c r="BM423"/>
  <c r="BL423" s="1"/>
  <c r="BK423"/>
  <c r="BJ423"/>
  <c r="BI423"/>
  <c r="BH423"/>
  <c r="BG423"/>
  <c r="BF423"/>
  <c r="BE423"/>
  <c r="BD423"/>
  <c r="BC423"/>
  <c r="BB423"/>
  <c r="AX423"/>
  <c r="AW423"/>
  <c r="AV423"/>
  <c r="AC423"/>
  <c r="H423"/>
  <c r="BT422"/>
  <c r="BS422"/>
  <c r="BR422"/>
  <c r="BQ422"/>
  <c r="BP422"/>
  <c r="BO422"/>
  <c r="BN422"/>
  <c r="BM422"/>
  <c r="BL422" s="1"/>
  <c r="BK422"/>
  <c r="BJ422"/>
  <c r="BI422"/>
  <c r="BH422"/>
  <c r="BG422"/>
  <c r="BF422"/>
  <c r="BE422"/>
  <c r="BD422"/>
  <c r="BC422"/>
  <c r="BB422"/>
  <c r="AX422"/>
  <c r="AW422"/>
  <c r="AV422"/>
  <c r="AC422"/>
  <c r="H422"/>
  <c r="BT421"/>
  <c r="BS421"/>
  <c r="BR421"/>
  <c r="BQ421"/>
  <c r="BP421"/>
  <c r="BO421"/>
  <c r="BN421"/>
  <c r="BM421"/>
  <c r="BL421" s="1"/>
  <c r="BK421"/>
  <c r="BJ421"/>
  <c r="BI421"/>
  <c r="BH421"/>
  <c r="BG421"/>
  <c r="BF421"/>
  <c r="BE421"/>
  <c r="BD421"/>
  <c r="BC421"/>
  <c r="BB421"/>
  <c r="AX421"/>
  <c r="AW421"/>
  <c r="AV421"/>
  <c r="AC421"/>
  <c r="H421"/>
  <c r="G421" s="1"/>
  <c r="BT420"/>
  <c r="BS420"/>
  <c r="BR420"/>
  <c r="BQ420"/>
  <c r="BP420"/>
  <c r="BO420"/>
  <c r="BN420"/>
  <c r="BM420"/>
  <c r="BK420"/>
  <c r="BJ420"/>
  <c r="BI420"/>
  <c r="BH420"/>
  <c r="BG420"/>
  <c r="BF420"/>
  <c r="BE420"/>
  <c r="BD420"/>
  <c r="BC420"/>
  <c r="BB420"/>
  <c r="AX420"/>
  <c r="AW420"/>
  <c r="AV420"/>
  <c r="AC420"/>
  <c r="H420"/>
  <c r="G420" s="1"/>
  <c r="BT419"/>
  <c r="BS419"/>
  <c r="BR419"/>
  <c r="BQ419"/>
  <c r="BP419"/>
  <c r="BO419"/>
  <c r="BN419"/>
  <c r="BM419"/>
  <c r="BL419" s="1"/>
  <c r="BK419"/>
  <c r="BJ419"/>
  <c r="BI419"/>
  <c r="BH419"/>
  <c r="BG419"/>
  <c r="BF419"/>
  <c r="BE419"/>
  <c r="BD419"/>
  <c r="BC419"/>
  <c r="BB419"/>
  <c r="AX419"/>
  <c r="AW419"/>
  <c r="AV419"/>
  <c r="AC419"/>
  <c r="H419"/>
  <c r="BT418"/>
  <c r="BS418"/>
  <c r="BR418"/>
  <c r="BQ418"/>
  <c r="BP418"/>
  <c r="BO418"/>
  <c r="BN418"/>
  <c r="BM418"/>
  <c r="BK418"/>
  <c r="BJ418"/>
  <c r="BI418"/>
  <c r="BH418"/>
  <c r="BG418"/>
  <c r="BF418"/>
  <c r="BE418"/>
  <c r="BD418"/>
  <c r="BC418"/>
  <c r="BB418"/>
  <c r="BA418"/>
  <c r="AX418"/>
  <c r="AW418"/>
  <c r="AV418"/>
  <c r="AC418"/>
  <c r="H418"/>
  <c r="G418"/>
  <c r="BT417"/>
  <c r="BS417"/>
  <c r="BR417"/>
  <c r="BQ417"/>
  <c r="BP417"/>
  <c r="BO417"/>
  <c r="BN417"/>
  <c r="BM417"/>
  <c r="BL417" s="1"/>
  <c r="BK417"/>
  <c r="BJ417"/>
  <c r="BI417"/>
  <c r="BH417"/>
  <c r="BG417"/>
  <c r="BF417"/>
  <c r="BE417"/>
  <c r="BD417"/>
  <c r="BC417"/>
  <c r="BB417"/>
  <c r="BA417" s="1"/>
  <c r="AZ417" s="1"/>
  <c r="AX417"/>
  <c r="AW417"/>
  <c r="AV417"/>
  <c r="AC417"/>
  <c r="H417"/>
  <c r="BT416"/>
  <c r="BS416"/>
  <c r="BR416"/>
  <c r="BQ416"/>
  <c r="BP416"/>
  <c r="BO416"/>
  <c r="BN416"/>
  <c r="BM416"/>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BA415" s="1"/>
  <c r="AX415"/>
  <c r="AW415"/>
  <c r="AV415"/>
  <c r="AC415"/>
  <c r="H415"/>
  <c r="G415" s="1"/>
  <c r="BT414"/>
  <c r="BS414"/>
  <c r="BR414"/>
  <c r="BQ414"/>
  <c r="BP414"/>
  <c r="BO414"/>
  <c r="BN414"/>
  <c r="BM414"/>
  <c r="BK414"/>
  <c r="BJ414"/>
  <c r="BI414"/>
  <c r="BH414"/>
  <c r="BG414"/>
  <c r="BF414"/>
  <c r="BE414"/>
  <c r="BD414"/>
  <c r="BC414"/>
  <c r="BB414"/>
  <c r="AX414"/>
  <c r="AW414"/>
  <c r="AV414"/>
  <c r="AC414"/>
  <c r="H414"/>
  <c r="G414" s="1"/>
  <c r="BT413"/>
  <c r="BS413"/>
  <c r="BR413"/>
  <c r="BQ413"/>
  <c r="BP413"/>
  <c r="BO413"/>
  <c r="BN413"/>
  <c r="BM413"/>
  <c r="BK413"/>
  <c r="BJ413"/>
  <c r="BI413"/>
  <c r="BH413"/>
  <c r="BG413"/>
  <c r="BF413"/>
  <c r="BE413"/>
  <c r="BD413"/>
  <c r="BC413"/>
  <c r="BB413"/>
  <c r="BA413" s="1"/>
  <c r="AX413"/>
  <c r="AW413"/>
  <c r="AV413"/>
  <c r="AC413"/>
  <c r="H413"/>
  <c r="BT412"/>
  <c r="BS412"/>
  <c r="BR412"/>
  <c r="BQ412"/>
  <c r="BP412"/>
  <c r="BO412"/>
  <c r="BN412"/>
  <c r="BM412"/>
  <c r="BL412" s="1"/>
  <c r="BK412"/>
  <c r="BJ412"/>
  <c r="BI412"/>
  <c r="BH412"/>
  <c r="BG412"/>
  <c r="BF412"/>
  <c r="BE412"/>
  <c r="BD412"/>
  <c r="BC412"/>
  <c r="BB412"/>
  <c r="AX412"/>
  <c r="AW412"/>
  <c r="AV412"/>
  <c r="AC412"/>
  <c r="H412"/>
  <c r="G412" s="1"/>
  <c r="BT411"/>
  <c r="BS411"/>
  <c r="BR411"/>
  <c r="BQ411"/>
  <c r="BP411"/>
  <c r="BO411"/>
  <c r="BN411"/>
  <c r="BM411"/>
  <c r="BK411"/>
  <c r="BJ411"/>
  <c r="BI411"/>
  <c r="BH411"/>
  <c r="BG411"/>
  <c r="BF411"/>
  <c r="BE411"/>
  <c r="BD411"/>
  <c r="BC411"/>
  <c r="BB411"/>
  <c r="AX411"/>
  <c r="AW411"/>
  <c r="AV411"/>
  <c r="AC411"/>
  <c r="H411"/>
  <c r="G411" s="1"/>
  <c r="BT410"/>
  <c r="BS410"/>
  <c r="BR410"/>
  <c r="BQ410"/>
  <c r="BP410"/>
  <c r="BO410"/>
  <c r="BN410"/>
  <c r="BM410"/>
  <c r="BL410" s="1"/>
  <c r="BK410"/>
  <c r="BJ410"/>
  <c r="BI410"/>
  <c r="BH410"/>
  <c r="BG410"/>
  <c r="BF410"/>
  <c r="BE410"/>
  <c r="BD410"/>
  <c r="BC410"/>
  <c r="BB410"/>
  <c r="AX410"/>
  <c r="AW410"/>
  <c r="AV410"/>
  <c r="AC410"/>
  <c r="H410"/>
  <c r="BT409"/>
  <c r="BS409"/>
  <c r="BR409"/>
  <c r="BQ409"/>
  <c r="BP409"/>
  <c r="BO409"/>
  <c r="BN409"/>
  <c r="BM409"/>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BA408" s="1"/>
  <c r="AX408"/>
  <c r="AW408"/>
  <c r="AV408"/>
  <c r="AC408"/>
  <c r="H408"/>
  <c r="BT407"/>
  <c r="BS407"/>
  <c r="BR407"/>
  <c r="BQ407"/>
  <c r="BP407"/>
  <c r="BO407"/>
  <c r="BN407"/>
  <c r="BM407"/>
  <c r="BL407" s="1"/>
  <c r="BK407"/>
  <c r="BJ407"/>
  <c r="BI407"/>
  <c r="BH407"/>
  <c r="BG407"/>
  <c r="BF407"/>
  <c r="BE407"/>
  <c r="BD407"/>
  <c r="BC407"/>
  <c r="BB407"/>
  <c r="AX407"/>
  <c r="AW407"/>
  <c r="AV407"/>
  <c r="AC407"/>
  <c r="H407"/>
  <c r="BT406"/>
  <c r="BS406"/>
  <c r="BR406"/>
  <c r="BQ406"/>
  <c r="BP406"/>
  <c r="BO406"/>
  <c r="BN406"/>
  <c r="BM406"/>
  <c r="BL406" s="1"/>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AX405"/>
  <c r="AW405"/>
  <c r="AV405"/>
  <c r="AC405"/>
  <c r="H405"/>
  <c r="G405" s="1"/>
  <c r="BT404"/>
  <c r="BS404"/>
  <c r="BR404"/>
  <c r="BQ404"/>
  <c r="BP404"/>
  <c r="BO404"/>
  <c r="BN404"/>
  <c r="BM404"/>
  <c r="BL404" s="1"/>
  <c r="BK404"/>
  <c r="BJ404"/>
  <c r="BI404"/>
  <c r="BH404"/>
  <c r="BG404"/>
  <c r="BF404"/>
  <c r="BE404"/>
  <c r="BD404"/>
  <c r="BC404"/>
  <c r="BB404"/>
  <c r="AX404"/>
  <c r="AW404"/>
  <c r="AV404"/>
  <c r="AC404"/>
  <c r="H404"/>
  <c r="BT403"/>
  <c r="BS403"/>
  <c r="BR403"/>
  <c r="BQ403"/>
  <c r="BP403"/>
  <c r="BO403"/>
  <c r="BN403"/>
  <c r="BM403"/>
  <c r="BK403"/>
  <c r="BJ403"/>
  <c r="BI403"/>
  <c r="BH403"/>
  <c r="BG403"/>
  <c r="BF403"/>
  <c r="BE403"/>
  <c r="BD403"/>
  <c r="BC403"/>
  <c r="BB403"/>
  <c r="BA403"/>
  <c r="AX403"/>
  <c r="AW403"/>
  <c r="AV403"/>
  <c r="AC403"/>
  <c r="H403"/>
  <c r="G403"/>
  <c r="BT402"/>
  <c r="BS402"/>
  <c r="BR402"/>
  <c r="BQ402"/>
  <c r="BP402"/>
  <c r="BO402"/>
  <c r="BN402"/>
  <c r="BM402"/>
  <c r="BL402" s="1"/>
  <c r="BK402"/>
  <c r="BJ402"/>
  <c r="BI402"/>
  <c r="BH402"/>
  <c r="BG402"/>
  <c r="BF402"/>
  <c r="BE402"/>
  <c r="BD402"/>
  <c r="BC402"/>
  <c r="BB402"/>
  <c r="BA402" s="1"/>
  <c r="AZ402" s="1"/>
  <c r="AX402"/>
  <c r="AW402"/>
  <c r="AV402"/>
  <c r="AC402"/>
  <c r="H402"/>
  <c r="BT401"/>
  <c r="BS401"/>
  <c r="BR401"/>
  <c r="BQ401"/>
  <c r="BP401"/>
  <c r="BO401"/>
  <c r="BN401"/>
  <c r="BM401"/>
  <c r="BK401"/>
  <c r="BJ401"/>
  <c r="BI401"/>
  <c r="BH401"/>
  <c r="BG401"/>
  <c r="BF401"/>
  <c r="BE401"/>
  <c r="BD401"/>
  <c r="BC401"/>
  <c r="BB401"/>
  <c r="AX401"/>
  <c r="AW401"/>
  <c r="AV401"/>
  <c r="AC401"/>
  <c r="H401"/>
  <c r="G401" s="1"/>
  <c r="BT400"/>
  <c r="BS400"/>
  <c r="BR400"/>
  <c r="BQ400"/>
  <c r="BP400"/>
  <c r="BO400"/>
  <c r="BN400"/>
  <c r="BM400"/>
  <c r="BL400" s="1"/>
  <c r="BK400"/>
  <c r="BJ400"/>
  <c r="BI400"/>
  <c r="BH400"/>
  <c r="BG400"/>
  <c r="BF400"/>
  <c r="BE400"/>
  <c r="BD400"/>
  <c r="BC400"/>
  <c r="BB400"/>
  <c r="AX400"/>
  <c r="AW400"/>
  <c r="AV400"/>
  <c r="AC400"/>
  <c r="H400"/>
  <c r="BT399"/>
  <c r="BS399"/>
  <c r="BR399"/>
  <c r="BQ399"/>
  <c r="BP399"/>
  <c r="BO399"/>
  <c r="BN399"/>
  <c r="BM399"/>
  <c r="BK399"/>
  <c r="BJ399"/>
  <c r="BI399"/>
  <c r="BH399"/>
  <c r="BG399"/>
  <c r="BF399"/>
  <c r="BE399"/>
  <c r="BD399"/>
  <c r="BC399"/>
  <c r="BB399"/>
  <c r="BA399"/>
  <c r="AX399"/>
  <c r="AW399"/>
  <c r="AV399"/>
  <c r="AC399"/>
  <c r="H399"/>
  <c r="G399"/>
  <c r="BT398"/>
  <c r="BS398"/>
  <c r="BR398"/>
  <c r="BQ398"/>
  <c r="BP398"/>
  <c r="BO398"/>
  <c r="BN398"/>
  <c r="BM398"/>
  <c r="BL398" s="1"/>
  <c r="BK398"/>
  <c r="BJ398"/>
  <c r="BI398"/>
  <c r="BH398"/>
  <c r="BG398"/>
  <c r="BF398"/>
  <c r="BE398"/>
  <c r="BD398"/>
  <c r="BC398"/>
  <c r="BB398"/>
  <c r="BA398" s="1"/>
  <c r="AX398"/>
  <c r="AW398"/>
  <c r="AV398"/>
  <c r="AC398"/>
  <c r="H398"/>
  <c r="BT397"/>
  <c r="BS397"/>
  <c r="BR397"/>
  <c r="BQ397"/>
  <c r="BP397"/>
  <c r="BO397"/>
  <c r="BN397"/>
  <c r="BM397"/>
  <c r="BK397"/>
  <c r="BJ397"/>
  <c r="BI397"/>
  <c r="BH397"/>
  <c r="BG397"/>
  <c r="BF397"/>
  <c r="BE397"/>
  <c r="BD397"/>
  <c r="BC397"/>
  <c r="BB397"/>
  <c r="BA397"/>
  <c r="AX397"/>
  <c r="AW397"/>
  <c r="AV397"/>
  <c r="AC397"/>
  <c r="H397"/>
  <c r="BT396"/>
  <c r="BS396"/>
  <c r="BR396"/>
  <c r="BQ396"/>
  <c r="BP396"/>
  <c r="BO396"/>
  <c r="BN396"/>
  <c r="BM396"/>
  <c r="BL396"/>
  <c r="BK396"/>
  <c r="BJ396"/>
  <c r="BI396"/>
  <c r="BH396"/>
  <c r="BG396"/>
  <c r="BF396"/>
  <c r="BE396"/>
  <c r="BD396"/>
  <c r="BC396"/>
  <c r="BB396"/>
  <c r="BA396" s="1"/>
  <c r="AZ396" s="1"/>
  <c r="AX396"/>
  <c r="AW396"/>
  <c r="AV396"/>
  <c r="AC396"/>
  <c r="H396"/>
  <c r="G396"/>
  <c r="BT395"/>
  <c r="BS395"/>
  <c r="BR395"/>
  <c r="BQ395"/>
  <c r="BP395"/>
  <c r="BO395"/>
  <c r="BN395"/>
  <c r="BM395"/>
  <c r="BL395" s="1"/>
  <c r="BK395"/>
  <c r="BJ395"/>
  <c r="BI395"/>
  <c r="BH395"/>
  <c r="BG395"/>
  <c r="BF395"/>
  <c r="BE395"/>
  <c r="BD395"/>
  <c r="BC395"/>
  <c r="BB395"/>
  <c r="BA395" s="1"/>
  <c r="AZ395" s="1"/>
  <c r="AX395"/>
  <c r="AW395"/>
  <c r="AV395"/>
  <c r="AC395"/>
  <c r="H395"/>
  <c r="BT394"/>
  <c r="BS394"/>
  <c r="BR394"/>
  <c r="BQ394"/>
  <c r="BP394"/>
  <c r="BO394"/>
  <c r="BN394"/>
  <c r="BM394"/>
  <c r="BK394"/>
  <c r="BJ394"/>
  <c r="BI394"/>
  <c r="BH394"/>
  <c r="BG394"/>
  <c r="BF394"/>
  <c r="BE394"/>
  <c r="BD394"/>
  <c r="BC394"/>
  <c r="BB394"/>
  <c r="AX394"/>
  <c r="AW394"/>
  <c r="AV394"/>
  <c r="AC394"/>
  <c r="H394"/>
  <c r="G394" s="1"/>
  <c r="BT393"/>
  <c r="BS393"/>
  <c r="BR393"/>
  <c r="BQ393"/>
  <c r="BP393"/>
  <c r="BO393"/>
  <c r="BN393"/>
  <c r="BM393"/>
  <c r="BL393" s="1"/>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BT391"/>
  <c r="BS391"/>
  <c r="BR391"/>
  <c r="BQ391"/>
  <c r="BP391"/>
  <c r="BO391"/>
  <c r="BN391"/>
  <c r="BM391"/>
  <c r="BL391"/>
  <c r="BK391"/>
  <c r="BJ391"/>
  <c r="BI391"/>
  <c r="BH391"/>
  <c r="BG391"/>
  <c r="BF391"/>
  <c r="BE391"/>
  <c r="BD391"/>
  <c r="BC391"/>
  <c r="BB391"/>
  <c r="BA391" s="1"/>
  <c r="AZ391" s="1"/>
  <c r="AX391"/>
  <c r="AW391"/>
  <c r="AV391"/>
  <c r="AC391"/>
  <c r="H391"/>
  <c r="BT390"/>
  <c r="BS390"/>
  <c r="BR390"/>
  <c r="BQ390"/>
  <c r="BP390"/>
  <c r="BO390"/>
  <c r="BN390"/>
  <c r="BM390"/>
  <c r="BL390"/>
  <c r="BK390"/>
  <c r="BJ390"/>
  <c r="BI390"/>
  <c r="BH390"/>
  <c r="BG390"/>
  <c r="BF390"/>
  <c r="BE390"/>
  <c r="BD390"/>
  <c r="BC390"/>
  <c r="BB390"/>
  <c r="BA390" s="1"/>
  <c r="AZ390" s="1"/>
  <c r="AX390"/>
  <c r="AW390"/>
  <c r="AV390"/>
  <c r="AC390"/>
  <c r="H390"/>
  <c r="BT389"/>
  <c r="BS389"/>
  <c r="BR389"/>
  <c r="BQ389"/>
  <c r="BP389"/>
  <c r="BO389"/>
  <c r="BN389"/>
  <c r="BM389"/>
  <c r="BL389"/>
  <c r="BK389"/>
  <c r="BJ389"/>
  <c r="BI389"/>
  <c r="BH389"/>
  <c r="BG389"/>
  <c r="BF389"/>
  <c r="BE389"/>
  <c r="BD389"/>
  <c r="BC389"/>
  <c r="BB389"/>
  <c r="BA389" s="1"/>
  <c r="AZ389" s="1"/>
  <c r="AX389"/>
  <c r="AW389"/>
  <c r="AV389"/>
  <c r="AC389"/>
  <c r="H389"/>
  <c r="G389"/>
  <c r="H62" i="40"/>
  <c r="I62" s="1"/>
  <c r="C62" s="1"/>
  <c r="H61"/>
  <c r="I61" s="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J142"/>
  <c r="J140"/>
  <c r="K139"/>
  <c r="M87"/>
  <c r="L87"/>
  <c r="K87"/>
  <c r="J87"/>
  <c r="I87"/>
  <c r="H87"/>
  <c r="G87"/>
  <c r="F87"/>
  <c r="E87"/>
  <c r="D87"/>
  <c r="G2" i="46"/>
  <c r="X7" s="1"/>
  <c r="G19"/>
  <c r="M20" s="1"/>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B62" i="63" s="1"/>
  <c r="L24" i="4"/>
  <c r="A2" i="55" s="1"/>
  <c r="B55" i="63" s="1"/>
  <c r="N3" i="54"/>
  <c r="B42" i="63" s="1"/>
  <c r="A2" i="9"/>
  <c r="T16" i="4"/>
  <c r="D14"/>
  <c r="M4" i="9"/>
  <c r="L4"/>
  <c r="G36" i="4"/>
  <c r="K2" i="54"/>
  <c r="B23" i="63" s="1"/>
  <c r="A3" i="51"/>
  <c r="R41" i="4"/>
  <c r="Q41"/>
  <c r="P41"/>
  <c r="O41"/>
  <c r="N41"/>
  <c r="M41"/>
  <c r="L41"/>
  <c r="K40"/>
  <c r="T40" s="1"/>
  <c r="F23"/>
  <c r="D19"/>
  <c r="I19"/>
  <c r="H19"/>
  <c r="G19"/>
  <c r="F9" i="1" s="1"/>
  <c r="F19" i="4"/>
  <c r="F8" i="1" s="1"/>
  <c r="E19" i="4"/>
  <c r="B2" i="52"/>
  <c r="E22" s="1"/>
  <c r="I2" i="46"/>
  <c r="N12" s="1"/>
  <c r="A7"/>
  <c r="F41" i="4"/>
  <c r="J52" i="40"/>
  <c r="H61" i="49"/>
  <c r="H39" i="46"/>
  <c r="H38"/>
  <c r="H37"/>
  <c r="H36"/>
  <c r="H35"/>
  <c r="H34"/>
  <c r="H33"/>
  <c r="P17"/>
  <c r="O17"/>
  <c r="N17"/>
  <c r="M17"/>
  <c r="G20"/>
  <c r="J20"/>
  <c r="C18"/>
  <c r="G17"/>
  <c r="F15"/>
  <c r="E15"/>
  <c r="D15"/>
  <c r="C15"/>
  <c r="C10"/>
  <c r="C11" s="1"/>
  <c r="C9"/>
  <c r="E20" i="6"/>
  <c r="E21"/>
  <c r="K8" i="1" s="1"/>
  <c r="M8" s="1"/>
  <c r="O8" s="1"/>
  <c r="P8" s="1"/>
  <c r="E22" i="6"/>
  <c r="E23"/>
  <c r="E24"/>
  <c r="E25"/>
  <c r="E26"/>
  <c r="D38" i="4"/>
  <c r="C39" s="1"/>
  <c r="C35"/>
  <c r="E16" i="12"/>
  <c r="F14"/>
  <c r="F15"/>
  <c r="F17"/>
  <c r="E19"/>
  <c r="E21"/>
  <c r="E22"/>
  <c r="F23"/>
  <c r="F24"/>
  <c r="F25"/>
  <c r="C43" i="9"/>
  <c r="K47" s="1"/>
  <c r="B65" i="63" s="1"/>
  <c r="I73" i="9"/>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F42"/>
  <c r="AA42" s="1"/>
  <c r="H10"/>
  <c r="AB10" s="1"/>
  <c r="H11"/>
  <c r="AB11" s="1"/>
  <c r="H36"/>
  <c r="AB36" s="1"/>
  <c r="H40"/>
  <c r="AB40" s="1"/>
  <c r="H42"/>
  <c r="AB42" s="1"/>
  <c r="J10"/>
  <c r="AC10" s="1"/>
  <c r="J11"/>
  <c r="AC11" s="1"/>
  <c r="J36"/>
  <c r="AC36" s="1"/>
  <c r="J40"/>
  <c r="AC40" s="1"/>
  <c r="J42"/>
  <c r="AC42" s="1"/>
  <c r="F35" i="44"/>
  <c r="M21"/>
  <c r="F20"/>
  <c r="K9" i="43"/>
  <c r="J9"/>
  <c r="I9"/>
  <c r="H9"/>
  <c r="G9"/>
  <c r="F9"/>
  <c r="E9"/>
  <c r="D9"/>
  <c r="BC13" i="3"/>
  <c r="BB13"/>
  <c r="BR13"/>
  <c r="C6" i="12"/>
  <c r="B24" i="1"/>
  <c r="E77" i="9"/>
  <c r="O75" s="1"/>
  <c r="L75"/>
  <c r="F77"/>
  <c r="P75" s="1"/>
  <c r="O74"/>
  <c r="O73"/>
  <c r="E66"/>
  <c r="O72" s="1"/>
  <c r="F74"/>
  <c r="P74" s="1"/>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E54"/>
  <c r="F54" s="1"/>
  <c r="H14" i="3"/>
  <c r="AC14"/>
  <c r="H15"/>
  <c r="AC15"/>
  <c r="H16"/>
  <c r="AC16"/>
  <c r="H17"/>
  <c r="AC17"/>
  <c r="H18"/>
  <c r="AC18"/>
  <c r="BB18"/>
  <c r="BC18"/>
  <c r="BD18"/>
  <c r="BE18"/>
  <c r="BF18"/>
  <c r="BG18"/>
  <c r="BH18"/>
  <c r="BI18"/>
  <c r="BJ18"/>
  <c r="BK18"/>
  <c r="BM18"/>
  <c r="BN18"/>
  <c r="BO18"/>
  <c r="BP18"/>
  <c r="BR18"/>
  <c r="BS18"/>
  <c r="BT18"/>
  <c r="H19"/>
  <c r="AC19"/>
  <c r="G19" s="1"/>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AC481"/>
  <c r="BB481"/>
  <c r="BC481"/>
  <c r="BD481"/>
  <c r="BE481"/>
  <c r="BF481"/>
  <c r="BG481"/>
  <c r="BH481"/>
  <c r="BI481"/>
  <c r="BJ481"/>
  <c r="BK481"/>
  <c r="BM481"/>
  <c r="BN481"/>
  <c r="BO481"/>
  <c r="BP481"/>
  <c r="BQ481"/>
  <c r="BR481"/>
  <c r="BS481"/>
  <c r="BT481"/>
  <c r="H482"/>
  <c r="AC482"/>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AC486"/>
  <c r="BB486"/>
  <c r="BC486"/>
  <c r="BD486"/>
  <c r="BE486"/>
  <c r="BF486"/>
  <c r="BG486"/>
  <c r="BH486"/>
  <c r="BI486"/>
  <c r="BJ486"/>
  <c r="BK486"/>
  <c r="BM486"/>
  <c r="BN486"/>
  <c r="BO486"/>
  <c r="BP486"/>
  <c r="BR486"/>
  <c r="BS486"/>
  <c r="BT486"/>
  <c r="H487"/>
  <c r="AC487"/>
  <c r="G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G489" s="1"/>
  <c r="AC489"/>
  <c r="BB489"/>
  <c r="BC489"/>
  <c r="BD489"/>
  <c r="BE489"/>
  <c r="BF489"/>
  <c r="BG489"/>
  <c r="BH489"/>
  <c r="BI489"/>
  <c r="BJ489"/>
  <c r="BK489"/>
  <c r="BM489"/>
  <c r="BN489"/>
  <c r="BO489"/>
  <c r="BP489"/>
  <c r="BQ489"/>
  <c r="BR489"/>
  <c r="BS489"/>
  <c r="BT489"/>
  <c r="H490"/>
  <c r="AC490"/>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AC495"/>
  <c r="BB495"/>
  <c r="BC495"/>
  <c r="BD495"/>
  <c r="BE495"/>
  <c r="BF495"/>
  <c r="BG495"/>
  <c r="BH495"/>
  <c r="BI495"/>
  <c r="BJ495"/>
  <c r="BK495"/>
  <c r="BM495"/>
  <c r="BN495"/>
  <c r="BO495"/>
  <c r="BP495"/>
  <c r="BQ495"/>
  <c r="BR495"/>
  <c r="BS495"/>
  <c r="BT495"/>
  <c r="H496"/>
  <c r="G496" s="1"/>
  <c r="AC496"/>
  <c r="BB496"/>
  <c r="BC496"/>
  <c r="BD496"/>
  <c r="BE496"/>
  <c r="BF496"/>
  <c r="BG496"/>
  <c r="BH496"/>
  <c r="BI496"/>
  <c r="BJ496"/>
  <c r="BK496"/>
  <c r="BM496"/>
  <c r="BN496"/>
  <c r="BO496"/>
  <c r="BP496"/>
  <c r="BR496"/>
  <c r="BS496"/>
  <c r="BT496"/>
  <c r="H497"/>
  <c r="AC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AC503"/>
  <c r="BB503"/>
  <c r="BC503"/>
  <c r="BD503"/>
  <c r="BE503"/>
  <c r="BF503"/>
  <c r="BG503"/>
  <c r="BH503"/>
  <c r="BI503"/>
  <c r="BJ503"/>
  <c r="BK503"/>
  <c r="BM503"/>
  <c r="BN503"/>
  <c r="BO503"/>
  <c r="BP503"/>
  <c r="BQ503"/>
  <c r="BR503"/>
  <c r="BS503"/>
  <c r="BT503"/>
  <c r="H504"/>
  <c r="G504"/>
  <c r="AC504"/>
  <c r="BB504"/>
  <c r="BC504"/>
  <c r="BD504"/>
  <c r="BE504"/>
  <c r="BF504"/>
  <c r="BG504"/>
  <c r="BH504"/>
  <c r="BI504"/>
  <c r="BJ504"/>
  <c r="BK504"/>
  <c r="BM504"/>
  <c r="BN504"/>
  <c r="BO504"/>
  <c r="BP504"/>
  <c r="BR504"/>
  <c r="BS504"/>
  <c r="BT504"/>
  <c r="H505"/>
  <c r="AC505"/>
  <c r="G505" s="1"/>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G511"/>
  <c r="AC511"/>
  <c r="BB511"/>
  <c r="BC511"/>
  <c r="BD511"/>
  <c r="BE511"/>
  <c r="BF511"/>
  <c r="BG511"/>
  <c r="BH511"/>
  <c r="BI511"/>
  <c r="BJ511"/>
  <c r="BK511"/>
  <c r="BM511"/>
  <c r="BN511"/>
  <c r="BO511"/>
  <c r="BP511"/>
  <c r="BQ511"/>
  <c r="BR511"/>
  <c r="BS511"/>
  <c r="BT511"/>
  <c r="H512"/>
  <c r="G512" s="1"/>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AC524"/>
  <c r="BB524"/>
  <c r="BC524"/>
  <c r="BD524"/>
  <c r="BE524"/>
  <c r="BF524"/>
  <c r="BG524"/>
  <c r="BH524"/>
  <c r="BI524"/>
  <c r="BJ524"/>
  <c r="BK524"/>
  <c r="BM524"/>
  <c r="BN524"/>
  <c r="BO524"/>
  <c r="BP524"/>
  <c r="BR524"/>
  <c r="BS524"/>
  <c r="BT524"/>
  <c r="H525"/>
  <c r="AC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AC527"/>
  <c r="BB527"/>
  <c r="BC527"/>
  <c r="BD527"/>
  <c r="BE527"/>
  <c r="BF527"/>
  <c r="BG527"/>
  <c r="BH527"/>
  <c r="BI527"/>
  <c r="BJ527"/>
  <c r="BK527"/>
  <c r="BM527"/>
  <c r="BN527"/>
  <c r="BO527"/>
  <c r="BP527"/>
  <c r="BQ527"/>
  <c r="BR527"/>
  <c r="BS527"/>
  <c r="BT527"/>
  <c r="H528"/>
  <c r="G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G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c r="AC535"/>
  <c r="BB535"/>
  <c r="BC535"/>
  <c r="BD535"/>
  <c r="BE535"/>
  <c r="BF535"/>
  <c r="BG535"/>
  <c r="BH535"/>
  <c r="BI535"/>
  <c r="BJ535"/>
  <c r="BK535"/>
  <c r="BM535"/>
  <c r="BN535"/>
  <c r="BO535"/>
  <c r="BP535"/>
  <c r="BQ535"/>
  <c r="BR535"/>
  <c r="BS535"/>
  <c r="BT535"/>
  <c r="H536"/>
  <c r="G536" s="1"/>
  <c r="AC536"/>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G543" s="1"/>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BB551"/>
  <c r="BC551"/>
  <c r="BD551"/>
  <c r="BE551"/>
  <c r="BF551"/>
  <c r="BG551"/>
  <c r="BH551"/>
  <c r="BI551"/>
  <c r="BJ551"/>
  <c r="BK551"/>
  <c r="BM551"/>
  <c r="BN551"/>
  <c r="BO551"/>
  <c r="BP551"/>
  <c r="BQ551"/>
  <c r="BR551"/>
  <c r="BS551"/>
  <c r="BT551"/>
  <c r="H552"/>
  <c r="AC552"/>
  <c r="BB552"/>
  <c r="BC552"/>
  <c r="BD552"/>
  <c r="BE552"/>
  <c r="BF552"/>
  <c r="BG552"/>
  <c r="BH552"/>
  <c r="BI552"/>
  <c r="BJ552"/>
  <c r="BK552"/>
  <c r="BM552"/>
  <c r="BN552"/>
  <c r="BO552"/>
  <c r="BP552"/>
  <c r="BR552"/>
  <c r="BS552"/>
  <c r="BT552"/>
  <c r="H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G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G559" s="1"/>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G563" s="1"/>
  <c r="BB563"/>
  <c r="BC563"/>
  <c r="BD563"/>
  <c r="BE563"/>
  <c r="BF563"/>
  <c r="BG563"/>
  <c r="BH563"/>
  <c r="BI563"/>
  <c r="BJ563"/>
  <c r="BK563"/>
  <c r="BM563"/>
  <c r="BN563"/>
  <c r="BO563"/>
  <c r="BP563"/>
  <c r="BQ563"/>
  <c r="BR563"/>
  <c r="BS563"/>
  <c r="BT563"/>
  <c r="H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BB568"/>
  <c r="BC568"/>
  <c r="BD568"/>
  <c r="BE568"/>
  <c r="BF568"/>
  <c r="BG568"/>
  <c r="BH568"/>
  <c r="BI568"/>
  <c r="BJ568"/>
  <c r="BK568"/>
  <c r="BM568"/>
  <c r="BN568"/>
  <c r="BO568"/>
  <c r="BP568"/>
  <c r="BR568"/>
  <c r="BS568"/>
  <c r="BT568"/>
  <c r="H569"/>
  <c r="G569" s="1"/>
  <c r="AC569"/>
  <c r="BB569"/>
  <c r="BC569"/>
  <c r="BD569"/>
  <c r="BE569"/>
  <c r="BF569"/>
  <c r="BG569"/>
  <c r="BH569"/>
  <c r="BI569"/>
  <c r="BJ569"/>
  <c r="BK569"/>
  <c r="BM569"/>
  <c r="BN569"/>
  <c r="BO569"/>
  <c r="BP569"/>
  <c r="BQ569"/>
  <c r="BR569"/>
  <c r="BS569"/>
  <c r="BT569"/>
  <c r="H9" i="12"/>
  <c r="I9"/>
  <c r="J9"/>
  <c r="K9"/>
  <c r="G111" i="21"/>
  <c r="H111"/>
  <c r="B112" i="39"/>
  <c r="B114"/>
  <c r="F38" s="1"/>
  <c r="AA38" s="1"/>
  <c r="J30" i="36"/>
  <c r="H30"/>
  <c r="U30" s="1"/>
  <c r="F30"/>
  <c r="AA30" s="1"/>
  <c r="C26" i="35"/>
  <c r="C79" s="1"/>
  <c r="J31"/>
  <c r="H31"/>
  <c r="F31"/>
  <c r="D87"/>
  <c r="E87" s="1"/>
  <c r="F87" s="1"/>
  <c r="G87" s="1"/>
  <c r="H87" s="1"/>
  <c r="I87" s="1"/>
  <c r="J87" s="1"/>
  <c r="K87" s="1"/>
  <c r="L87" s="1"/>
  <c r="M87" s="1"/>
  <c r="H34" i="37"/>
  <c r="AB34" s="1"/>
  <c r="D101"/>
  <c r="F34"/>
  <c r="D99"/>
  <c r="E99" s="1"/>
  <c r="F99" s="1"/>
  <c r="G99" s="1"/>
  <c r="F33" s="1"/>
  <c r="H42" i="34"/>
  <c r="J42"/>
  <c r="F42"/>
  <c r="J38"/>
  <c r="D114"/>
  <c r="F38"/>
  <c r="D112"/>
  <c r="E112" s="1"/>
  <c r="F112" s="1"/>
  <c r="G112" s="1"/>
  <c r="F40" i="33"/>
  <c r="J41"/>
  <c r="AC41" s="1"/>
  <c r="D113"/>
  <c r="F37"/>
  <c r="AA37" s="1"/>
  <c r="D111"/>
  <c r="E111" s="1"/>
  <c r="F111" s="1"/>
  <c r="G111" s="1"/>
  <c r="H111" s="1"/>
  <c r="I111" s="1"/>
  <c r="J111" s="1"/>
  <c r="K111" s="1"/>
  <c r="L111" s="1"/>
  <c r="M111" s="1"/>
  <c r="S515" i="31"/>
  <c r="S517"/>
  <c r="S519"/>
  <c r="S521"/>
  <c r="S523"/>
  <c r="F41" i="21"/>
  <c r="J41"/>
  <c r="AC41" s="1"/>
  <c r="H41"/>
  <c r="U41" s="1"/>
  <c r="D83" i="39"/>
  <c r="E83" s="1"/>
  <c r="F83" s="1"/>
  <c r="G83" s="1"/>
  <c r="H83" s="1"/>
  <c r="I83" s="1"/>
  <c r="J83" s="1"/>
  <c r="K83" s="1"/>
  <c r="L83" s="1"/>
  <c r="M83" s="1"/>
  <c r="D78" i="40"/>
  <c r="F13"/>
  <c r="S13" s="1"/>
  <c r="B122"/>
  <c r="F42" s="1"/>
  <c r="AA42" s="1"/>
  <c r="B120"/>
  <c r="B118"/>
  <c r="F40" s="1"/>
  <c r="AA40" s="1"/>
  <c r="D117"/>
  <c r="E117" s="1"/>
  <c r="F117" s="1"/>
  <c r="G117" s="1"/>
  <c r="H117" s="1"/>
  <c r="I117" s="1"/>
  <c r="J117" s="1"/>
  <c r="K117" s="1"/>
  <c r="L117" s="1"/>
  <c r="M117" s="1"/>
  <c r="D115"/>
  <c r="J38"/>
  <c r="AC38" s="1"/>
  <c r="E115"/>
  <c r="F115"/>
  <c r="G115" s="1"/>
  <c r="H115" s="1"/>
  <c r="I115" s="1"/>
  <c r="J115" s="1"/>
  <c r="K115" s="1"/>
  <c r="L115" s="1"/>
  <c r="M115"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s="1"/>
  <c r="D98"/>
  <c r="E98" s="1"/>
  <c r="B97"/>
  <c r="D94"/>
  <c r="D92"/>
  <c r="D90"/>
  <c r="H21"/>
  <c r="AB21" s="1"/>
  <c r="D88"/>
  <c r="E88" s="1"/>
  <c r="D86"/>
  <c r="E86" s="1"/>
  <c r="B83"/>
  <c r="F16" s="1"/>
  <c r="AA16" s="1"/>
  <c r="B81"/>
  <c r="B79"/>
  <c r="F14" s="1"/>
  <c r="AA14" s="1"/>
  <c r="M76"/>
  <c r="L76"/>
  <c r="K76"/>
  <c r="J76"/>
  <c r="I76"/>
  <c r="H76"/>
  <c r="G76"/>
  <c r="F76"/>
  <c r="E76"/>
  <c r="D76"/>
  <c r="C76"/>
  <c r="P45"/>
  <c r="P44"/>
  <c r="V43"/>
  <c r="T43"/>
  <c r="R43"/>
  <c r="P43"/>
  <c r="Q42"/>
  <c r="Z42" s="1"/>
  <c r="Q41"/>
  <c r="Z41" s="1"/>
  <c r="Q40"/>
  <c r="Z40" s="1"/>
  <c r="Q39"/>
  <c r="Z39" s="1"/>
  <c r="Q38"/>
  <c r="Z38" s="1"/>
  <c r="Q37"/>
  <c r="Z37" s="1"/>
  <c r="Q36"/>
  <c r="Z36" s="1"/>
  <c r="Q35"/>
  <c r="Z35" s="1"/>
  <c r="Q34"/>
  <c r="Z34" s="1"/>
  <c r="Q33"/>
  <c r="Z33" s="1"/>
  <c r="Q32"/>
  <c r="Z32" s="1"/>
  <c r="Q30"/>
  <c r="Z30" s="1"/>
  <c r="Q29"/>
  <c r="Z29" s="1"/>
  <c r="Q25"/>
  <c r="Z25" s="1"/>
  <c r="Q23"/>
  <c r="Z23" s="1"/>
  <c r="Q21"/>
  <c r="Z21" s="1"/>
  <c r="Q19"/>
  <c r="Z19"/>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c r="Q42"/>
  <c r="Z42"/>
  <c r="Q43"/>
  <c r="Q44"/>
  <c r="Z44" s="1"/>
  <c r="Q45"/>
  <c r="Z45" s="1"/>
  <c r="Q46"/>
  <c r="Z46" s="1"/>
  <c r="Q47"/>
  <c r="Z47" s="1"/>
  <c r="Q40"/>
  <c r="Z40" s="1"/>
  <c r="Q38"/>
  <c r="Z38" s="1"/>
  <c r="Q39"/>
  <c r="Z39" s="1"/>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D95"/>
  <c r="E95" s="1"/>
  <c r="F95" s="1"/>
  <c r="G95" s="1"/>
  <c r="D93"/>
  <c r="E93" s="1"/>
  <c r="F93" s="1"/>
  <c r="G93" s="1"/>
  <c r="D91"/>
  <c r="E9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H25" s="1"/>
  <c r="U25" s="1"/>
  <c r="B110"/>
  <c r="J39" s="1"/>
  <c r="AC39" s="1"/>
  <c r="B108"/>
  <c r="C23"/>
  <c r="C19"/>
  <c r="C17"/>
  <c r="C15"/>
  <c r="B112"/>
  <c r="D107"/>
  <c r="E107" s="1"/>
  <c r="F107" s="1"/>
  <c r="D105"/>
  <c r="E105" s="1"/>
  <c r="F105" s="1"/>
  <c r="G105" s="1"/>
  <c r="H36"/>
  <c r="D103"/>
  <c r="J35"/>
  <c r="AC35" s="1"/>
  <c r="F97"/>
  <c r="E97"/>
  <c r="D97"/>
  <c r="C97"/>
  <c r="D96"/>
  <c r="E96" s="1"/>
  <c r="F96" s="1"/>
  <c r="G96" s="1"/>
  <c r="H96" s="1"/>
  <c r="I96" s="1"/>
  <c r="J96" s="1"/>
  <c r="K96" s="1"/>
  <c r="L96" s="1"/>
  <c r="M96" s="1"/>
  <c r="D94"/>
  <c r="M90"/>
  <c r="L90"/>
  <c r="K90"/>
  <c r="J90"/>
  <c r="I90"/>
  <c r="H90"/>
  <c r="G90"/>
  <c r="F90"/>
  <c r="E90"/>
  <c r="D90"/>
  <c r="C90"/>
  <c r="D89"/>
  <c r="B86"/>
  <c r="B84"/>
  <c r="H27" s="1"/>
  <c r="B82"/>
  <c r="J26" s="1"/>
  <c r="W26" s="1"/>
  <c r="D79"/>
  <c r="E79" s="1"/>
  <c r="D75"/>
  <c r="E75" s="1"/>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s="1"/>
  <c r="Q39"/>
  <c r="Z39" s="1"/>
  <c r="Q38"/>
  <c r="Z38" s="1"/>
  <c r="Q37"/>
  <c r="Z37" s="1"/>
  <c r="Q36"/>
  <c r="Z36" s="1"/>
  <c r="Q35"/>
  <c r="Z35" s="1"/>
  <c r="Q34"/>
  <c r="Z34" s="1"/>
  <c r="Q33"/>
  <c r="Z33" s="1"/>
  <c r="Q32"/>
  <c r="Z32" s="1"/>
  <c r="Q31"/>
  <c r="Z31" s="1"/>
  <c r="J31"/>
  <c r="Q30"/>
  <c r="Z30" s="1"/>
  <c r="J30"/>
  <c r="W30" s="1"/>
  <c r="H30"/>
  <c r="AB30" s="1"/>
  <c r="F30"/>
  <c r="Q29"/>
  <c r="Z29" s="1"/>
  <c r="H29"/>
  <c r="U29" s="1"/>
  <c r="Q28"/>
  <c r="Z28" s="1"/>
  <c r="Q27"/>
  <c r="Z27" s="1"/>
  <c r="Q26"/>
  <c r="Z26" s="1"/>
  <c r="H26"/>
  <c r="AB26" s="1"/>
  <c r="Q25"/>
  <c r="Z25" s="1"/>
  <c r="J25"/>
  <c r="W25" s="1"/>
  <c r="Q23"/>
  <c r="Z23" s="1"/>
  <c r="Q19"/>
  <c r="Z19" s="1"/>
  <c r="Q17"/>
  <c r="Z17" s="1"/>
  <c r="Q15"/>
  <c r="Z15" s="1"/>
  <c r="Q14"/>
  <c r="Z14" s="1"/>
  <c r="Q13"/>
  <c r="Z13" s="1"/>
  <c r="Q12"/>
  <c r="Z12" s="1"/>
  <c r="Q11"/>
  <c r="Z11" s="1"/>
  <c r="Q10"/>
  <c r="Z10" s="1"/>
  <c r="F10"/>
  <c r="AA10" s="1"/>
  <c r="Q9"/>
  <c r="Z9" s="1"/>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s="1"/>
  <c r="S32" s="1"/>
  <c r="B95"/>
  <c r="H34" s="1"/>
  <c r="U34" s="1"/>
  <c r="D83"/>
  <c r="E83" s="1"/>
  <c r="F83" s="1"/>
  <c r="G83" s="1"/>
  <c r="H83" s="1"/>
  <c r="I83" s="1"/>
  <c r="J83" s="1"/>
  <c r="K83" s="1"/>
  <c r="L83" s="1"/>
  <c r="M83" s="1"/>
  <c r="D78"/>
  <c r="J26"/>
  <c r="W26" s="1"/>
  <c r="B75"/>
  <c r="B73"/>
  <c r="J24" s="1"/>
  <c r="B71"/>
  <c r="H23" s="1"/>
  <c r="AB23" s="1"/>
  <c r="D70"/>
  <c r="H22"/>
  <c r="AB22" s="1"/>
  <c r="D68"/>
  <c r="E68" s="1"/>
  <c r="D64"/>
  <c r="E64" s="1"/>
  <c r="F64" s="1"/>
  <c r="G64" s="1"/>
  <c r="J16"/>
  <c r="D62"/>
  <c r="E62" s="1"/>
  <c r="B59"/>
  <c r="B57"/>
  <c r="J12" s="1"/>
  <c r="W12" s="1"/>
  <c r="B55"/>
  <c r="F54"/>
  <c r="G54" s="1"/>
  <c r="H54" s="1"/>
  <c r="I54" s="1"/>
  <c r="J10"/>
  <c r="W10" s="1"/>
  <c r="C51"/>
  <c r="P37"/>
  <c r="P36"/>
  <c r="V35"/>
  <c r="T35"/>
  <c r="R35"/>
  <c r="P35"/>
  <c r="Q34"/>
  <c r="Z34" s="1"/>
  <c r="Q33"/>
  <c r="Z33" s="1"/>
  <c r="Q32"/>
  <c r="Z32" s="1"/>
  <c r="Q31"/>
  <c r="Z31" s="1"/>
  <c r="Q30"/>
  <c r="Z30" s="1"/>
  <c r="Q29"/>
  <c r="Z29" s="1"/>
  <c r="Q28"/>
  <c r="Z28" s="1"/>
  <c r="J28"/>
  <c r="AC28" s="1"/>
  <c r="Q27"/>
  <c r="Z27" s="1"/>
  <c r="Q26"/>
  <c r="Z26" s="1"/>
  <c r="H26"/>
  <c r="AB26" s="1"/>
  <c r="Q25"/>
  <c r="Z25" s="1"/>
  <c r="Q24"/>
  <c r="Z24" s="1"/>
  <c r="Q23"/>
  <c r="Z23" s="1"/>
  <c r="J23"/>
  <c r="AC23" s="1"/>
  <c r="F23"/>
  <c r="AA23" s="1"/>
  <c r="Q22"/>
  <c r="Z22" s="1"/>
  <c r="J22"/>
  <c r="AC22" s="1"/>
  <c r="Q20"/>
  <c r="Z20" s="1"/>
  <c r="Q16"/>
  <c r="Z16" s="1"/>
  <c r="Q14"/>
  <c r="Z14" s="1"/>
  <c r="Q13"/>
  <c r="Z13" s="1"/>
  <c r="Q12"/>
  <c r="Z12" s="1"/>
  <c r="Q11"/>
  <c r="Z11" s="1"/>
  <c r="Q10"/>
  <c r="Z10" s="1"/>
  <c r="F10"/>
  <c r="AA10" s="1"/>
  <c r="Q9"/>
  <c r="Z9" s="1"/>
  <c r="J9"/>
  <c r="AC9" s="1"/>
  <c r="H9"/>
  <c r="AB9" s="1"/>
  <c r="F9"/>
  <c r="AA9" s="1"/>
  <c r="J8"/>
  <c r="AC8" s="1"/>
  <c r="H8"/>
  <c r="U8" s="1"/>
  <c r="F8"/>
  <c r="AA8" s="1"/>
  <c r="C7"/>
  <c r="D89" i="35"/>
  <c r="H30"/>
  <c r="U30" s="1"/>
  <c r="M90"/>
  <c r="L90"/>
  <c r="K90"/>
  <c r="J90"/>
  <c r="I90"/>
  <c r="H90"/>
  <c r="G90"/>
  <c r="F90"/>
  <c r="E90"/>
  <c r="D90"/>
  <c r="C90"/>
  <c r="F85"/>
  <c r="E85"/>
  <c r="D85"/>
  <c r="C85"/>
  <c r="J27"/>
  <c r="W27" s="1"/>
  <c r="H27"/>
  <c r="U27" s="1"/>
  <c r="F27"/>
  <c r="AA27" s="1"/>
  <c r="J22"/>
  <c r="AC22" s="1"/>
  <c r="B101"/>
  <c r="H36" s="1"/>
  <c r="B99"/>
  <c r="B97"/>
  <c r="H34" s="1"/>
  <c r="B77"/>
  <c r="B75"/>
  <c r="J24" s="1"/>
  <c r="B73"/>
  <c r="J23" s="1"/>
  <c r="B57"/>
  <c r="B61"/>
  <c r="B59"/>
  <c r="H12" s="1"/>
  <c r="B131" i="34"/>
  <c r="B129"/>
  <c r="B127"/>
  <c r="B99"/>
  <c r="B97"/>
  <c r="B95"/>
  <c r="B93"/>
  <c r="B75"/>
  <c r="B73"/>
  <c r="B71"/>
  <c r="B130" i="33"/>
  <c r="B128"/>
  <c r="H45" s="1"/>
  <c r="B126"/>
  <c r="B98"/>
  <c r="F31" s="1"/>
  <c r="B96"/>
  <c r="B94"/>
  <c r="B74"/>
  <c r="B72"/>
  <c r="B70"/>
  <c r="H12" s="1"/>
  <c r="U12" s="1"/>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s="1"/>
  <c r="AB9" s="1"/>
  <c r="P39"/>
  <c r="P38"/>
  <c r="V37"/>
  <c r="T37"/>
  <c r="R37"/>
  <c r="P37"/>
  <c r="Q36"/>
  <c r="Z36" s="1"/>
  <c r="Q35"/>
  <c r="Z35" s="1"/>
  <c r="Q34"/>
  <c r="Z34" s="1"/>
  <c r="J34"/>
  <c r="AC34" s="1"/>
  <c r="Q33"/>
  <c r="Z33" s="1"/>
  <c r="Q32"/>
  <c r="Z32" s="1"/>
  <c r="H32"/>
  <c r="AB32" s="1"/>
  <c r="F32"/>
  <c r="AA32" s="1"/>
  <c r="Q31"/>
  <c r="Z31" s="1"/>
  <c r="AC31"/>
  <c r="AB31"/>
  <c r="AA31"/>
  <c r="Q30"/>
  <c r="Z30" s="1"/>
  <c r="Q29"/>
  <c r="Z29" s="1"/>
  <c r="Q28"/>
  <c r="Z28" s="1"/>
  <c r="J28"/>
  <c r="H28"/>
  <c r="F28"/>
  <c r="AA28" s="1"/>
  <c r="Q27"/>
  <c r="Z27" s="1"/>
  <c r="Q26"/>
  <c r="Z26" s="1"/>
  <c r="Q25"/>
  <c r="Z25" s="1"/>
  <c r="Q24"/>
  <c r="Z24" s="1"/>
  <c r="Q23"/>
  <c r="Z23" s="1"/>
  <c r="Q22"/>
  <c r="Z22" s="1"/>
  <c r="Q20"/>
  <c r="Z20" s="1"/>
  <c r="Q16"/>
  <c r="Z16" s="1"/>
  <c r="Q14"/>
  <c r="Z14" s="1"/>
  <c r="Q13"/>
  <c r="Z13" s="1"/>
  <c r="Q12"/>
  <c r="Z12" s="1"/>
  <c r="F12"/>
  <c r="AA12" s="1"/>
  <c r="Q11"/>
  <c r="Z11" s="1"/>
  <c r="Q10"/>
  <c r="Z10" s="1"/>
  <c r="Q9"/>
  <c r="Z9" s="1"/>
  <c r="J9"/>
  <c r="W9" s="1"/>
  <c r="J8"/>
  <c r="H8"/>
  <c r="F8"/>
  <c r="AA8" s="1"/>
  <c r="C7"/>
  <c r="D120" i="34"/>
  <c r="E120" s="1"/>
  <c r="F120" s="1"/>
  <c r="G120" s="1"/>
  <c r="H120" s="1"/>
  <c r="I120" s="1"/>
  <c r="J120" s="1"/>
  <c r="K120" s="1"/>
  <c r="L120" s="1"/>
  <c r="M120" s="1"/>
  <c r="D90"/>
  <c r="C15"/>
  <c r="F67"/>
  <c r="G67" s="1"/>
  <c r="H67" s="1"/>
  <c r="I67" s="1"/>
  <c r="D126"/>
  <c r="E126" s="1"/>
  <c r="F126" s="1"/>
  <c r="G126" s="1"/>
  <c r="D124"/>
  <c r="E124" s="1"/>
  <c r="F124" s="1"/>
  <c r="G124" s="1"/>
  <c r="H124" s="1"/>
  <c r="I124" s="1"/>
  <c r="J124" s="1"/>
  <c r="K124" s="1"/>
  <c r="L124" s="1"/>
  <c r="M124" s="1"/>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D107"/>
  <c r="E107"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F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J9" s="1"/>
  <c r="P50"/>
  <c r="P49"/>
  <c r="V48"/>
  <c r="T48"/>
  <c r="R48"/>
  <c r="P48"/>
  <c r="Q47"/>
  <c r="Z47" s="1"/>
  <c r="Q46"/>
  <c r="Z46" s="1"/>
  <c r="Q45"/>
  <c r="Z45" s="1"/>
  <c r="Q44"/>
  <c r="Z44" s="1"/>
  <c r="H44"/>
  <c r="AB44" s="1"/>
  <c r="Q43"/>
  <c r="Z43" s="1"/>
  <c r="Q42"/>
  <c r="Z42" s="1"/>
  <c r="Q41"/>
  <c r="Z41" s="1"/>
  <c r="Q40"/>
  <c r="Z40" s="1"/>
  <c r="F40"/>
  <c r="S40" s="1"/>
  <c r="Q39"/>
  <c r="Z39" s="1"/>
  <c r="F39"/>
  <c r="Q38"/>
  <c r="Z38" s="1"/>
  <c r="Q37"/>
  <c r="Z37" s="1"/>
  <c r="Q36"/>
  <c r="Z36" s="1"/>
  <c r="Q35"/>
  <c r="Z35" s="1"/>
  <c r="Q34"/>
  <c r="Z34" s="1"/>
  <c r="J34"/>
  <c r="H34"/>
  <c r="AB34" s="1"/>
  <c r="F34"/>
  <c r="AA34" s="1"/>
  <c r="Q33"/>
  <c r="Z33"/>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H9"/>
  <c r="AB9" s="1"/>
  <c r="J8"/>
  <c r="AC8" s="1"/>
  <c r="H8"/>
  <c r="U8" s="1"/>
  <c r="F8"/>
  <c r="AA8" s="1"/>
  <c r="C7"/>
  <c r="D121" i="33"/>
  <c r="F109"/>
  <c r="E109"/>
  <c r="D109"/>
  <c r="C109"/>
  <c r="D91"/>
  <c r="E91" s="1"/>
  <c r="F91" s="1"/>
  <c r="G91" s="1"/>
  <c r="H91" s="1"/>
  <c r="I91" s="1"/>
  <c r="J91" s="1"/>
  <c r="K91" s="1"/>
  <c r="L91" s="1"/>
  <c r="M91" s="1"/>
  <c r="B88"/>
  <c r="J26" s="1"/>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H54"/>
  <c r="P49"/>
  <c r="P48"/>
  <c r="V47"/>
  <c r="T47"/>
  <c r="R47"/>
  <c r="P47"/>
  <c r="Q46"/>
  <c r="Z46" s="1"/>
  <c r="Q45"/>
  <c r="Z45" s="1"/>
  <c r="Q44"/>
  <c r="Z44" s="1"/>
  <c r="Q43"/>
  <c r="Z43" s="1"/>
  <c r="Q42"/>
  <c r="Z42" s="1"/>
  <c r="J42"/>
  <c r="AC42" s="1"/>
  <c r="W41"/>
  <c r="Q41"/>
  <c r="Z41" s="1"/>
  <c r="Q40"/>
  <c r="Z40" s="1"/>
  <c r="J40"/>
  <c r="AC40" s="1"/>
  <c r="H40"/>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F15"/>
  <c r="AA15" s="1"/>
  <c r="Q14"/>
  <c r="Z14" s="1"/>
  <c r="Q13"/>
  <c r="Z13" s="1"/>
  <c r="Q12"/>
  <c r="Z12" s="1"/>
  <c r="J12"/>
  <c r="W12" s="1"/>
  <c r="F12"/>
  <c r="S12" s="1"/>
  <c r="Q11"/>
  <c r="Z11" s="1"/>
  <c r="Q10"/>
  <c r="Z10" s="1"/>
  <c r="Q9"/>
  <c r="Z9" s="1"/>
  <c r="F9"/>
  <c r="AA9" s="1"/>
  <c r="J8"/>
  <c r="W8" s="1"/>
  <c r="H8"/>
  <c r="F8"/>
  <c r="C7"/>
  <c r="C58" s="1"/>
  <c r="D58" s="1"/>
  <c r="E58" s="1"/>
  <c r="F58" s="1"/>
  <c r="G58" s="1"/>
  <c r="H58" s="1"/>
  <c r="I58" s="1"/>
  <c r="J58" s="1"/>
  <c r="K58" s="1"/>
  <c r="L58" s="1"/>
  <c r="M58" s="1"/>
  <c r="N58" s="1"/>
  <c r="O58" s="1"/>
  <c r="M102" i="21"/>
  <c r="D102"/>
  <c r="E102"/>
  <c r="F102"/>
  <c r="G102"/>
  <c r="H102"/>
  <c r="I102"/>
  <c r="J102"/>
  <c r="K102"/>
  <c r="L102"/>
  <c r="C102"/>
  <c r="C63"/>
  <c r="F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W36" s="1"/>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H29" s="1"/>
  <c r="U29" s="1"/>
  <c r="B92"/>
  <c r="B90"/>
  <c r="H27" s="1"/>
  <c r="AB27" s="1"/>
  <c r="B74"/>
  <c r="B72"/>
  <c r="J13" s="1"/>
  <c r="AC13" s="1"/>
  <c r="B70"/>
  <c r="F12" s="1"/>
  <c r="F10"/>
  <c r="AA10" s="1"/>
  <c r="C7"/>
  <c r="C58" s="1"/>
  <c r="D58" s="1"/>
  <c r="E58" s="1"/>
  <c r="F58" s="1"/>
  <c r="G58" s="1"/>
  <c r="H58" s="1"/>
  <c r="I58" s="1"/>
  <c r="J58" s="1"/>
  <c r="K58" s="1"/>
  <c r="L58" s="1"/>
  <c r="M58" s="1"/>
  <c r="N58" s="1"/>
  <c r="O58"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3" i="11"/>
  <c r="E12"/>
  <c r="BB12" i="3"/>
  <c r="F9" i="12"/>
  <c r="D9"/>
  <c r="E9"/>
  <c r="G9"/>
  <c r="K5" i="3"/>
  <c r="J5"/>
  <c r="BE10"/>
  <c r="BD13"/>
  <c r="BE13"/>
  <c r="BF13"/>
  <c r="BG13"/>
  <c r="BH13"/>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G570"/>
  <c r="H571"/>
  <c r="G571" s="1"/>
  <c r="H572"/>
  <c r="G572" s="1"/>
  <c r="F5"/>
  <c r="G27" i="6"/>
  <c r="F34" i="21"/>
  <c r="AA34" s="1"/>
  <c r="H34"/>
  <c r="U34" s="1"/>
  <c r="F43"/>
  <c r="S43" s="1"/>
  <c r="H38"/>
  <c r="AB38" s="1"/>
  <c r="H43"/>
  <c r="AB43" s="1"/>
  <c r="F32"/>
  <c r="F38"/>
  <c r="S38" s="1"/>
  <c r="F36"/>
  <c r="S36" s="1"/>
  <c r="F39"/>
  <c r="AA39" s="1"/>
  <c r="J40"/>
  <c r="H35"/>
  <c r="AB35" s="1"/>
  <c r="J8"/>
  <c r="H8"/>
  <c r="H10"/>
  <c r="U10" s="1"/>
  <c r="H39"/>
  <c r="AB39" s="1"/>
  <c r="J34"/>
  <c r="W34" s="1"/>
  <c r="H36"/>
  <c r="U36" s="1"/>
  <c r="F35"/>
  <c r="AA35" s="1"/>
  <c r="J33"/>
  <c r="W33" s="1"/>
  <c r="H33"/>
  <c r="U33" s="1"/>
  <c r="F33"/>
  <c r="J10"/>
  <c r="AC10" s="1"/>
  <c r="H26"/>
  <c r="F19"/>
  <c r="AA19" s="1"/>
  <c r="H19"/>
  <c r="AB19" s="1"/>
  <c r="J19"/>
  <c r="W19" s="1"/>
  <c r="J12"/>
  <c r="H12"/>
  <c r="U12" s="1"/>
  <c r="J26"/>
  <c r="W26" s="1"/>
  <c r="F26"/>
  <c r="AA26" s="1"/>
  <c r="AB41"/>
  <c r="S41"/>
  <c r="AA41"/>
  <c r="W41"/>
  <c r="S10" i="39"/>
  <c r="U30" i="37"/>
  <c r="E103"/>
  <c r="F103" s="1"/>
  <c r="G103" s="1"/>
  <c r="H103" s="1"/>
  <c r="I103" s="1"/>
  <c r="J103" s="1"/>
  <c r="K103" s="1"/>
  <c r="L103" s="1"/>
  <c r="M103" s="1"/>
  <c r="F39"/>
  <c r="W39"/>
  <c r="F29" i="36"/>
  <c r="AA29" s="1"/>
  <c r="F16"/>
  <c r="AA16" s="1"/>
  <c r="U22"/>
  <c r="W23"/>
  <c r="W22"/>
  <c r="U26"/>
  <c r="AC31"/>
  <c r="J33"/>
  <c r="W33" s="1"/>
  <c r="AC27" i="35"/>
  <c r="U31"/>
  <c r="S31"/>
  <c r="W31"/>
  <c r="F36" i="34"/>
  <c r="S36" s="1"/>
  <c r="S34"/>
  <c r="H39" i="33"/>
  <c r="AB39" s="1"/>
  <c r="F26"/>
  <c r="AA26" s="1"/>
  <c r="U33"/>
  <c r="S40"/>
  <c r="S33"/>
  <c r="W33"/>
  <c r="U38"/>
  <c r="S8" i="21"/>
  <c r="H39" i="37"/>
  <c r="AB39" s="1"/>
  <c r="AB27" i="35"/>
  <c r="S10" i="40"/>
  <c r="W10"/>
  <c r="S11"/>
  <c r="U11"/>
  <c r="S36"/>
  <c r="U36"/>
  <c r="S40" i="39"/>
  <c r="S36"/>
  <c r="F11" i="21"/>
  <c r="S11" s="1"/>
  <c r="AA38"/>
  <c r="AB36"/>
  <c r="AC35"/>
  <c r="C23" i="39"/>
  <c r="U36"/>
  <c r="S42"/>
  <c r="H32" i="33"/>
  <c r="AB32" s="1"/>
  <c r="H11" i="21"/>
  <c r="U11" s="1"/>
  <c r="J11"/>
  <c r="W11" s="1"/>
  <c r="F100" i="40"/>
  <c r="J27" i="36"/>
  <c r="W27" s="1"/>
  <c r="J34"/>
  <c r="W34" s="1"/>
  <c r="J30" i="35"/>
  <c r="W30" s="1"/>
  <c r="F22"/>
  <c r="H10"/>
  <c r="U10" s="1"/>
  <c r="U29" i="36"/>
  <c r="E85"/>
  <c r="F85" s="1"/>
  <c r="G85" s="1"/>
  <c r="H85" s="1"/>
  <c r="I85" s="1"/>
  <c r="J85" s="1"/>
  <c r="K85" s="1"/>
  <c r="L85" s="1"/>
  <c r="M85" s="1"/>
  <c r="J29"/>
  <c r="AC29" s="1"/>
  <c r="F12"/>
  <c r="S12" s="1"/>
  <c r="F24"/>
  <c r="AA24" s="1"/>
  <c r="F34"/>
  <c r="S34" s="1"/>
  <c r="S10"/>
  <c r="AB8"/>
  <c r="H16" i="35"/>
  <c r="U16" s="1"/>
  <c r="H33"/>
  <c r="AB33" s="1"/>
  <c r="W8"/>
  <c r="AC8"/>
  <c r="F35" i="37"/>
  <c r="E101"/>
  <c r="F101" s="1"/>
  <c r="G101" s="1"/>
  <c r="H101" s="1"/>
  <c r="I101" s="1"/>
  <c r="J101" s="1"/>
  <c r="K101" s="1"/>
  <c r="L101" s="1"/>
  <c r="M101" s="1"/>
  <c r="J34"/>
  <c r="W34" s="1"/>
  <c r="H43" i="34"/>
  <c r="AB43" s="1"/>
  <c r="U42"/>
  <c r="E114"/>
  <c r="H36"/>
  <c r="U36" s="1"/>
  <c r="F33"/>
  <c r="S33" s="1"/>
  <c r="F19"/>
  <c r="AA19" s="1"/>
  <c r="J10"/>
  <c r="AC10" s="1"/>
  <c r="U9"/>
  <c r="W8"/>
  <c r="J28"/>
  <c r="W28" s="1"/>
  <c r="S38" i="33"/>
  <c r="E113"/>
  <c r="F36"/>
  <c r="S36" s="1"/>
  <c r="F19"/>
  <c r="S19" s="1"/>
  <c r="J19"/>
  <c r="W40"/>
  <c r="AB30" i="36"/>
  <c r="AC34"/>
  <c r="H29" i="35"/>
  <c r="U34" i="37"/>
  <c r="S34"/>
  <c r="AA34"/>
  <c r="AB42" i="34"/>
  <c r="AB40"/>
  <c r="J19"/>
  <c r="AC19" s="1"/>
  <c r="F113" i="33"/>
  <c r="G113" s="1"/>
  <c r="H113" s="1"/>
  <c r="I113" s="1"/>
  <c r="J113" s="1"/>
  <c r="K113" s="1"/>
  <c r="L113" s="1"/>
  <c r="M113" s="1"/>
  <c r="H37"/>
  <c r="AB37" s="1"/>
  <c r="S37"/>
  <c r="AC42" i="34"/>
  <c r="W42"/>
  <c r="AA42"/>
  <c r="S42"/>
  <c r="AC38"/>
  <c r="W38"/>
  <c r="AA38"/>
  <c r="S38"/>
  <c r="J37" i="33"/>
  <c r="W37" s="1"/>
  <c r="J42" i="21"/>
  <c r="AC42" s="1"/>
  <c r="J44" i="34"/>
  <c r="AC44" s="1"/>
  <c r="F44"/>
  <c r="S44" s="1"/>
  <c r="J10" i="35"/>
  <c r="W10" s="1"/>
  <c r="AL5" i="3"/>
  <c r="BQ13"/>
  <c r="BL13" s="1"/>
  <c r="J14" i="21"/>
  <c r="W14" s="1"/>
  <c r="F14"/>
  <c r="AA14" s="1"/>
  <c r="H14"/>
  <c r="U14" s="1"/>
  <c r="H28"/>
  <c r="AB28" s="1"/>
  <c r="F28"/>
  <c r="AA28" s="1"/>
  <c r="J28"/>
  <c r="AC28" s="1"/>
  <c r="H30"/>
  <c r="F30"/>
  <c r="S30" s="1"/>
  <c r="J30"/>
  <c r="AC30" s="1"/>
  <c r="J44"/>
  <c r="AC44" s="1"/>
  <c r="H44"/>
  <c r="U44" s="1"/>
  <c r="F44"/>
  <c r="AA44" s="1"/>
  <c r="H46"/>
  <c r="AB46" s="1"/>
  <c r="J46"/>
  <c r="W46" s="1"/>
  <c r="F46"/>
  <c r="H26" i="33"/>
  <c r="U26" s="1"/>
  <c r="H28"/>
  <c r="F28"/>
  <c r="AA28" s="1"/>
  <c r="J28"/>
  <c r="W28" s="1"/>
  <c r="F33" i="35"/>
  <c r="S33" s="1"/>
  <c r="J33"/>
  <c r="W33" s="1"/>
  <c r="F30"/>
  <c r="AA30" s="1"/>
  <c r="E89"/>
  <c r="F89" s="1"/>
  <c r="G89" s="1"/>
  <c r="H89" s="1"/>
  <c r="I89" s="1"/>
  <c r="J89" s="1"/>
  <c r="K89" s="1"/>
  <c r="L89" s="1"/>
  <c r="M89" s="1"/>
  <c r="H10" i="36"/>
  <c r="AB10" s="1"/>
  <c r="F28"/>
  <c r="S28" s="1"/>
  <c r="F27"/>
  <c r="S27" s="1"/>
  <c r="H13" i="21"/>
  <c r="U13" s="1"/>
  <c r="F13"/>
  <c r="AA13" s="1"/>
  <c r="J27"/>
  <c r="W27" s="1"/>
  <c r="J29"/>
  <c r="AC29" s="1"/>
  <c r="F29"/>
  <c r="S29" s="1"/>
  <c r="J31"/>
  <c r="AC31" s="1"/>
  <c r="H31"/>
  <c r="F31"/>
  <c r="S31" s="1"/>
  <c r="J45"/>
  <c r="W45" s="1"/>
  <c r="F45"/>
  <c r="AA45" s="1"/>
  <c r="H45"/>
  <c r="U45" s="1"/>
  <c r="J27" i="33"/>
  <c r="AC27" s="1"/>
  <c r="F27"/>
  <c r="F13"/>
  <c r="S13" s="1"/>
  <c r="J29"/>
  <c r="W29" s="1"/>
  <c r="J31"/>
  <c r="AC31" s="1"/>
  <c r="H31"/>
  <c r="U31" s="1"/>
  <c r="J45"/>
  <c r="W45" s="1"/>
  <c r="F45"/>
  <c r="S45" s="1"/>
  <c r="F11" i="35"/>
  <c r="S11" s="1"/>
  <c r="H28" i="36"/>
  <c r="U28" s="1"/>
  <c r="H32"/>
  <c r="AB32" s="1"/>
  <c r="J32"/>
  <c r="J11"/>
  <c r="W11" s="1"/>
  <c r="H13"/>
  <c r="AB13" s="1"/>
  <c r="J13"/>
  <c r="F13"/>
  <c r="S13" s="1"/>
  <c r="E89" i="37"/>
  <c r="F89" s="1"/>
  <c r="G89" s="1"/>
  <c r="H89" s="1"/>
  <c r="I89" s="1"/>
  <c r="J89" s="1"/>
  <c r="K89" s="1"/>
  <c r="L89" s="1"/>
  <c r="M89" s="1"/>
  <c r="J29"/>
  <c r="W29" s="1"/>
  <c r="F29"/>
  <c r="AA29" s="1"/>
  <c r="AB36"/>
  <c r="J37"/>
  <c r="AC37" s="1"/>
  <c r="H37"/>
  <c r="U37" s="1"/>
  <c r="H40"/>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W46" i="33"/>
  <c r="J36" i="37"/>
  <c r="AC36" s="1"/>
  <c r="AB28" i="36"/>
  <c r="U46" i="21"/>
  <c r="S28"/>
  <c r="AC14"/>
  <c r="W42"/>
  <c r="W31" i="34"/>
  <c r="S46" i="33"/>
  <c r="U36" i="37"/>
  <c r="S45" i="21"/>
  <c r="U28"/>
  <c r="S19"/>
  <c r="G529" i="3"/>
  <c r="G521"/>
  <c r="G517"/>
  <c r="G513"/>
  <c r="G508"/>
  <c r="G499"/>
  <c r="G493"/>
  <c r="G485"/>
  <c r="G17"/>
  <c r="G565"/>
  <c r="G561"/>
  <c r="G557"/>
  <c r="G549"/>
  <c r="G545"/>
  <c r="G539"/>
  <c r="BL569"/>
  <c r="BL561"/>
  <c r="BL557"/>
  <c r="BL553"/>
  <c r="BL545"/>
  <c r="BL535"/>
  <c r="BL527"/>
  <c r="BL519"/>
  <c r="BL511"/>
  <c r="BL501"/>
  <c r="BL491"/>
  <c r="BL483"/>
  <c r="G16"/>
  <c r="BL563"/>
  <c r="BL559"/>
  <c r="BL555"/>
  <c r="BL551"/>
  <c r="BL541"/>
  <c r="BL533"/>
  <c r="BL525"/>
  <c r="G518"/>
  <c r="G514"/>
  <c r="G510"/>
  <c r="BL503"/>
  <c r="BL495"/>
  <c r="BL485"/>
  <c r="G18"/>
  <c r="BA569"/>
  <c r="BA565"/>
  <c r="BA561"/>
  <c r="AZ561" s="1"/>
  <c r="BA559"/>
  <c r="AZ559" s="1"/>
  <c r="BA557"/>
  <c r="BA555"/>
  <c r="AZ555" s="1"/>
  <c r="BA551"/>
  <c r="BA545"/>
  <c r="AZ545" s="1"/>
  <c r="BA543"/>
  <c r="BA541"/>
  <c r="AZ541" s="1"/>
  <c r="BA531"/>
  <c r="BA521"/>
  <c r="BA509"/>
  <c r="BA505"/>
  <c r="BA501"/>
  <c r="BA493"/>
  <c r="BA487"/>
  <c r="BA19"/>
  <c r="BA572"/>
  <c r="BA566"/>
  <c r="BA562"/>
  <c r="BA560"/>
  <c r="BA558"/>
  <c r="BA556"/>
  <c r="BA554"/>
  <c r="BA550"/>
  <c r="BA546"/>
  <c r="BA544"/>
  <c r="BA540"/>
  <c r="BA536"/>
  <c r="BA532"/>
  <c r="BA528"/>
  <c r="BA524"/>
  <c r="BA520"/>
  <c r="BA516"/>
  <c r="BA512"/>
  <c r="BA508"/>
  <c r="BA502"/>
  <c r="BA498"/>
  <c r="BA492"/>
  <c r="BA488"/>
  <c r="BA484"/>
  <c r="BA20"/>
  <c r="G566"/>
  <c r="G562"/>
  <c r="G560"/>
  <c r="G558"/>
  <c r="G556"/>
  <c r="G554"/>
  <c r="G550"/>
  <c r="G546"/>
  <c r="BL543"/>
  <c r="AZ543" s="1"/>
  <c r="BA542"/>
  <c r="AC542"/>
  <c r="G542" s="1"/>
  <c r="BQ542"/>
  <c r="BL542" s="1"/>
  <c r="AZ542" s="1"/>
  <c r="BQ568"/>
  <c r="BQ566"/>
  <c r="BQ564"/>
  <c r="BL564" s="1"/>
  <c r="BQ562"/>
  <c r="BL562" s="1"/>
  <c r="BQ560"/>
  <c r="BL560" s="1"/>
  <c r="AZ560" s="1"/>
  <c r="BQ558"/>
  <c r="BL558" s="1"/>
  <c r="AZ558" s="1"/>
  <c r="BQ556"/>
  <c r="BL556" s="1"/>
  <c r="AZ556" s="1"/>
  <c r="BQ554"/>
  <c r="BQ552"/>
  <c r="BL552" s="1"/>
  <c r="BQ550"/>
  <c r="BL550" s="1"/>
  <c r="BQ548"/>
  <c r="BQ546"/>
  <c r="BL546" s="1"/>
  <c r="AZ546" s="1"/>
  <c r="BQ544"/>
  <c r="BL544" s="1"/>
  <c r="G544"/>
  <c r="G538"/>
  <c r="G534"/>
  <c r="G530"/>
  <c r="G526"/>
  <c r="G522"/>
  <c r="BQ540"/>
  <c r="BL540" s="1"/>
  <c r="AZ540" s="1"/>
  <c r="BQ538"/>
  <c r="BL538" s="1"/>
  <c r="BQ536"/>
  <c r="BQ534"/>
  <c r="BL534" s="1"/>
  <c r="BQ532"/>
  <c r="BL532" s="1"/>
  <c r="AZ532" s="1"/>
  <c r="BQ530"/>
  <c r="BQ528"/>
  <c r="BQ526"/>
  <c r="BL526" s="1"/>
  <c r="BQ524"/>
  <c r="BL524" s="1"/>
  <c r="AZ524" s="1"/>
  <c r="BQ522"/>
  <c r="BQ520"/>
  <c r="BL520" s="1"/>
  <c r="BQ518"/>
  <c r="BQ516"/>
  <c r="BL516" s="1"/>
  <c r="AZ516" s="1"/>
  <c r="BQ514"/>
  <c r="BL514" s="1"/>
  <c r="BQ512"/>
  <c r="BQ510"/>
  <c r="BL510" s="1"/>
  <c r="BQ508"/>
  <c r="BL508" s="1"/>
  <c r="AZ508" s="1"/>
  <c r="AC506"/>
  <c r="G506" s="1"/>
  <c r="BQ506"/>
  <c r="G502"/>
  <c r="G498"/>
  <c r="BQ504"/>
  <c r="BQ502"/>
  <c r="BL502" s="1"/>
  <c r="BQ500"/>
  <c r="BL500" s="1"/>
  <c r="BQ498"/>
  <c r="BQ496"/>
  <c r="AC494"/>
  <c r="BQ494"/>
  <c r="BL493"/>
  <c r="G492"/>
  <c r="G488"/>
  <c r="G484"/>
  <c r="G20"/>
  <c r="BQ492"/>
  <c r="BL492" s="1"/>
  <c r="BQ490"/>
  <c r="BQ488"/>
  <c r="BL488" s="1"/>
  <c r="AZ488" s="1"/>
  <c r="BQ486"/>
  <c r="BQ484"/>
  <c r="BL484" s="1"/>
  <c r="BQ482"/>
  <c r="BL482" s="1"/>
  <c r="BQ20"/>
  <c r="BL20" s="1"/>
  <c r="AZ20" s="1"/>
  <c r="BQ18"/>
  <c r="AZ501"/>
  <c r="S505" i="31"/>
  <c r="S503"/>
  <c r="S501"/>
  <c r="S499"/>
  <c r="O27"/>
  <c r="O28"/>
  <c r="O26"/>
  <c r="M27"/>
  <c r="M28"/>
  <c r="M26"/>
  <c r="I26"/>
  <c r="I25"/>
  <c r="S25"/>
  <c r="Q26"/>
  <c r="K26"/>
  <c r="I27"/>
  <c r="Q27"/>
  <c r="K27"/>
  <c r="I28"/>
  <c r="Q28"/>
  <c r="K28"/>
  <c r="H25" i="21"/>
  <c r="U25" s="1"/>
  <c r="F25"/>
  <c r="S25" s="1"/>
  <c r="J25"/>
  <c r="AC25" s="1"/>
  <c r="E125" i="33"/>
  <c r="F125" s="1"/>
  <c r="G125" s="1"/>
  <c r="H43"/>
  <c r="U43" s="1"/>
  <c r="H17" i="37"/>
  <c r="U17" s="1"/>
  <c r="F23"/>
  <c r="S23" s="1"/>
  <c r="F79"/>
  <c r="F39" i="33"/>
  <c r="AA39" s="1"/>
  <c r="E123"/>
  <c r="F123" s="1"/>
  <c r="G123" s="1"/>
  <c r="H123" s="1"/>
  <c r="I123" s="1"/>
  <c r="J123" s="1"/>
  <c r="K123" s="1"/>
  <c r="L123" s="1"/>
  <c r="M123" s="1"/>
  <c r="F42"/>
  <c r="AA42" s="1"/>
  <c r="H28" i="34"/>
  <c r="AB28" s="1"/>
  <c r="F22" i="36"/>
  <c r="S22" s="1"/>
  <c r="F41" i="34"/>
  <c r="S41" s="1"/>
  <c r="H41"/>
  <c r="U41" s="1"/>
  <c r="J41"/>
  <c r="W41" s="1"/>
  <c r="F10" i="35"/>
  <c r="AA10" s="1"/>
  <c r="F24"/>
  <c r="AA24" s="1"/>
  <c r="H24"/>
  <c r="AB24" s="1"/>
  <c r="H23" i="37"/>
  <c r="AB23" s="1"/>
  <c r="J32"/>
  <c r="AC32" s="1"/>
  <c r="F36"/>
  <c r="S36" s="1"/>
  <c r="F37"/>
  <c r="AA37" s="1"/>
  <c r="U23"/>
  <c r="H42" i="33"/>
  <c r="U42" s="1"/>
  <c r="J43"/>
  <c r="AC43" s="1"/>
  <c r="G79" i="37"/>
  <c r="J23"/>
  <c r="W23" s="1"/>
  <c r="F17"/>
  <c r="AA17" s="1"/>
  <c r="AB43" i="33"/>
  <c r="D3" i="21"/>
  <c r="AC33" i="36"/>
  <c r="S27" i="37"/>
  <c r="U39"/>
  <c r="AC8"/>
  <c r="AB8" i="34"/>
  <c r="AC37" i="33"/>
  <c r="AA13"/>
  <c r="AC45"/>
  <c r="U19" i="21"/>
  <c r="AC33"/>
  <c r="AA36"/>
  <c r="S39" i="33"/>
  <c r="F43"/>
  <c r="AA43" s="1"/>
  <c r="AA23" i="37"/>
  <c r="S10" i="35"/>
  <c r="AB44" i="33"/>
  <c r="G107" i="37"/>
  <c r="H107" s="1"/>
  <c r="I107" s="1"/>
  <c r="J107" s="1"/>
  <c r="K107" s="1"/>
  <c r="L107" s="1"/>
  <c r="M107" s="1"/>
  <c r="F37" i="21"/>
  <c r="S37" s="1"/>
  <c r="J37"/>
  <c r="W37" s="1"/>
  <c r="H19" i="34"/>
  <c r="AB19" s="1"/>
  <c r="J10" i="37"/>
  <c r="W10" s="1"/>
  <c r="F36" i="35"/>
  <c r="S36" s="1"/>
  <c r="J9" i="37"/>
  <c r="W9" s="1"/>
  <c r="H9"/>
  <c r="U9" s="1"/>
  <c r="F9"/>
  <c r="S9" s="1"/>
  <c r="F11"/>
  <c r="S11" s="1"/>
  <c r="J12"/>
  <c r="AC12" s="1"/>
  <c r="H12"/>
  <c r="AB12" s="1"/>
  <c r="F12"/>
  <c r="AA12" s="1"/>
  <c r="H15"/>
  <c r="U15" s="1"/>
  <c r="E94"/>
  <c r="F31"/>
  <c r="S31" s="1"/>
  <c r="F94"/>
  <c r="G94" s="1"/>
  <c r="H94" s="1"/>
  <c r="I94" s="1"/>
  <c r="J94" s="1"/>
  <c r="K94" s="1"/>
  <c r="L94" s="1"/>
  <c r="M94" s="1"/>
  <c r="H31"/>
  <c r="AB31" s="1"/>
  <c r="J15"/>
  <c r="W15" s="1"/>
  <c r="U12"/>
  <c r="AB10"/>
  <c r="J11"/>
  <c r="W11" s="1"/>
  <c r="E90" i="40"/>
  <c r="F21"/>
  <c r="S21" s="1"/>
  <c r="W36"/>
  <c r="U40" i="39"/>
  <c r="F90" i="40"/>
  <c r="J21"/>
  <c r="AC21" s="1"/>
  <c r="G90"/>
  <c r="S27" i="31"/>
  <c r="G483" i="3"/>
  <c r="G515"/>
  <c r="G507"/>
  <c r="G501"/>
  <c r="BA15"/>
  <c r="BL17"/>
  <c r="BL15"/>
  <c r="BA14"/>
  <c r="AZ14" s="1"/>
  <c r="BT5"/>
  <c r="J57" i="39"/>
  <c r="H13" i="40"/>
  <c r="U13" s="1"/>
  <c r="H12" i="48"/>
  <c r="I4" i="4"/>
  <c r="K141" i="21"/>
  <c r="K143"/>
  <c r="K144"/>
  <c r="I59" i="40"/>
  <c r="C59" s="1"/>
  <c r="I60"/>
  <c r="C60" s="1"/>
  <c r="G297" i="3"/>
  <c r="BL298"/>
  <c r="G299"/>
  <c r="BL300"/>
  <c r="BA302"/>
  <c r="AZ302" s="1"/>
  <c r="BA303"/>
  <c r="BL303"/>
  <c r="G304"/>
  <c r="BA305"/>
  <c r="G321"/>
  <c r="BL322"/>
  <c r="G323"/>
  <c r="BL324"/>
  <c r="BA326"/>
  <c r="AZ326" s="1"/>
  <c r="BA327"/>
  <c r="BL327"/>
  <c r="G328"/>
  <c r="BA329"/>
  <c r="G337"/>
  <c r="BL338"/>
  <c r="G339"/>
  <c r="BL340"/>
  <c r="BA342"/>
  <c r="BA343"/>
  <c r="BL343"/>
  <c r="G344"/>
  <c r="BA345"/>
  <c r="G353"/>
  <c r="BL354"/>
  <c r="G355"/>
  <c r="BL356"/>
  <c r="G357"/>
  <c r="BL358"/>
  <c r="G359"/>
  <c r="BA360"/>
  <c r="BA361"/>
  <c r="BL361"/>
  <c r="G362"/>
  <c r="BA363"/>
  <c r="G371"/>
  <c r="BL372"/>
  <c r="G373"/>
  <c r="BL374"/>
  <c r="BA376"/>
  <c r="AZ376" s="1"/>
  <c r="BA377"/>
  <c r="BL377"/>
  <c r="G378"/>
  <c r="BA379"/>
  <c r="BA114"/>
  <c r="AZ114" s="1"/>
  <c r="BL115"/>
  <c r="AZ115" s="1"/>
  <c r="G116"/>
  <c r="BA118"/>
  <c r="BL119"/>
  <c r="AZ119" s="1"/>
  <c r="G120"/>
  <c r="BA122"/>
  <c r="BL123"/>
  <c r="AZ123" s="1"/>
  <c r="G124"/>
  <c r="BA126"/>
  <c r="BL127"/>
  <c r="G128"/>
  <c r="BA130"/>
  <c r="AZ130" s="1"/>
  <c r="BL131"/>
  <c r="G132"/>
  <c r="BA134"/>
  <c r="AZ134" s="1"/>
  <c r="BL135"/>
  <c r="AZ135" s="1"/>
  <c r="G136"/>
  <c r="BA138"/>
  <c r="AZ138" s="1"/>
  <c r="BL139"/>
  <c r="AZ139" s="1"/>
  <c r="G140"/>
  <c r="BA142"/>
  <c r="BL143"/>
  <c r="G144"/>
  <c r="BA146"/>
  <c r="AZ146" s="1"/>
  <c r="BL147"/>
  <c r="AZ147" s="1"/>
  <c r="G148"/>
  <c r="BA150"/>
  <c r="BL151"/>
  <c r="AZ151" s="1"/>
  <c r="BA153"/>
  <c r="BL154"/>
  <c r="G155"/>
  <c r="BA157"/>
  <c r="BL158"/>
  <c r="G159"/>
  <c r="BA161"/>
  <c r="BL162"/>
  <c r="G163"/>
  <c r="BA165"/>
  <c r="BL166"/>
  <c r="G167"/>
  <c r="BA169"/>
  <c r="BL170"/>
  <c r="G171"/>
  <c r="BA173"/>
  <c r="AZ173" s="1"/>
  <c r="BL174"/>
  <c r="G175"/>
  <c r="BA178"/>
  <c r="BL179"/>
  <c r="G180"/>
  <c r="AZ35"/>
  <c r="AZ43"/>
  <c r="G537"/>
  <c r="BL181"/>
  <c r="AZ181" s="1"/>
  <c r="G182"/>
  <c r="BA184"/>
  <c r="BL185"/>
  <c r="G186"/>
  <c r="BA188"/>
  <c r="BL189"/>
  <c r="AZ189" s="1"/>
  <c r="G190"/>
  <c r="BA192"/>
  <c r="BL193"/>
  <c r="AZ193" s="1"/>
  <c r="G194"/>
  <c r="BA196"/>
  <c r="BL197"/>
  <c r="AZ197" s="1"/>
  <c r="G198"/>
  <c r="BA200"/>
  <c r="BL201"/>
  <c r="AZ201" s="1"/>
  <c r="AZ70"/>
  <c r="AZ74"/>
  <c r="AZ185"/>
  <c r="AZ94"/>
  <c r="AZ110"/>
  <c r="G491"/>
  <c r="BA298"/>
  <c r="AZ298" s="1"/>
  <c r="BA299"/>
  <c r="AZ299" s="1"/>
  <c r="BL299"/>
  <c r="G300"/>
  <c r="G303"/>
  <c r="BL304"/>
  <c r="BA306"/>
  <c r="AZ306" s="1"/>
  <c r="BA307"/>
  <c r="BL307"/>
  <c r="G308"/>
  <c r="G319"/>
  <c r="BL320"/>
  <c r="BA322"/>
  <c r="BA323"/>
  <c r="AZ323" s="1"/>
  <c r="BL323"/>
  <c r="G324"/>
  <c r="G327"/>
  <c r="BL328"/>
  <c r="BA330"/>
  <c r="AZ330" s="1"/>
  <c r="BA331"/>
  <c r="BL331"/>
  <c r="G332"/>
  <c r="G335"/>
  <c r="BL336"/>
  <c r="BA338"/>
  <c r="AZ338"/>
  <c r="BA339"/>
  <c r="BL339"/>
  <c r="G340"/>
  <c r="G343"/>
  <c r="BL344"/>
  <c r="BA346"/>
  <c r="AZ346" s="1"/>
  <c r="BA347"/>
  <c r="BL347"/>
  <c r="G348"/>
  <c r="G351"/>
  <c r="BL352"/>
  <c r="BA354"/>
  <c r="BA355"/>
  <c r="BL355"/>
  <c r="G356"/>
  <c r="AZ143"/>
  <c r="BA358"/>
  <c r="AZ358" s="1"/>
  <c r="BA359"/>
  <c r="BL359"/>
  <c r="AZ359" s="1"/>
  <c r="G360"/>
  <c r="G361"/>
  <c r="BL362"/>
  <c r="BA364"/>
  <c r="AZ364" s="1"/>
  <c r="BA365"/>
  <c r="BL365"/>
  <c r="G366"/>
  <c r="G369"/>
  <c r="BL370"/>
  <c r="BA372"/>
  <c r="AZ372" s="1"/>
  <c r="BA373"/>
  <c r="BL373"/>
  <c r="AZ373" s="1"/>
  <c r="G374"/>
  <c r="G377"/>
  <c r="BL378"/>
  <c r="BA380"/>
  <c r="BA381"/>
  <c r="BL381"/>
  <c r="G382"/>
  <c r="G385"/>
  <c r="AZ154"/>
  <c r="AZ170"/>
  <c r="AZ179"/>
  <c r="G523"/>
  <c r="BL297"/>
  <c r="G298"/>
  <c r="BA300"/>
  <c r="BL301"/>
  <c r="G302"/>
  <c r="BA304"/>
  <c r="AZ304" s="1"/>
  <c r="BL305"/>
  <c r="AZ305" s="1"/>
  <c r="G306"/>
  <c r="BA308"/>
  <c r="BL309"/>
  <c r="G310"/>
  <c r="BA310"/>
  <c r="BL311"/>
  <c r="AZ311" s="1"/>
  <c r="G312"/>
  <c r="BA312"/>
  <c r="AZ312" s="1"/>
  <c r="BL313"/>
  <c r="G314"/>
  <c r="BA314"/>
  <c r="BL315"/>
  <c r="G316"/>
  <c r="BA316"/>
  <c r="AZ316" s="1"/>
  <c r="BL317"/>
  <c r="G318"/>
  <c r="BA320"/>
  <c r="AZ320" s="1"/>
  <c r="BL321"/>
  <c r="G322"/>
  <c r="BA324"/>
  <c r="AZ324" s="1"/>
  <c r="BL325"/>
  <c r="G326"/>
  <c r="BA328"/>
  <c r="AZ328" s="1"/>
  <c r="BL329"/>
  <c r="AZ329" s="1"/>
  <c r="G330"/>
  <c r="BA332"/>
  <c r="BL333"/>
  <c r="G334"/>
  <c r="BA336"/>
  <c r="AZ336" s="1"/>
  <c r="BL337"/>
  <c r="AZ337" s="1"/>
  <c r="G338"/>
  <c r="BA340"/>
  <c r="AZ340" s="1"/>
  <c r="BL341"/>
  <c r="G342"/>
  <c r="BA344"/>
  <c r="AZ344" s="1"/>
  <c r="BL345"/>
  <c r="AZ345" s="1"/>
  <c r="G346"/>
  <c r="BA348"/>
  <c r="AZ348" s="1"/>
  <c r="BL349"/>
  <c r="G350"/>
  <c r="BA352"/>
  <c r="AZ352" s="1"/>
  <c r="BL353"/>
  <c r="G354"/>
  <c r="BA356"/>
  <c r="AZ356" s="1"/>
  <c r="BL357"/>
  <c r="G358"/>
  <c r="BA362"/>
  <c r="AZ362" s="1"/>
  <c r="BL363"/>
  <c r="G364"/>
  <c r="BA366"/>
  <c r="BL367"/>
  <c r="AZ367" s="1"/>
  <c r="AZ221"/>
  <c r="AZ225"/>
  <c r="AZ341"/>
  <c r="AZ363"/>
  <c r="G368"/>
  <c r="BA370"/>
  <c r="AZ370" s="1"/>
  <c r="BL371"/>
  <c r="G372"/>
  <c r="BA374"/>
  <c r="AZ374"/>
  <c r="BL375"/>
  <c r="G376"/>
  <c r="BA378"/>
  <c r="AZ378"/>
  <c r="BL379"/>
  <c r="AZ379"/>
  <c r="G380"/>
  <c r="BA382"/>
  <c r="BL383"/>
  <c r="G384"/>
  <c r="AZ253"/>
  <c r="AZ257"/>
  <c r="AZ383"/>
  <c r="AZ303"/>
  <c r="AZ319"/>
  <c r="AZ331"/>
  <c r="AZ339"/>
  <c r="AZ347"/>
  <c r="AZ351"/>
  <c r="AZ361"/>
  <c r="AZ369"/>
  <c r="H7" i="48"/>
  <c r="H113" i="46"/>
  <c r="H17"/>
  <c r="F33"/>
  <c r="F35"/>
  <c r="F37"/>
  <c r="H16" i="48"/>
  <c r="H9"/>
  <c r="H8"/>
  <c r="C12" i="46"/>
  <c r="AB16" i="35"/>
  <c r="AB15" i="37"/>
  <c r="AA43" i="21"/>
  <c r="U43"/>
  <c r="AA13" i="40"/>
  <c r="E78"/>
  <c r="F78" s="1"/>
  <c r="G78" s="1"/>
  <c r="H78" s="1"/>
  <c r="I78" s="1"/>
  <c r="J78" s="1"/>
  <c r="K78" s="1"/>
  <c r="L78" s="1"/>
  <c r="M78" s="1"/>
  <c r="BH5" i="3"/>
  <c r="R16" i="4"/>
  <c r="P16"/>
  <c r="D3" i="35"/>
  <c r="G4" i="4"/>
  <c r="J16" i="35"/>
  <c r="W16" s="1"/>
  <c r="U42" i="21"/>
  <c r="AC26" i="36"/>
  <c r="W25" i="35"/>
  <c r="AZ300" i="3"/>
  <c r="AZ354"/>
  <c r="AZ322"/>
  <c r="H13" i="39"/>
  <c r="AB13" s="1"/>
  <c r="F13"/>
  <c r="J13"/>
  <c r="AC13" s="1"/>
  <c r="AA36" i="35"/>
  <c r="H11" i="37"/>
  <c r="AB11" s="1"/>
  <c r="W37"/>
  <c r="AA30" i="33"/>
  <c r="AA36" i="37"/>
  <c r="S42" i="33"/>
  <c r="U32"/>
  <c r="AB17" i="37"/>
  <c r="AC29" i="33"/>
  <c r="AA45"/>
  <c r="AC11" i="36"/>
  <c r="AC10"/>
  <c r="AC14" i="37"/>
  <c r="AB35" i="35"/>
  <c r="S25"/>
  <c r="W44" i="33"/>
  <c r="AC30"/>
  <c r="W30"/>
  <c r="AC29" i="37"/>
  <c r="W32" i="36"/>
  <c r="AC32"/>
  <c r="U28" i="33"/>
  <c r="AB28"/>
  <c r="J33" i="34"/>
  <c r="AC33" s="1"/>
  <c r="J40"/>
  <c r="W40" s="1"/>
  <c r="F16" i="35"/>
  <c r="AA16" s="1"/>
  <c r="S24" i="36"/>
  <c r="W42" i="33"/>
  <c r="S30" i="36"/>
  <c r="H16"/>
  <c r="AB16" s="1"/>
  <c r="H35" i="37"/>
  <c r="AB35" s="1"/>
  <c r="S26" i="21"/>
  <c r="AB12"/>
  <c r="H32"/>
  <c r="U32" s="1"/>
  <c r="AB26"/>
  <c r="U26"/>
  <c r="AA33"/>
  <c r="S33"/>
  <c r="U39"/>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F11" i="34"/>
  <c r="S11" s="1"/>
  <c r="E80"/>
  <c r="F80" s="1"/>
  <c r="G80" s="1"/>
  <c r="H17"/>
  <c r="AB17" s="1"/>
  <c r="S12" i="35"/>
  <c r="AB28"/>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U11" s="1"/>
  <c r="J11"/>
  <c r="AC11" s="1"/>
  <c r="H32" i="37"/>
  <c r="AB32" s="1"/>
  <c r="F19" i="39"/>
  <c r="S19" s="1"/>
  <c r="H19"/>
  <c r="AB19" s="1"/>
  <c r="J19"/>
  <c r="W19" s="1"/>
  <c r="F43"/>
  <c r="AA43" s="1"/>
  <c r="H43"/>
  <c r="U43" s="1"/>
  <c r="J43"/>
  <c r="AC43" s="1"/>
  <c r="AC27" i="37"/>
  <c r="U25" i="35"/>
  <c r="S45" i="34"/>
  <c r="U31"/>
  <c r="AC40" i="37"/>
  <c r="W40"/>
  <c r="W27" i="33"/>
  <c r="AC45" i="21"/>
  <c r="S28" i="33"/>
  <c r="S14" i="21"/>
  <c r="AB29" i="35"/>
  <c r="U29"/>
  <c r="AC19" i="33"/>
  <c r="W19"/>
  <c r="AC34" i="37"/>
  <c r="S35"/>
  <c r="AA35"/>
  <c r="AB10" i="35"/>
  <c r="AA32" i="21"/>
  <c r="S32"/>
  <c r="U38"/>
  <c r="AB34"/>
  <c r="BL571" i="3"/>
  <c r="BA571"/>
  <c r="BL570"/>
  <c r="BE5"/>
  <c r="F42" i="21"/>
  <c r="AA42" s="1"/>
  <c r="AB40" i="33"/>
  <c r="U40"/>
  <c r="E90" i="34"/>
  <c r="H27"/>
  <c r="AB27" s="1"/>
  <c r="AB8" i="35"/>
  <c r="U8"/>
  <c r="J14"/>
  <c r="AC14" s="1"/>
  <c r="F14"/>
  <c r="H14"/>
  <c r="U14" s="1"/>
  <c r="E80"/>
  <c r="E94"/>
  <c r="F94" s="1"/>
  <c r="G94" s="1"/>
  <c r="H94" s="1"/>
  <c r="I94" s="1"/>
  <c r="J94" s="1"/>
  <c r="K94" s="1"/>
  <c r="L94" s="1"/>
  <c r="M94" s="1"/>
  <c r="J32"/>
  <c r="AC32" s="1"/>
  <c r="H11" i="36"/>
  <c r="AB11" s="1"/>
  <c r="F11"/>
  <c r="S11" s="1"/>
  <c r="W16"/>
  <c r="AC16"/>
  <c r="E78"/>
  <c r="F78" s="1"/>
  <c r="G78" s="1"/>
  <c r="H78" s="1"/>
  <c r="I78" s="1"/>
  <c r="J78" s="1"/>
  <c r="K78" s="1"/>
  <c r="L78" s="1"/>
  <c r="M78" s="1"/>
  <c r="F26"/>
  <c r="S26" s="1"/>
  <c r="AB34"/>
  <c r="H33"/>
  <c r="U33" s="1"/>
  <c r="F33"/>
  <c r="AA33" s="1"/>
  <c r="H27"/>
  <c r="AB27" s="1"/>
  <c r="AA31"/>
  <c r="AC25" i="37"/>
  <c r="AC26"/>
  <c r="AB29"/>
  <c r="AA30"/>
  <c r="S30"/>
  <c r="AC30"/>
  <c r="AC31"/>
  <c r="W31"/>
  <c r="AB14"/>
  <c r="F17" i="39"/>
  <c r="AA17" s="1"/>
  <c r="H17"/>
  <c r="U17" s="1"/>
  <c r="J17"/>
  <c r="W17" s="1"/>
  <c r="F21"/>
  <c r="S21" s="1"/>
  <c r="H21"/>
  <c r="J21"/>
  <c r="W21" s="1"/>
  <c r="F33"/>
  <c r="H33"/>
  <c r="U33" s="1"/>
  <c r="J33"/>
  <c r="F44"/>
  <c r="S44" s="1"/>
  <c r="H44"/>
  <c r="U44" s="1"/>
  <c r="J44"/>
  <c r="W44" s="1"/>
  <c r="E128"/>
  <c r="F128" s="1"/>
  <c r="G128" s="1"/>
  <c r="H128" s="1"/>
  <c r="I128" s="1"/>
  <c r="J128" s="1"/>
  <c r="K128" s="1"/>
  <c r="L128" s="1"/>
  <c r="M128" s="1"/>
  <c r="F46"/>
  <c r="S46" s="1"/>
  <c r="H46"/>
  <c r="U46" s="1"/>
  <c r="J46"/>
  <c r="W46" s="1"/>
  <c r="F29"/>
  <c r="AA29" s="1"/>
  <c r="E103"/>
  <c r="F103" s="1"/>
  <c r="G103" s="1"/>
  <c r="H29"/>
  <c r="U29" s="1"/>
  <c r="F34"/>
  <c r="AA34" s="1"/>
  <c r="H34"/>
  <c r="AB34" s="1"/>
  <c r="J34"/>
  <c r="AC34" s="1"/>
  <c r="F39"/>
  <c r="H39"/>
  <c r="AB39" s="1"/>
  <c r="J39"/>
  <c r="J29" i="35"/>
  <c r="AC29" s="1"/>
  <c r="F29"/>
  <c r="S29" s="1"/>
  <c r="W30" i="36"/>
  <c r="AC30"/>
  <c r="F37" i="39"/>
  <c r="S37" s="1"/>
  <c r="H37"/>
  <c r="U37" s="1"/>
  <c r="J37"/>
  <c r="W37" s="1"/>
  <c r="BL568" i="3"/>
  <c r="BA568"/>
  <c r="BL567"/>
  <c r="BA567"/>
  <c r="BL566"/>
  <c r="AZ566" s="1"/>
  <c r="BL565"/>
  <c r="AZ565" s="1"/>
  <c r="BA564"/>
  <c r="BA563"/>
  <c r="AZ563" s="1"/>
  <c r="BL554"/>
  <c r="AZ554" s="1"/>
  <c r="BA553"/>
  <c r="AZ553" s="1"/>
  <c r="BA552"/>
  <c r="BL549"/>
  <c r="BA549"/>
  <c r="AZ549" s="1"/>
  <c r="BL548"/>
  <c r="BA548"/>
  <c r="BL547"/>
  <c r="BA547"/>
  <c r="AZ547" s="1"/>
  <c r="BL539"/>
  <c r="BA539"/>
  <c r="AZ539" s="1"/>
  <c r="BA538"/>
  <c r="AZ538" s="1"/>
  <c r="BL537"/>
  <c r="BA537"/>
  <c r="BL536"/>
  <c r="AZ536" s="1"/>
  <c r="BA535"/>
  <c r="AZ535" s="1"/>
  <c r="BA534"/>
  <c r="BA533"/>
  <c r="AZ533" s="1"/>
  <c r="BL531"/>
  <c r="AZ531" s="1"/>
  <c r="BL530"/>
  <c r="BA530"/>
  <c r="AZ530" s="1"/>
  <c r="BL529"/>
  <c r="BA529"/>
  <c r="BL528"/>
  <c r="AZ528" s="1"/>
  <c r="BA527"/>
  <c r="AZ527" s="1"/>
  <c r="BA526"/>
  <c r="BA525"/>
  <c r="AZ525" s="1"/>
  <c r="BL523"/>
  <c r="BA523"/>
  <c r="AZ523" s="1"/>
  <c r="BL522"/>
  <c r="BA522"/>
  <c r="BL521"/>
  <c r="AZ521" s="1"/>
  <c r="BA519"/>
  <c r="AZ519" s="1"/>
  <c r="BL518"/>
  <c r="BA518"/>
  <c r="AZ518" s="1"/>
  <c r="BL517"/>
  <c r="BA517"/>
  <c r="BL515"/>
  <c r="BA515"/>
  <c r="BA514"/>
  <c r="AZ514" s="1"/>
  <c r="BL513"/>
  <c r="BA513"/>
  <c r="AZ513" s="1"/>
  <c r="BL512"/>
  <c r="AZ512" s="1"/>
  <c r="BA511"/>
  <c r="AZ511" s="1"/>
  <c r="BA510"/>
  <c r="BL509"/>
  <c r="AZ509" s="1"/>
  <c r="BL507"/>
  <c r="BA507"/>
  <c r="BL506"/>
  <c r="BA506"/>
  <c r="AZ506"/>
  <c r="BL505"/>
  <c r="AZ505"/>
  <c r="BL504"/>
  <c r="BA504"/>
  <c r="BA503"/>
  <c r="AZ503"/>
  <c r="BA500"/>
  <c r="BL499"/>
  <c r="BA499"/>
  <c r="BL498"/>
  <c r="AZ498" s="1"/>
  <c r="BL497"/>
  <c r="BA497"/>
  <c r="AZ497" s="1"/>
  <c r="BL496"/>
  <c r="BA496"/>
  <c r="AZ496" s="1"/>
  <c r="BA495"/>
  <c r="AZ495" s="1"/>
  <c r="BL494"/>
  <c r="BA494"/>
  <c r="G494"/>
  <c r="BA491"/>
  <c r="AZ491"/>
  <c r="BL490"/>
  <c r="BA490"/>
  <c r="AZ490" s="1"/>
  <c r="BL489"/>
  <c r="BA489"/>
  <c r="AZ489" s="1"/>
  <c r="BL487"/>
  <c r="AZ487" s="1"/>
  <c r="BL486"/>
  <c r="BA486"/>
  <c r="BA485"/>
  <c r="AZ485" s="1"/>
  <c r="BA483"/>
  <c r="AZ483" s="1"/>
  <c r="BA482"/>
  <c r="AZ482" s="1"/>
  <c r="BL481"/>
  <c r="BJ5"/>
  <c r="BA481"/>
  <c r="AZ481" s="1"/>
  <c r="BB5"/>
  <c r="BL19"/>
  <c r="AZ19" s="1"/>
  <c r="BA18"/>
  <c r="F36" i="44"/>
  <c r="F114" i="34"/>
  <c r="G114" s="1"/>
  <c r="H114" s="1"/>
  <c r="I114" s="1"/>
  <c r="J114" s="1"/>
  <c r="K114" s="1"/>
  <c r="L114" s="1"/>
  <c r="M114" s="1"/>
  <c r="H38"/>
  <c r="U38" s="1"/>
  <c r="H30" i="40"/>
  <c r="AB30" s="1"/>
  <c r="G100"/>
  <c r="J30" s="1"/>
  <c r="AC30" s="1"/>
  <c r="F38"/>
  <c r="AA38" s="1"/>
  <c r="AC12" i="21"/>
  <c r="W12"/>
  <c r="AB33"/>
  <c r="S35"/>
  <c r="AB10"/>
  <c r="U8"/>
  <c r="AB8"/>
  <c r="S34"/>
  <c r="AC36"/>
  <c r="AB8" i="33"/>
  <c r="U8"/>
  <c r="E106"/>
  <c r="H34"/>
  <c r="U34" s="1"/>
  <c r="F34"/>
  <c r="S34" s="1"/>
  <c r="E121"/>
  <c r="F41"/>
  <c r="S41" s="1"/>
  <c r="AC34" i="34"/>
  <c r="W34"/>
  <c r="AA39"/>
  <c r="S39"/>
  <c r="E78"/>
  <c r="F15" s="1"/>
  <c r="S15" s="1"/>
  <c r="AC28" i="35"/>
  <c r="W28"/>
  <c r="J20"/>
  <c r="AC20" s="1"/>
  <c r="E72"/>
  <c r="F72" s="1"/>
  <c r="G72" s="1"/>
  <c r="H22"/>
  <c r="AB22" s="1"/>
  <c r="H23"/>
  <c r="F23"/>
  <c r="AA23" s="1"/>
  <c r="AC12" i="36"/>
  <c r="U31"/>
  <c r="S8" i="37"/>
  <c r="AA8"/>
  <c r="F14" i="39"/>
  <c r="AA14" s="1"/>
  <c r="H14"/>
  <c r="AB14" s="1"/>
  <c r="J14"/>
  <c r="AC14" s="1"/>
  <c r="F16"/>
  <c r="AA16" s="1"/>
  <c r="H16"/>
  <c r="U16" s="1"/>
  <c r="J16"/>
  <c r="AC16" s="1"/>
  <c r="F23"/>
  <c r="AA23" s="1"/>
  <c r="E97"/>
  <c r="F27"/>
  <c r="AA27" s="1"/>
  <c r="H27"/>
  <c r="AB27" s="1"/>
  <c r="J27"/>
  <c r="AC27" s="1"/>
  <c r="F15" i="40"/>
  <c r="AA15" s="1"/>
  <c r="J15"/>
  <c r="AC15" s="1"/>
  <c r="H15"/>
  <c r="AB15" s="1"/>
  <c r="E92"/>
  <c r="F92" s="1"/>
  <c r="G92" s="1"/>
  <c r="H23"/>
  <c r="U23" s="1"/>
  <c r="H41"/>
  <c r="AB41" s="1"/>
  <c r="F41"/>
  <c r="AA41" s="1"/>
  <c r="J41"/>
  <c r="W41" s="1"/>
  <c r="H36" i="33"/>
  <c r="AB36"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B41" i="1"/>
  <c r="F27" i="43" s="1"/>
  <c r="J42" i="40"/>
  <c r="AC42" s="1"/>
  <c r="J40"/>
  <c r="AC40" s="1"/>
  <c r="J34"/>
  <c r="AC34" s="1"/>
  <c r="H16"/>
  <c r="AB16" s="1"/>
  <c r="H14"/>
  <c r="U14" s="1"/>
  <c r="F32"/>
  <c r="AA32" s="1"/>
  <c r="M1" i="46"/>
  <c r="M6"/>
  <c r="M10"/>
  <c r="N2"/>
  <c r="N5"/>
  <c r="F47"/>
  <c r="H49" s="1"/>
  <c r="N7"/>
  <c r="AZ223" i="3"/>
  <c r="AZ228"/>
  <c r="AZ255"/>
  <c r="AZ260"/>
  <c r="AZ137"/>
  <c r="M7" i="46"/>
  <c r="M11"/>
  <c r="N3"/>
  <c r="N6"/>
  <c r="N10"/>
  <c r="AZ167" i="3"/>
  <c r="AZ40"/>
  <c r="AZ63"/>
  <c r="AZ91"/>
  <c r="AZ107"/>
  <c r="AZ112"/>
  <c r="J13" i="40"/>
  <c r="W13" s="1"/>
  <c r="F34" i="44"/>
  <c r="F66" i="9"/>
  <c r="P72" s="1"/>
  <c r="F72"/>
  <c r="S33" i="40"/>
  <c r="AC47" i="39"/>
  <c r="S47"/>
  <c r="AB25"/>
  <c r="AC41" i="40"/>
  <c r="U41"/>
  <c r="J23"/>
  <c r="AC23" s="1"/>
  <c r="F23"/>
  <c r="S23" s="1"/>
  <c r="W15"/>
  <c r="S23" i="39"/>
  <c r="W14"/>
  <c r="U23" i="35"/>
  <c r="AB23"/>
  <c r="H20"/>
  <c r="F20"/>
  <c r="S20" s="1"/>
  <c r="H15" i="34"/>
  <c r="AB15" s="1"/>
  <c r="F78"/>
  <c r="G78" s="1"/>
  <c r="J15"/>
  <c r="W15" s="1"/>
  <c r="H41" i="33"/>
  <c r="U41" s="1"/>
  <c r="F121"/>
  <c r="G121" s="1"/>
  <c r="H121" s="1"/>
  <c r="I121" s="1"/>
  <c r="J121" s="1"/>
  <c r="K121" s="1"/>
  <c r="L121" s="1"/>
  <c r="M121" s="1"/>
  <c r="F30" i="40"/>
  <c r="AA30" s="1"/>
  <c r="H100"/>
  <c r="I100" s="1"/>
  <c r="J100" s="1"/>
  <c r="K100" s="1"/>
  <c r="L100" s="1"/>
  <c r="M100" s="1"/>
  <c r="AZ486" i="3"/>
  <c r="AZ504"/>
  <c r="AZ529"/>
  <c r="AZ537"/>
  <c r="AZ548"/>
  <c r="AB37" i="39"/>
  <c r="AA29" i="35"/>
  <c r="U39" i="39"/>
  <c r="J29"/>
  <c r="AC29" s="1"/>
  <c r="AB21"/>
  <c r="U21"/>
  <c r="AB17"/>
  <c r="AB33" i="36"/>
  <c r="AA11"/>
  <c r="AA14" i="35"/>
  <c r="S14"/>
  <c r="U19" i="39"/>
  <c r="U46" i="34"/>
  <c r="AC30"/>
  <c r="AA14"/>
  <c r="W12"/>
  <c r="U29" i="33"/>
  <c r="AC13"/>
  <c r="U17" i="34"/>
  <c r="AA11"/>
  <c r="W32" i="33"/>
  <c r="H15"/>
  <c r="U15" s="1"/>
  <c r="AA11"/>
  <c r="AA40" i="21"/>
  <c r="S13" i="39"/>
  <c r="AA13"/>
  <c r="U16" i="40"/>
  <c r="W34"/>
  <c r="AB34"/>
  <c r="AB42"/>
  <c r="U42"/>
  <c r="AC16"/>
  <c r="W32"/>
  <c r="H25"/>
  <c r="AB25" s="1"/>
  <c r="F94"/>
  <c r="G94" s="1"/>
  <c r="W15" i="39"/>
  <c r="J36" i="33"/>
  <c r="W36" s="1"/>
  <c r="S41" i="40"/>
  <c r="AB23"/>
  <c r="U27" i="39"/>
  <c r="H23"/>
  <c r="AB23" s="1"/>
  <c r="J23"/>
  <c r="AC23" s="1"/>
  <c r="F97"/>
  <c r="G97"/>
  <c r="S16"/>
  <c r="AA41" i="33"/>
  <c r="F106"/>
  <c r="G106" s="1"/>
  <c r="H106" s="1"/>
  <c r="I106" s="1"/>
  <c r="J106" s="1"/>
  <c r="K106" s="1"/>
  <c r="L106" s="1"/>
  <c r="M106" s="1"/>
  <c r="J34"/>
  <c r="AC34" s="1"/>
  <c r="U30" i="40"/>
  <c r="W29" i="35"/>
  <c r="AC39" i="39"/>
  <c r="W39"/>
  <c r="AA39"/>
  <c r="S39"/>
  <c r="U34"/>
  <c r="AB29"/>
  <c r="AB46"/>
  <c r="AB44"/>
  <c r="AC33"/>
  <c r="W33"/>
  <c r="AA33"/>
  <c r="S33"/>
  <c r="S17"/>
  <c r="U11" i="36"/>
  <c r="F80" i="35"/>
  <c r="G80" s="1"/>
  <c r="H80" s="1"/>
  <c r="I80" s="1"/>
  <c r="J80" s="1"/>
  <c r="K80" s="1"/>
  <c r="L80" s="1"/>
  <c r="M80" s="1"/>
  <c r="W14"/>
  <c r="F90" i="34"/>
  <c r="G90" s="1"/>
  <c r="H90" s="1"/>
  <c r="I90" s="1"/>
  <c r="J90" s="1"/>
  <c r="K90" s="1"/>
  <c r="L90" s="1"/>
  <c r="M90" s="1"/>
  <c r="F27"/>
  <c r="S27" s="1"/>
  <c r="W43" i="39"/>
  <c r="S43"/>
  <c r="AA19"/>
  <c r="F32" i="37"/>
  <c r="S32" s="1"/>
  <c r="AB11" i="35"/>
  <c r="U32" i="34"/>
  <c r="AC14"/>
  <c r="AB13" i="33"/>
  <c r="F17" i="34"/>
  <c r="AA17" s="1"/>
  <c r="J17"/>
  <c r="AC17" s="1"/>
  <c r="H11"/>
  <c r="AB11" s="1"/>
  <c r="J35" i="33"/>
  <c r="W35" s="1"/>
  <c r="AC15"/>
  <c r="H11"/>
  <c r="U11" s="1"/>
  <c r="H10"/>
  <c r="U10" s="1"/>
  <c r="I66"/>
  <c r="J10"/>
  <c r="AC10" s="1"/>
  <c r="U11" i="37"/>
  <c r="U13" i="39"/>
  <c r="AC16" i="35"/>
  <c r="J11" i="34"/>
  <c r="W11" s="1"/>
  <c r="AC36" i="33"/>
  <c r="F25" i="40"/>
  <c r="AA25" s="1"/>
  <c r="J11" i="33"/>
  <c r="W11" s="1"/>
  <c r="H33" i="37"/>
  <c r="AB33" s="1"/>
  <c r="U20" i="35"/>
  <c r="AB20"/>
  <c r="W23" i="40"/>
  <c r="D73" i="9"/>
  <c r="N73" s="1"/>
  <c r="AP11" i="1"/>
  <c r="J51" i="15"/>
  <c r="B11" i="1"/>
  <c r="E11" s="1"/>
  <c r="K11"/>
  <c r="M11" s="1"/>
  <c r="B9"/>
  <c r="E9" s="1"/>
  <c r="K9"/>
  <c r="M9" s="1"/>
  <c r="B7"/>
  <c r="E7" s="1"/>
  <c r="K7"/>
  <c r="M7" s="1"/>
  <c r="O7" s="1"/>
  <c r="P7" s="1"/>
  <c r="C20" i="43"/>
  <c r="E2" i="65"/>
  <c r="AZ515" i="3" l="1"/>
  <c r="AZ517"/>
  <c r="AZ526"/>
  <c r="AZ567"/>
  <c r="AZ568"/>
  <c r="AC23" i="37"/>
  <c r="AZ484" i="3"/>
  <c r="AZ502"/>
  <c r="AZ550"/>
  <c r="AZ551"/>
  <c r="AZ557"/>
  <c r="AZ569"/>
  <c r="AB44" i="21"/>
  <c r="AC28" i="33"/>
  <c r="AB31"/>
  <c r="AB14" i="21"/>
  <c r="W30"/>
  <c r="AB13"/>
  <c r="AC35" i="35"/>
  <c r="W35"/>
  <c r="U40" i="37"/>
  <c r="AB40"/>
  <c r="W13" i="36"/>
  <c r="AC13"/>
  <c r="AZ534" i="3"/>
  <c r="AZ564"/>
  <c r="AZ571"/>
  <c r="AZ381"/>
  <c r="AZ365"/>
  <c r="AZ377"/>
  <c r="AZ343"/>
  <c r="AZ327"/>
  <c r="S27" i="33"/>
  <c r="AA27"/>
  <c r="U31" i="21"/>
  <c r="AB31"/>
  <c r="AA46"/>
  <c r="S46"/>
  <c r="U30"/>
  <c r="AB30"/>
  <c r="AA22" i="35"/>
  <c r="S22"/>
  <c r="S39" i="37"/>
  <c r="AA39"/>
  <c r="AC8" i="21"/>
  <c r="W8"/>
  <c r="W40"/>
  <c r="AC40"/>
  <c r="BL572" i="3"/>
  <c r="AZ572" s="1"/>
  <c r="AA31" i="33"/>
  <c r="S31"/>
  <c r="F27" i="21"/>
  <c r="AA27" s="1"/>
  <c r="S10"/>
  <c r="AA12" i="33"/>
  <c r="C29" i="39"/>
  <c r="W38" i="33"/>
  <c r="H9" i="21"/>
  <c r="J9"/>
  <c r="BG5" i="3"/>
  <c r="J39" i="34"/>
  <c r="H10"/>
  <c r="AB10" s="1"/>
  <c r="F34" i="35"/>
  <c r="F25" i="37"/>
  <c r="G564" i="3"/>
  <c r="G552"/>
  <c r="G551"/>
  <c r="G547"/>
  <c r="G525"/>
  <c r="G524"/>
  <c r="G500"/>
  <c r="G497"/>
  <c r="G482"/>
  <c r="G481"/>
  <c r="G15"/>
  <c r="G386"/>
  <c r="G393"/>
  <c r="BL394"/>
  <c r="G395"/>
  <c r="G398"/>
  <c r="G400"/>
  <c r="BL401"/>
  <c r="G402"/>
  <c r="G404"/>
  <c r="BA405"/>
  <c r="BL405"/>
  <c r="BA406"/>
  <c r="AZ406" s="1"/>
  <c r="BA407"/>
  <c r="AZ407" s="1"/>
  <c r="BL409"/>
  <c r="G410"/>
  <c r="BA411"/>
  <c r="BL411"/>
  <c r="BA412"/>
  <c r="AZ412" s="1"/>
  <c r="BA414"/>
  <c r="BL414"/>
  <c r="BL416"/>
  <c r="G417"/>
  <c r="G419"/>
  <c r="BA420"/>
  <c r="BL420"/>
  <c r="BA421"/>
  <c r="AZ421" s="1"/>
  <c r="BA422"/>
  <c r="AZ422" s="1"/>
  <c r="BA423"/>
  <c r="AZ423" s="1"/>
  <c r="BL425"/>
  <c r="G426"/>
  <c r="BA427"/>
  <c r="AZ427" s="1"/>
  <c r="BL427"/>
  <c r="BL429"/>
  <c r="G430"/>
  <c r="BL431"/>
  <c r="G432"/>
  <c r="G434"/>
  <c r="G438"/>
  <c r="G440"/>
  <c r="BL441"/>
  <c r="G442"/>
  <c r="BA443"/>
  <c r="BL443"/>
  <c r="BL445"/>
  <c r="G446"/>
  <c r="BA447"/>
  <c r="BL447"/>
  <c r="BA448"/>
  <c r="AZ448" s="1"/>
  <c r="BA449"/>
  <c r="AZ449" s="1"/>
  <c r="BA450"/>
  <c r="AZ450" s="1"/>
  <c r="BA452"/>
  <c r="BL452"/>
  <c r="BA453"/>
  <c r="AZ453" s="1"/>
  <c r="BA454"/>
  <c r="AZ454" s="1"/>
  <c r="BA455"/>
  <c r="AZ455" s="1"/>
  <c r="BA456"/>
  <c r="AZ456" s="1"/>
  <c r="BA458"/>
  <c r="BL458"/>
  <c r="BL460"/>
  <c r="G461"/>
  <c r="BA462"/>
  <c r="AZ462" s="1"/>
  <c r="BL462"/>
  <c r="BL464"/>
  <c r="G465"/>
  <c r="G467"/>
  <c r="G471"/>
  <c r="G474"/>
  <c r="G476"/>
  <c r="BL477"/>
  <c r="G478"/>
  <c r="G480"/>
  <c r="BA297"/>
  <c r="AZ297" s="1"/>
  <c r="BA301"/>
  <c r="AZ301" s="1"/>
  <c r="BL308"/>
  <c r="AZ308" s="1"/>
  <c r="G309"/>
  <c r="BL310"/>
  <c r="AZ310" s="1"/>
  <c r="BA313"/>
  <c r="AZ313" s="1"/>
  <c r="BA315"/>
  <c r="AZ315" s="1"/>
  <c r="BA321"/>
  <c r="AZ321" s="1"/>
  <c r="BA325"/>
  <c r="AZ325" s="1"/>
  <c r="BL332"/>
  <c r="AZ332" s="1"/>
  <c r="G333"/>
  <c r="BA335"/>
  <c r="AZ335" s="1"/>
  <c r="G341"/>
  <c r="BL342"/>
  <c r="AZ342" s="1"/>
  <c r="G345"/>
  <c r="BA353"/>
  <c r="AZ353" s="1"/>
  <c r="BA357"/>
  <c r="AZ357" s="1"/>
  <c r="G367"/>
  <c r="BL368"/>
  <c r="G381"/>
  <c r="BL382"/>
  <c r="AZ382" s="1"/>
  <c r="BA384"/>
  <c r="AZ384" s="1"/>
  <c r="BL169"/>
  <c r="AZ169" s="1"/>
  <c r="BA171"/>
  <c r="AZ171" s="1"/>
  <c r="BA180"/>
  <c r="BL180"/>
  <c r="BA182"/>
  <c r="AZ182" s="1"/>
  <c r="BA183"/>
  <c r="AZ183" s="1"/>
  <c r="BL184"/>
  <c r="AZ184" s="1"/>
  <c r="BA186"/>
  <c r="AZ186" s="1"/>
  <c r="BA187"/>
  <c r="AZ187" s="1"/>
  <c r="BL188"/>
  <c r="AZ188" s="1"/>
  <c r="BA190"/>
  <c r="AZ190" s="1"/>
  <c r="BA191"/>
  <c r="AZ191" s="1"/>
  <c r="BL192"/>
  <c r="AZ192" s="1"/>
  <c r="BA194"/>
  <c r="AZ194" s="1"/>
  <c r="BA195"/>
  <c r="AZ195" s="1"/>
  <c r="BL196"/>
  <c r="AZ196" s="1"/>
  <c r="AZ198"/>
  <c r="BA199"/>
  <c r="AZ199" s="1"/>
  <c r="BL200"/>
  <c r="AZ200" s="1"/>
  <c r="BA205"/>
  <c r="AZ205" s="1"/>
  <c r="BL205"/>
  <c r="BA206"/>
  <c r="AZ206" s="1"/>
  <c r="BA207"/>
  <c r="AZ207" s="1"/>
  <c r="BA209"/>
  <c r="AZ209" s="1"/>
  <c r="BL209"/>
  <c r="BA210"/>
  <c r="AZ210" s="1"/>
  <c r="BA212"/>
  <c r="BL212"/>
  <c r="BL214"/>
  <c r="G215"/>
  <c r="BA216"/>
  <c r="BL216"/>
  <c r="BL218"/>
  <c r="G219"/>
  <c r="G221"/>
  <c r="G225"/>
  <c r="G228"/>
  <c r="G230"/>
  <c r="BL231"/>
  <c r="G232"/>
  <c r="G234"/>
  <c r="BA235"/>
  <c r="AZ235" s="1"/>
  <c r="BL235"/>
  <c r="BA237"/>
  <c r="AZ237" s="1"/>
  <c r="BL237"/>
  <c r="BA238"/>
  <c r="AZ238" s="1"/>
  <c r="BA239"/>
  <c r="AZ239" s="1"/>
  <c r="BA241"/>
  <c r="AZ241" s="1"/>
  <c r="BL241"/>
  <c r="BA242"/>
  <c r="AZ242" s="1"/>
  <c r="BA244"/>
  <c r="BL244"/>
  <c r="BL246"/>
  <c r="G247"/>
  <c r="BA248"/>
  <c r="BL248"/>
  <c r="BL250"/>
  <c r="G251"/>
  <c r="G253"/>
  <c r="G257"/>
  <c r="G260"/>
  <c r="G262"/>
  <c r="BL263"/>
  <c r="G264"/>
  <c r="G266"/>
  <c r="BA267"/>
  <c r="AZ267" s="1"/>
  <c r="BL267"/>
  <c r="BL269"/>
  <c r="G270"/>
  <c r="BA271"/>
  <c r="AZ271" s="1"/>
  <c r="BL271"/>
  <c r="BA272"/>
  <c r="AZ272" s="1"/>
  <c r="BA273"/>
  <c r="AZ273" s="1"/>
  <c r="BA274"/>
  <c r="AZ274" s="1"/>
  <c r="BA276"/>
  <c r="BL276"/>
  <c r="BA277"/>
  <c r="AZ277" s="1"/>
  <c r="BL280"/>
  <c r="G281"/>
  <c r="BL282"/>
  <c r="G283"/>
  <c r="BA284"/>
  <c r="AZ284" s="1"/>
  <c r="BL284"/>
  <c r="BA285"/>
  <c r="AZ285" s="1"/>
  <c r="BA286"/>
  <c r="AZ286" s="1"/>
  <c r="BL288"/>
  <c r="G289"/>
  <c r="BL290"/>
  <c r="G291"/>
  <c r="G293"/>
  <c r="BA294"/>
  <c r="BL294"/>
  <c r="BL296"/>
  <c r="G113"/>
  <c r="BA116"/>
  <c r="BL116"/>
  <c r="BA117"/>
  <c r="AZ117" s="1"/>
  <c r="BL118"/>
  <c r="AZ118" s="1"/>
  <c r="BA120"/>
  <c r="AZ120" s="1"/>
  <c r="BA121"/>
  <c r="AZ121" s="1"/>
  <c r="BL122"/>
  <c r="AZ122" s="1"/>
  <c r="BL125"/>
  <c r="G126"/>
  <c r="BA127"/>
  <c r="AZ127" s="1"/>
  <c r="BA129"/>
  <c r="BL129"/>
  <c r="BA131"/>
  <c r="AZ131" s="1"/>
  <c r="G141"/>
  <c r="G143"/>
  <c r="BL144"/>
  <c r="G145"/>
  <c r="BA148"/>
  <c r="BL148"/>
  <c r="BA149"/>
  <c r="AZ149" s="1"/>
  <c r="BL150"/>
  <c r="AZ150" s="1"/>
  <c r="BA152"/>
  <c r="AZ152" s="1"/>
  <c r="BL153"/>
  <c r="AZ153" s="1"/>
  <c r="BA155"/>
  <c r="AZ155" s="1"/>
  <c r="BL157"/>
  <c r="AZ157" s="1"/>
  <c r="G158"/>
  <c r="BL160"/>
  <c r="G161"/>
  <c r="BA162"/>
  <c r="AZ162" s="1"/>
  <c r="BL164"/>
  <c r="G165"/>
  <c r="BA166"/>
  <c r="AZ166" s="1"/>
  <c r="BL37"/>
  <c r="G38"/>
  <c r="G40"/>
  <c r="G43"/>
  <c r="G46"/>
  <c r="BL47"/>
  <c r="G48"/>
  <c r="BA49"/>
  <c r="AZ49" s="1"/>
  <c r="BL49"/>
  <c r="BA50"/>
  <c r="AZ50" s="1"/>
  <c r="BA51"/>
  <c r="AZ51" s="1"/>
  <c r="BA203"/>
  <c r="AZ203" s="1"/>
  <c r="BL203"/>
  <c r="BA204"/>
  <c r="AZ204" s="1"/>
  <c r="BL21"/>
  <c r="G22"/>
  <c r="BL23"/>
  <c r="G24"/>
  <c r="BA25"/>
  <c r="BL25"/>
  <c r="BA26"/>
  <c r="AZ26" s="1"/>
  <c r="BA27"/>
  <c r="AZ27" s="1"/>
  <c r="BL30"/>
  <c r="G31"/>
  <c r="BL32"/>
  <c r="G33"/>
  <c r="G37"/>
  <c r="G53"/>
  <c r="BA54"/>
  <c r="BL54"/>
  <c r="BA56"/>
  <c r="BL56"/>
  <c r="BA57"/>
  <c r="AZ57" s="1"/>
  <c r="BA58"/>
  <c r="BL58"/>
  <c r="BL60"/>
  <c r="G61"/>
  <c r="G65"/>
  <c r="BL66"/>
  <c r="G67"/>
  <c r="G70"/>
  <c r="G72"/>
  <c r="G74"/>
  <c r="G77"/>
  <c r="BL78"/>
  <c r="G79"/>
  <c r="BA80"/>
  <c r="BL80"/>
  <c r="BA81"/>
  <c r="AZ81" s="1"/>
  <c r="BA82"/>
  <c r="AZ82" s="1"/>
  <c r="BA84"/>
  <c r="AZ84" s="1"/>
  <c r="BL84"/>
  <c r="BL85"/>
  <c r="G86"/>
  <c r="BA87"/>
  <c r="BL87"/>
  <c r="BL88"/>
  <c r="G89"/>
  <c r="G91"/>
  <c r="G94"/>
  <c r="G97"/>
  <c r="BL98"/>
  <c r="G99"/>
  <c r="BA100"/>
  <c r="BL100"/>
  <c r="BA101"/>
  <c r="AZ101" s="1"/>
  <c r="BA102"/>
  <c r="AZ102" s="1"/>
  <c r="BL104"/>
  <c r="G105"/>
  <c r="G107"/>
  <c r="G110"/>
  <c r="I20" i="57"/>
  <c r="S12" i="21"/>
  <c r="AA12"/>
  <c r="AC9" i="34"/>
  <c r="W9"/>
  <c r="AC23" i="35"/>
  <c r="W23"/>
  <c r="AC13" i="40"/>
  <c r="U40" i="21"/>
  <c r="S32" i="33"/>
  <c r="U12" i="34"/>
  <c r="U14"/>
  <c r="S46"/>
  <c r="AA37" i="39"/>
  <c r="AA34" i="33"/>
  <c r="U47" i="39"/>
  <c r="U17" i="21"/>
  <c r="AB16" i="39"/>
  <c r="W27"/>
  <c r="AC14" i="40"/>
  <c r="F71" i="9"/>
  <c r="W40" i="40"/>
  <c r="H47" i="46"/>
  <c r="AZ494" i="3"/>
  <c r="AZ499"/>
  <c r="AZ507"/>
  <c r="AZ522"/>
  <c r="S9" i="21"/>
  <c r="AA9"/>
  <c r="AC24" i="35"/>
  <c r="W24"/>
  <c r="AB34"/>
  <c r="U34"/>
  <c r="W24" i="36"/>
  <c r="AC24"/>
  <c r="AZ562" i="3"/>
  <c r="BA570"/>
  <c r="AZ570" s="1"/>
  <c r="BI5"/>
  <c r="H9" i="33"/>
  <c r="F9" i="34"/>
  <c r="AA9" s="1"/>
  <c r="H33"/>
  <c r="U33" s="1"/>
  <c r="J36"/>
  <c r="F9" i="35"/>
  <c r="H12" i="36"/>
  <c r="U12" s="1"/>
  <c r="H24"/>
  <c r="AZ355" i="3"/>
  <c r="AZ307"/>
  <c r="AZ500"/>
  <c r="AZ510"/>
  <c r="AZ552"/>
  <c r="AZ492"/>
  <c r="AZ520"/>
  <c r="AZ544"/>
  <c r="AZ493"/>
  <c r="BF5"/>
  <c r="F26" i="37"/>
  <c r="AA26" s="1"/>
  <c r="G540" i="3"/>
  <c r="G516"/>
  <c r="G490"/>
  <c r="G568"/>
  <c r="G553"/>
  <c r="G548"/>
  <c r="G541"/>
  <c r="G533"/>
  <c r="G527"/>
  <c r="G519"/>
  <c r="G509"/>
  <c r="G503"/>
  <c r="G495"/>
  <c r="G486"/>
  <c r="K145" i="21"/>
  <c r="G390" i="3"/>
  <c r="G391"/>
  <c r="G392"/>
  <c r="BL392"/>
  <c r="BA393"/>
  <c r="AZ393" s="1"/>
  <c r="BA394"/>
  <c r="AZ394" s="1"/>
  <c r="G397"/>
  <c r="BL397"/>
  <c r="BL399"/>
  <c r="AZ399" s="1"/>
  <c r="BA400"/>
  <c r="AZ400" s="1"/>
  <c r="BA401"/>
  <c r="AZ401" s="1"/>
  <c r="BL403"/>
  <c r="AZ403" s="1"/>
  <c r="BA404"/>
  <c r="AZ404" s="1"/>
  <c r="G407"/>
  <c r="G408"/>
  <c r="BL408"/>
  <c r="BA409"/>
  <c r="AZ409" s="1"/>
  <c r="BA410"/>
  <c r="AZ410" s="1"/>
  <c r="G413"/>
  <c r="BL413"/>
  <c r="BL415"/>
  <c r="AZ415" s="1"/>
  <c r="BA416"/>
  <c r="AZ416" s="1"/>
  <c r="BL418"/>
  <c r="AZ418" s="1"/>
  <c r="BA419"/>
  <c r="AZ419" s="1"/>
  <c r="G422"/>
  <c r="G423"/>
  <c r="G424"/>
  <c r="BL424"/>
  <c r="BA425"/>
  <c r="AZ425" s="1"/>
  <c r="BA426"/>
  <c r="AZ426" s="1"/>
  <c r="BL428"/>
  <c r="AZ428" s="1"/>
  <c r="BA429"/>
  <c r="AZ429" s="1"/>
  <c r="BA430"/>
  <c r="AZ430" s="1"/>
  <c r="BA431"/>
  <c r="AZ431" s="1"/>
  <c r="BL433"/>
  <c r="AZ433" s="1"/>
  <c r="G436"/>
  <c r="G437"/>
  <c r="BL437"/>
  <c r="BL439"/>
  <c r="AZ439" s="1"/>
  <c r="BA440"/>
  <c r="AZ440" s="1"/>
  <c r="BA441"/>
  <c r="AZ441" s="1"/>
  <c r="BA442"/>
  <c r="AZ442" s="1"/>
  <c r="BL444"/>
  <c r="AZ444" s="1"/>
  <c r="BA445"/>
  <c r="AZ445" s="1"/>
  <c r="BA446"/>
  <c r="AZ446" s="1"/>
  <c r="G449"/>
  <c r="G450"/>
  <c r="G451"/>
  <c r="BL451"/>
  <c r="G454"/>
  <c r="G455"/>
  <c r="G456"/>
  <c r="G457"/>
  <c r="BL457"/>
  <c r="BL459"/>
  <c r="AZ459" s="1"/>
  <c r="BA460"/>
  <c r="AZ460" s="1"/>
  <c r="BA461"/>
  <c r="AZ461" s="1"/>
  <c r="BL463"/>
  <c r="AZ463" s="1"/>
  <c r="BA464"/>
  <c r="AZ464" s="1"/>
  <c r="BL466"/>
  <c r="AZ466" s="1"/>
  <c r="G469"/>
  <c r="G470"/>
  <c r="BL470"/>
  <c r="AZ470" s="1"/>
  <c r="G473"/>
  <c r="BL473"/>
  <c r="BL475"/>
  <c r="AZ475" s="1"/>
  <c r="BA476"/>
  <c r="AZ476" s="1"/>
  <c r="BA477"/>
  <c r="AZ477" s="1"/>
  <c r="BL479"/>
  <c r="AZ479" s="1"/>
  <c r="BA480"/>
  <c r="AZ480" s="1"/>
  <c r="G307"/>
  <c r="BA309"/>
  <c r="AZ309" s="1"/>
  <c r="G313"/>
  <c r="BL314"/>
  <c r="AZ314" s="1"/>
  <c r="BA317"/>
  <c r="AZ317" s="1"/>
  <c r="BL318"/>
  <c r="G320"/>
  <c r="G331"/>
  <c r="BA333"/>
  <c r="AZ333" s="1"/>
  <c r="BL334"/>
  <c r="G336"/>
  <c r="G347"/>
  <c r="BA349"/>
  <c r="AZ349" s="1"/>
  <c r="BL350"/>
  <c r="G352"/>
  <c r="BL360"/>
  <c r="AZ360" s="1"/>
  <c r="BL366"/>
  <c r="AZ366" s="1"/>
  <c r="BA368"/>
  <c r="AZ368" s="1"/>
  <c r="BA371"/>
  <c r="AZ371" s="1"/>
  <c r="BA375"/>
  <c r="AZ375" s="1"/>
  <c r="BL380"/>
  <c r="AZ380" s="1"/>
  <c r="BL385"/>
  <c r="AZ385" s="1"/>
  <c r="BA386"/>
  <c r="AZ386" s="1"/>
  <c r="BL388"/>
  <c r="AZ388" s="1"/>
  <c r="G207"/>
  <c r="G208"/>
  <c r="BL208"/>
  <c r="AZ208" s="1"/>
  <c r="G211"/>
  <c r="BL211"/>
  <c r="BL213"/>
  <c r="AZ213" s="1"/>
  <c r="BA214"/>
  <c r="AZ214" s="1"/>
  <c r="BA215"/>
  <c r="AZ215" s="1"/>
  <c r="BL217"/>
  <c r="AZ217" s="1"/>
  <c r="BA218"/>
  <c r="AZ218" s="1"/>
  <c r="BL220"/>
  <c r="AZ220" s="1"/>
  <c r="G223"/>
  <c r="G224"/>
  <c r="BL224"/>
  <c r="G227"/>
  <c r="BL227"/>
  <c r="BL229"/>
  <c r="AZ229" s="1"/>
  <c r="BA230"/>
  <c r="AZ230" s="1"/>
  <c r="BA231"/>
  <c r="AZ231" s="1"/>
  <c r="BL233"/>
  <c r="AZ233" s="1"/>
  <c r="BA234"/>
  <c r="AZ234" s="1"/>
  <c r="BL236"/>
  <c r="AZ236" s="1"/>
  <c r="G239"/>
  <c r="G240"/>
  <c r="BL240"/>
  <c r="AZ240" s="1"/>
  <c r="G243"/>
  <c r="BL243"/>
  <c r="BL245"/>
  <c r="AZ245" s="1"/>
  <c r="BA246"/>
  <c r="AZ246" s="1"/>
  <c r="BA247"/>
  <c r="AZ247" s="1"/>
  <c r="BL249"/>
  <c r="AZ249" s="1"/>
  <c r="BA250"/>
  <c r="AZ250" s="1"/>
  <c r="BL252"/>
  <c r="AZ252" s="1"/>
  <c r="G255"/>
  <c r="G256"/>
  <c r="BL256"/>
  <c r="G259"/>
  <c r="BL259"/>
  <c r="BL261"/>
  <c r="AZ261" s="1"/>
  <c r="BA262"/>
  <c r="AZ262" s="1"/>
  <c r="BA263"/>
  <c r="AZ263" s="1"/>
  <c r="BL265"/>
  <c r="AZ265" s="1"/>
  <c r="BA266"/>
  <c r="AZ266" s="1"/>
  <c r="BL268"/>
  <c r="AZ268" s="1"/>
  <c r="BA269"/>
  <c r="AZ269" s="1"/>
  <c r="BA270"/>
  <c r="AZ270" s="1"/>
  <c r="G273"/>
  <c r="G274"/>
  <c r="G275"/>
  <c r="BL275"/>
  <c r="G278"/>
  <c r="BL278"/>
  <c r="AZ278" s="1"/>
  <c r="G279"/>
  <c r="BL279"/>
  <c r="BA280"/>
  <c r="AZ280" s="1"/>
  <c r="BA281"/>
  <c r="AZ281" s="1"/>
  <c r="BA282"/>
  <c r="AZ282" s="1"/>
  <c r="AZ392"/>
  <c r="AZ398"/>
  <c r="AZ414"/>
  <c r="AZ434"/>
  <c r="AZ438"/>
  <c r="AZ451"/>
  <c r="AZ452"/>
  <c r="AZ458"/>
  <c r="AZ467"/>
  <c r="AZ471"/>
  <c r="AZ474"/>
  <c r="G286"/>
  <c r="G287"/>
  <c r="BL287"/>
  <c r="BA288"/>
  <c r="AZ288" s="1"/>
  <c r="BA289"/>
  <c r="AZ289" s="1"/>
  <c r="BA290"/>
  <c r="AZ290" s="1"/>
  <c r="BL292"/>
  <c r="AZ292" s="1"/>
  <c r="BA293"/>
  <c r="AZ293" s="1"/>
  <c r="BL295"/>
  <c r="AZ295" s="1"/>
  <c r="BA296"/>
  <c r="AZ296" s="1"/>
  <c r="G115"/>
  <c r="G118"/>
  <c r="G121"/>
  <c r="G122"/>
  <c r="BL124"/>
  <c r="AZ124" s="1"/>
  <c r="BA125"/>
  <c r="AZ125" s="1"/>
  <c r="BL126"/>
  <c r="AZ126" s="1"/>
  <c r="BA128"/>
  <c r="AZ128" s="1"/>
  <c r="G131"/>
  <c r="G134"/>
  <c r="G137"/>
  <c r="G138"/>
  <c r="BL140"/>
  <c r="AZ140" s="1"/>
  <c r="BA141"/>
  <c r="AZ141" s="1"/>
  <c r="BL142"/>
  <c r="AZ142" s="1"/>
  <c r="BA144"/>
  <c r="AZ144" s="1"/>
  <c r="G147"/>
  <c r="G150"/>
  <c r="G152"/>
  <c r="G153"/>
  <c r="G156"/>
  <c r="BL156"/>
  <c r="BA158"/>
  <c r="AZ158" s="1"/>
  <c r="BL159"/>
  <c r="BA160"/>
  <c r="AZ160" s="1"/>
  <c r="BL161"/>
  <c r="AZ161" s="1"/>
  <c r="BA163"/>
  <c r="AZ163" s="1"/>
  <c r="BA164"/>
  <c r="AZ164" s="1"/>
  <c r="BL165"/>
  <c r="AZ165" s="1"/>
  <c r="G169"/>
  <c r="G172"/>
  <c r="BL172"/>
  <c r="BA174"/>
  <c r="AZ174" s="1"/>
  <c r="BL175"/>
  <c r="BA176"/>
  <c r="AZ176" s="1"/>
  <c r="BA177"/>
  <c r="AZ177" s="1"/>
  <c r="BL178"/>
  <c r="AZ178" s="1"/>
  <c r="G183"/>
  <c r="G184"/>
  <c r="G187"/>
  <c r="G188"/>
  <c r="G191"/>
  <c r="G192"/>
  <c r="G195"/>
  <c r="G196"/>
  <c r="G199"/>
  <c r="G200"/>
  <c r="G202"/>
  <c r="BL202"/>
  <c r="G21"/>
  <c r="BA22"/>
  <c r="AZ22" s="1"/>
  <c r="BA23"/>
  <c r="AZ23" s="1"/>
  <c r="BA24"/>
  <c r="AZ24" s="1"/>
  <c r="G27"/>
  <c r="G28"/>
  <c r="BL28"/>
  <c r="G29"/>
  <c r="BL29"/>
  <c r="BA30"/>
  <c r="AZ30" s="1"/>
  <c r="BA31"/>
  <c r="AZ31" s="1"/>
  <c r="BA32"/>
  <c r="AZ32" s="1"/>
  <c r="G35"/>
  <c r="G36"/>
  <c r="BL36"/>
  <c r="BA37"/>
  <c r="AZ37" s="1"/>
  <c r="BL39"/>
  <c r="AZ39" s="1"/>
  <c r="G42"/>
  <c r="BL42"/>
  <c r="G45"/>
  <c r="BL45"/>
  <c r="BA46"/>
  <c r="AZ46" s="1"/>
  <c r="BA47"/>
  <c r="AZ47" s="1"/>
  <c r="BA48"/>
  <c r="AZ48" s="1"/>
  <c r="G51"/>
  <c r="G52"/>
  <c r="BL52"/>
  <c r="BA53"/>
  <c r="AZ53" s="1"/>
  <c r="BL55"/>
  <c r="AZ55" s="1"/>
  <c r="G58"/>
  <c r="AZ156"/>
  <c r="AZ159"/>
  <c r="AZ172"/>
  <c r="AZ175"/>
  <c r="AZ202"/>
  <c r="R12" i="1"/>
  <c r="K12"/>
  <c r="M12" s="1"/>
  <c r="BL59" i="3"/>
  <c r="AZ59" s="1"/>
  <c r="BA60"/>
  <c r="AZ60" s="1"/>
  <c r="G63"/>
  <c r="G64"/>
  <c r="BL64"/>
  <c r="AZ64" s="1"/>
  <c r="BA65"/>
  <c r="AZ65" s="1"/>
  <c r="BA66"/>
  <c r="AZ66" s="1"/>
  <c r="G69"/>
  <c r="BL69"/>
  <c r="BL71"/>
  <c r="AZ71" s="1"/>
  <c r="G73"/>
  <c r="BL73"/>
  <c r="G76"/>
  <c r="BL76"/>
  <c r="AZ76" s="1"/>
  <c r="BA77"/>
  <c r="AZ77" s="1"/>
  <c r="BA78"/>
  <c r="AZ78" s="1"/>
  <c r="BA79"/>
  <c r="AZ79" s="1"/>
  <c r="G82"/>
  <c r="G83"/>
  <c r="BL83"/>
  <c r="AZ83" s="1"/>
  <c r="BA85"/>
  <c r="AZ85" s="1"/>
  <c r="BA86"/>
  <c r="AZ86" s="1"/>
  <c r="BA88"/>
  <c r="AZ88" s="1"/>
  <c r="BL90"/>
  <c r="AZ90" s="1"/>
  <c r="G93"/>
  <c r="BL93"/>
  <c r="AZ93" s="1"/>
  <c r="G96"/>
  <c r="BL96"/>
  <c r="AZ96" s="1"/>
  <c r="BA97"/>
  <c r="AZ97" s="1"/>
  <c r="BA98"/>
  <c r="AZ98" s="1"/>
  <c r="BA99"/>
  <c r="AZ99" s="1"/>
  <c r="G102"/>
  <c r="G103"/>
  <c r="BL103"/>
  <c r="AZ103" s="1"/>
  <c r="BA104"/>
  <c r="AZ104" s="1"/>
  <c r="BL106"/>
  <c r="AZ106" s="1"/>
  <c r="G109"/>
  <c r="BL109"/>
  <c r="AZ109" s="1"/>
  <c r="G112"/>
  <c r="N86" i="46"/>
  <c r="I15" i="57"/>
  <c r="F58" i="46"/>
  <c r="H58" s="1"/>
  <c r="U27" i="33"/>
  <c r="AB27"/>
  <c r="U45"/>
  <c r="AB45"/>
  <c r="J17" i="40"/>
  <c r="F86"/>
  <c r="G86" s="1"/>
  <c r="H112" i="34"/>
  <c r="I112" s="1"/>
  <c r="J112" s="1"/>
  <c r="K112" s="1"/>
  <c r="L112" s="1"/>
  <c r="M112" s="1"/>
  <c r="F37"/>
  <c r="J37"/>
  <c r="AC37" s="1"/>
  <c r="H37"/>
  <c r="AZ420" i="3"/>
  <c r="AZ432"/>
  <c r="AZ447"/>
  <c r="AZ465"/>
  <c r="AC9" i="33"/>
  <c r="W9"/>
  <c r="U36" i="35"/>
  <c r="AB36"/>
  <c r="U27" i="37"/>
  <c r="AB27"/>
  <c r="AZ397" i="3"/>
  <c r="AZ408"/>
  <c r="AZ413"/>
  <c r="AZ424"/>
  <c r="AZ437"/>
  <c r="AZ457"/>
  <c r="AZ473"/>
  <c r="AB32" i="40"/>
  <c r="W35"/>
  <c r="AB14"/>
  <c r="U31" i="37"/>
  <c r="U30" i="33"/>
  <c r="AB13" i="35"/>
  <c r="AA38" i="37"/>
  <c r="H39" i="34"/>
  <c r="F43"/>
  <c r="AA43" s="1"/>
  <c r="J43"/>
  <c r="J12" i="35"/>
  <c r="J36"/>
  <c r="F7" i="1"/>
  <c r="G7" s="1"/>
  <c r="H5" i="3"/>
  <c r="C92" i="9"/>
  <c r="AZ318" i="3"/>
  <c r="AZ334"/>
  <c r="AZ350"/>
  <c r="AZ211"/>
  <c r="AZ224"/>
  <c r="AZ227"/>
  <c r="AZ243"/>
  <c r="AZ256"/>
  <c r="AZ259"/>
  <c r="AZ275"/>
  <c r="AZ287"/>
  <c r="AZ28"/>
  <c r="AZ279"/>
  <c r="AZ294"/>
  <c r="AZ113"/>
  <c r="AZ116"/>
  <c r="AZ129"/>
  <c r="AZ132"/>
  <c r="AZ145"/>
  <c r="AZ148"/>
  <c r="AZ36"/>
  <c r="AZ42"/>
  <c r="AZ45"/>
  <c r="AZ52"/>
  <c r="AZ58"/>
  <c r="AZ61"/>
  <c r="AZ67"/>
  <c r="BA21"/>
  <c r="AZ21" s="1"/>
  <c r="AZ29"/>
  <c r="AZ69"/>
  <c r="AZ73"/>
  <c r="AZ87"/>
  <c r="AZ89"/>
  <c r="AZ100"/>
  <c r="AZ105"/>
  <c r="I21" i="57"/>
  <c r="D1" s="1"/>
  <c r="E10" s="1"/>
  <c r="N73" i="46"/>
  <c r="C18" i="9"/>
  <c r="D14" i="71" s="1"/>
  <c r="D20" s="1"/>
  <c r="A30" i="64"/>
  <c r="A30" i="51"/>
  <c r="B22" i="63" s="1"/>
  <c r="AC41" i="34"/>
  <c r="AB38"/>
  <c r="H35"/>
  <c r="U35" s="1"/>
  <c r="J35"/>
  <c r="W35" s="1"/>
  <c r="F35"/>
  <c r="F107"/>
  <c r="G107" s="1"/>
  <c r="H107" s="1"/>
  <c r="I107" s="1"/>
  <c r="J107" s="1"/>
  <c r="K107" s="1"/>
  <c r="L107" s="1"/>
  <c r="M107" s="1"/>
  <c r="AC27"/>
  <c r="W27"/>
  <c r="S28"/>
  <c r="AA28"/>
  <c r="AC28"/>
  <c r="AB45"/>
  <c r="AC15"/>
  <c r="AA15"/>
  <c r="AA44"/>
  <c r="U43"/>
  <c r="AB36"/>
  <c r="AA36"/>
  <c r="S17"/>
  <c r="G14" i="3"/>
  <c r="C10" i="15"/>
  <c r="C52"/>
  <c r="F6" i="1"/>
  <c r="AP6" s="1"/>
  <c r="G11"/>
  <c r="M22" i="44"/>
  <c r="F32" i="15"/>
  <c r="F59" s="1"/>
  <c r="F29" i="12"/>
  <c r="F70" i="9"/>
  <c r="D86"/>
  <c r="M20" i="44"/>
  <c r="F31" i="43"/>
  <c r="F30" i="44"/>
  <c r="C30" s="1"/>
  <c r="C27" i="43"/>
  <c r="C25" i="12"/>
  <c r="C29"/>
  <c r="AC25" i="36"/>
  <c r="S23"/>
  <c r="S8"/>
  <c r="AA26"/>
  <c r="AA28"/>
  <c r="U25"/>
  <c r="H20"/>
  <c r="U20" s="1"/>
  <c r="F68"/>
  <c r="G68" s="1"/>
  <c r="J20"/>
  <c r="AC20" s="1"/>
  <c r="F20"/>
  <c r="S20" s="1"/>
  <c r="F62"/>
  <c r="G62" s="1"/>
  <c r="J14"/>
  <c r="H14"/>
  <c r="F14"/>
  <c r="AA14" s="1"/>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3"/>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S29"/>
  <c r="AC21"/>
  <c r="AC17"/>
  <c r="S14"/>
  <c r="AB15"/>
  <c r="U11"/>
  <c r="U41"/>
  <c r="U23"/>
  <c r="AB38"/>
  <c r="U31"/>
  <c r="AB31"/>
  <c r="S25"/>
  <c r="S38"/>
  <c r="S22" i="31"/>
  <c r="M43" i="9"/>
  <c r="M20" i="15"/>
  <c r="D96" i="9"/>
  <c r="F28" i="15"/>
  <c r="C28" s="1"/>
  <c r="M18"/>
  <c r="A18" i="64"/>
  <c r="B74" i="63" s="1"/>
  <c r="C53" i="10"/>
  <c r="A25" i="64" s="1"/>
  <c r="A18" i="51"/>
  <c r="B14" i="63" s="1"/>
  <c r="C19" i="46"/>
  <c r="BA16" i="3"/>
  <c r="BA17"/>
  <c r="AZ17" s="1"/>
  <c r="C24" i="12"/>
  <c r="F3" i="35"/>
  <c r="K1" i="43"/>
  <c r="K1" i="12"/>
  <c r="G1" i="44"/>
  <c r="I4" i="6"/>
  <c r="G3" i="46" s="1"/>
  <c r="H22" s="1"/>
  <c r="AZ15" i="3"/>
  <c r="BK5"/>
  <c r="BO5"/>
  <c r="BP5"/>
  <c r="BN5"/>
  <c r="BL18"/>
  <c r="AZ18" s="1"/>
  <c r="BC5"/>
  <c r="E8" i="6" s="1"/>
  <c r="BD5" i="3"/>
  <c r="BR5"/>
  <c r="G28" i="6" s="1"/>
  <c r="BS5" i="3"/>
  <c r="BQ5"/>
  <c r="BL16"/>
  <c r="BL5" s="1"/>
  <c r="BM5"/>
  <c r="BA13"/>
  <c r="H48" i="46"/>
  <c r="H52"/>
  <c r="H53"/>
  <c r="B40" i="1"/>
  <c r="G28" i="12"/>
  <c r="G22" i="43"/>
  <c r="G26" i="12"/>
  <c r="D24" i="44"/>
  <c r="D26"/>
  <c r="G27" i="12"/>
  <c r="G23" i="43"/>
  <c r="G21"/>
  <c r="H54" i="46"/>
  <c r="H50"/>
  <c r="H55"/>
  <c r="H51"/>
  <c r="E11"/>
  <c r="E10"/>
  <c r="N8"/>
  <c r="N4"/>
  <c r="N1"/>
  <c r="M9"/>
  <c r="M2"/>
  <c r="N11"/>
  <c r="N9"/>
  <c r="F69" s="1"/>
  <c r="H71" s="1"/>
  <c r="M4"/>
  <c r="M12"/>
  <c r="M8"/>
  <c r="M3"/>
  <c r="M5"/>
  <c r="H6" i="48"/>
  <c r="E9" i="46"/>
  <c r="H15" i="48"/>
  <c r="H5"/>
  <c r="H14"/>
  <c r="F38" i="46"/>
  <c r="F36"/>
  <c r="F34"/>
  <c r="J17"/>
  <c r="C17"/>
  <c r="F39"/>
  <c r="H13" i="48"/>
  <c r="H11"/>
  <c r="E8" i="46"/>
  <c r="I17"/>
  <c r="E17"/>
  <c r="D71"/>
  <c r="D84"/>
  <c r="E80" s="1"/>
  <c r="B78" s="1"/>
  <c r="D69"/>
  <c r="E69" s="1"/>
  <c r="B67" s="1"/>
  <c r="E47"/>
  <c r="E58"/>
  <c r="A4" i="64"/>
  <c r="A4" i="51"/>
  <c r="B6" i="63" s="1"/>
  <c r="C51" i="10"/>
  <c r="H61" i="46"/>
  <c r="I100"/>
  <c r="B56"/>
  <c r="C24" s="1"/>
  <c r="N100"/>
  <c r="H100"/>
  <c r="F108"/>
  <c r="H80"/>
  <c r="B45"/>
  <c r="E100"/>
  <c r="G100"/>
  <c r="H84"/>
  <c r="H65"/>
  <c r="C100"/>
  <c r="J100"/>
  <c r="M100"/>
  <c r="AA12" i="36"/>
  <c r="U12" i="35"/>
  <c r="AB12"/>
  <c r="W11"/>
  <c r="AA11"/>
  <c r="S14" i="37"/>
  <c r="U13"/>
  <c r="S13" i="21"/>
  <c r="C24" i="9"/>
  <c r="C25"/>
  <c r="AP7" i="1"/>
  <c r="AP9"/>
  <c r="G9"/>
  <c r="AP8"/>
  <c r="G8"/>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86" i="46"/>
  <c r="H82"/>
  <c r="H63"/>
  <c r="H64"/>
  <c r="H10" i="48"/>
  <c r="H87" i="46"/>
  <c r="H85"/>
  <c r="H83"/>
  <c r="O13" i="1"/>
  <c r="P13" s="1"/>
  <c r="K10"/>
  <c r="M10" s="1"/>
  <c r="O10" s="1"/>
  <c r="P10" s="1"/>
  <c r="S11"/>
  <c r="R11"/>
  <c r="S13"/>
  <c r="R13"/>
  <c r="B6"/>
  <c r="E6" s="1"/>
  <c r="B10"/>
  <c r="E10" s="1"/>
  <c r="S10"/>
  <c r="B8"/>
  <c r="E8" s="1"/>
  <c r="B12"/>
  <c r="E12" s="1"/>
  <c r="S12"/>
  <c r="O9"/>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AA31" i="34"/>
  <c r="W47"/>
  <c r="AB29"/>
  <c r="AB47"/>
  <c r="AB13"/>
  <c r="AC13"/>
  <c r="S47"/>
  <c r="AA29"/>
  <c r="S19"/>
  <c r="S8"/>
  <c r="AA19" i="33"/>
  <c r="AC25"/>
  <c r="S43"/>
  <c r="AB42"/>
  <c r="AB14"/>
  <c r="S26"/>
  <c r="AB12"/>
  <c r="S15"/>
  <c r="S9"/>
  <c r="S39" i="21"/>
  <c r="AB25"/>
  <c r="AB45"/>
  <c r="W25"/>
  <c r="AA25"/>
  <c r="AC37"/>
  <c r="AA29"/>
  <c r="U27"/>
  <c r="W31"/>
  <c r="S27"/>
  <c r="AA15"/>
  <c r="AC27"/>
  <c r="W29"/>
  <c r="G96" i="40"/>
  <c r="J27"/>
  <c r="S17"/>
  <c r="W30"/>
  <c r="S34"/>
  <c r="U38"/>
  <c r="S40"/>
  <c r="S42"/>
  <c r="G105" i="39"/>
  <c r="J31"/>
  <c r="S45"/>
  <c r="W41"/>
  <c r="AB43"/>
  <c r="AB33"/>
  <c r="AC46"/>
  <c r="S34"/>
  <c r="W42"/>
  <c r="W36"/>
  <c r="W23"/>
  <c r="AC37"/>
  <c r="U14"/>
  <c r="W16"/>
  <c r="S15"/>
  <c r="W25"/>
  <c r="W45"/>
  <c r="S41"/>
  <c r="AA44"/>
  <c r="AA46"/>
  <c r="W34"/>
  <c r="W10"/>
  <c r="W11"/>
  <c r="U42"/>
  <c r="W40"/>
  <c r="S32" i="40"/>
  <c r="C27" i="39"/>
  <c r="C17" i="40"/>
  <c r="C19"/>
  <c r="C17" i="39"/>
  <c r="C19"/>
  <c r="C21"/>
  <c r="C23" i="40"/>
  <c r="B48" i="46"/>
  <c r="B51"/>
  <c r="B55"/>
  <c r="B59"/>
  <c r="B62"/>
  <c r="B66"/>
  <c r="B53"/>
  <c r="B64"/>
  <c r="M13" i="44"/>
  <c r="J12" s="1"/>
  <c r="E11" i="52"/>
  <c r="E7"/>
  <c r="B7"/>
  <c r="E6"/>
  <c r="B10"/>
  <c r="B14"/>
  <c r="B9"/>
  <c r="E21"/>
  <c r="B4"/>
  <c r="B22"/>
  <c r="B8"/>
  <c r="B13"/>
  <c r="E9"/>
  <c r="B5"/>
  <c r="E10"/>
  <c r="E8"/>
  <c r="B23"/>
  <c r="B11"/>
  <c r="B16"/>
  <c r="E16"/>
  <c r="B6"/>
  <c r="E4"/>
  <c r="E5"/>
  <c r="D24" i="15"/>
  <c r="M24" i="44"/>
  <c r="F39"/>
  <c r="L47" i="15"/>
  <c r="F13"/>
  <c r="M10" i="44"/>
  <c r="M8"/>
  <c r="L48"/>
  <c r="F38"/>
  <c r="M23" i="15"/>
  <c r="F43"/>
  <c r="M29" i="44"/>
  <c r="F18"/>
  <c r="J36" i="15"/>
  <c r="F26"/>
  <c r="M6"/>
  <c r="M28" i="44"/>
  <c r="F43"/>
  <c r="M24" i="15"/>
  <c r="M31" i="44"/>
  <c r="F37" i="15"/>
  <c r="F28" i="44"/>
  <c r="F11"/>
  <c r="C15" i="43"/>
  <c r="F15" i="44"/>
  <c r="G5" i="3" l="1"/>
  <c r="B3" s="1"/>
  <c r="AA25" i="37"/>
  <c r="S25"/>
  <c r="AB9" i="21"/>
  <c r="U9"/>
  <c r="AZ80" i="3"/>
  <c r="AZ56"/>
  <c r="AZ54"/>
  <c r="AZ25"/>
  <c r="AZ276"/>
  <c r="AZ248"/>
  <c r="AZ244"/>
  <c r="AZ216"/>
  <c r="AZ212"/>
  <c r="AZ180"/>
  <c r="AZ443"/>
  <c r="AZ411"/>
  <c r="AZ405"/>
  <c r="AA34" i="35"/>
  <c r="S34"/>
  <c r="AC39" i="34"/>
  <c r="W39"/>
  <c r="AC9" i="21"/>
  <c r="W9"/>
  <c r="D22" i="71"/>
  <c r="D18"/>
  <c r="W36" i="34"/>
  <c r="AC36"/>
  <c r="U17" i="40"/>
  <c r="W37"/>
  <c r="AB35" i="34"/>
  <c r="S26" i="37"/>
  <c r="H60" i="46"/>
  <c r="H59"/>
  <c r="I20"/>
  <c r="C20" s="1"/>
  <c r="C36" s="1"/>
  <c r="E36" s="1"/>
  <c r="H66"/>
  <c r="H62"/>
  <c r="C16"/>
  <c r="AB24" i="36"/>
  <c r="U24"/>
  <c r="AA9" i="35"/>
  <c r="S9"/>
  <c r="AB9" i="33"/>
  <c r="U9"/>
  <c r="C7" i="46"/>
  <c r="S43" i="34"/>
  <c r="D18" i="9"/>
  <c r="M44" s="1"/>
  <c r="AC36" i="35"/>
  <c r="W36"/>
  <c r="AC43" i="34"/>
  <c r="W43"/>
  <c r="U39"/>
  <c r="AB39"/>
  <c r="AB37"/>
  <c r="U37"/>
  <c r="AA37"/>
  <c r="S37"/>
  <c r="E413" i="3"/>
  <c r="D29" i="46"/>
  <c r="D1" s="1"/>
  <c r="F19" i="6"/>
  <c r="E19" s="1"/>
  <c r="C9" i="12" s="1"/>
  <c r="AZ3" i="3"/>
  <c r="W12" i="35"/>
  <c r="AC12"/>
  <c r="S35" i="34"/>
  <c r="AA35"/>
  <c r="H77" i="46"/>
  <c r="H69"/>
  <c r="H75"/>
  <c r="C6"/>
  <c r="H74"/>
  <c r="H73"/>
  <c r="H76"/>
  <c r="AB11"/>
  <c r="AB13" s="1"/>
  <c r="G6" i="1"/>
  <c r="L59" i="15"/>
  <c r="Q75" s="1"/>
  <c r="L60" i="44"/>
  <c r="Q63" s="1"/>
  <c r="E86" i="3"/>
  <c r="AE11" i="46"/>
  <c r="AE13" s="1"/>
  <c r="F29" i="6"/>
  <c r="F28"/>
  <c r="Q73" i="44"/>
  <c r="AJ11" i="46"/>
  <c r="AJ13" s="1"/>
  <c r="AF11"/>
  <c r="AF13" s="1"/>
  <c r="AI11"/>
  <c r="AI13" s="1"/>
  <c r="AA11"/>
  <c r="AA13" s="1"/>
  <c r="E297" i="3"/>
  <c r="AO6"/>
  <c r="E561"/>
  <c r="E476"/>
  <c r="AH11" i="46"/>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J107"/>
  <c r="J105"/>
  <c r="C104"/>
  <c r="C105"/>
  <c r="C107"/>
  <c r="J109"/>
  <c r="F106"/>
  <c r="F107"/>
  <c r="F103"/>
  <c r="K104"/>
  <c r="K107"/>
  <c r="K105"/>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E8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29" i="44"/>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F30"/>
  <c r="E28"/>
  <c r="E13"/>
  <c r="E11"/>
  <c r="H70" i="46"/>
  <c r="H72"/>
  <c r="F24" i="15"/>
  <c r="C24" s="1"/>
  <c r="F26" i="44"/>
  <c r="C26" s="1"/>
  <c r="F26" i="12"/>
  <c r="F21" i="43"/>
  <c r="C23" s="1"/>
  <c r="D21" s="1"/>
  <c r="A9" i="64"/>
  <c r="A9" i="51"/>
  <c r="B9" i="63" s="1"/>
  <c r="A25" i="51"/>
  <c r="B18" i="63" s="1"/>
  <c r="A3" i="55"/>
  <c r="B56" i="63" s="1"/>
  <c r="E52" i="37"/>
  <c r="F52" s="1"/>
  <c r="G52" s="1"/>
  <c r="H52" s="1"/>
  <c r="I52" s="1"/>
  <c r="J52" s="1"/>
  <c r="K52" s="1"/>
  <c r="L52" s="1"/>
  <c r="M52" s="1"/>
  <c r="N52" s="1"/>
  <c r="O52" s="1"/>
  <c r="F59" i="34"/>
  <c r="G59" s="1"/>
  <c r="H59" s="1"/>
  <c r="I59" s="1"/>
  <c r="J59" s="1"/>
  <c r="K59" s="1"/>
  <c r="L59" s="1"/>
  <c r="M59" s="1"/>
  <c r="N59" s="1"/>
  <c r="O59" s="1"/>
  <c r="J7"/>
  <c r="F7"/>
  <c r="H7"/>
  <c r="AB7" s="1"/>
  <c r="T49" s="1"/>
  <c r="G49" s="1"/>
  <c r="G53" s="1"/>
  <c r="H53" s="1"/>
  <c r="E48" i="35"/>
  <c r="F48" s="1"/>
  <c r="G48" s="1"/>
  <c r="H48" s="1"/>
  <c r="I48" s="1"/>
  <c r="J48" s="1"/>
  <c r="K48" s="1"/>
  <c r="L48" s="1"/>
  <c r="M48" s="1"/>
  <c r="N48" s="1"/>
  <c r="O48" s="1"/>
  <c r="F7"/>
  <c r="J7"/>
  <c r="AC7" s="1"/>
  <c r="V38" s="1"/>
  <c r="I38" s="1"/>
  <c r="H7"/>
  <c r="AB7" s="1"/>
  <c r="T38" s="1"/>
  <c r="G38" s="1"/>
  <c r="G42" s="1"/>
  <c r="H42" s="1"/>
  <c r="E46" i="36"/>
  <c r="F46" s="1"/>
  <c r="G46" s="1"/>
  <c r="H46" s="1"/>
  <c r="I46" s="1"/>
  <c r="J46" s="1"/>
  <c r="K46" s="1"/>
  <c r="L46" s="1"/>
  <c r="M46" s="1"/>
  <c r="N46" s="1"/>
  <c r="O46" s="1"/>
  <c r="F7"/>
  <c r="H7"/>
  <c r="AB7" s="1"/>
  <c r="T36" s="1"/>
  <c r="G36" s="1"/>
  <c r="G40" s="1"/>
  <c r="H40" s="1"/>
  <c r="J7"/>
  <c r="W7" s="1"/>
  <c r="D72" i="39"/>
  <c r="E70"/>
  <c r="W7" i="33"/>
  <c r="AC7"/>
  <c r="V48" s="1"/>
  <c r="I48" s="1"/>
  <c r="I52" s="1"/>
  <c r="J52" s="1"/>
  <c r="U7"/>
  <c r="AB7"/>
  <c r="T48" s="1"/>
  <c r="G48" s="1"/>
  <c r="D67" i="40"/>
  <c r="E65"/>
  <c r="S7" i="33"/>
  <c r="AA7"/>
  <c r="R48" s="1"/>
  <c r="R49" s="1"/>
  <c r="E4" i="4"/>
  <c r="C4"/>
  <c r="F64" i="15"/>
  <c r="C27"/>
  <c r="Q72"/>
  <c r="F70"/>
  <c r="G66" i="36"/>
  <c r="J18"/>
  <c r="AE8" i="1"/>
  <c r="AE7"/>
  <c r="AE6"/>
  <c r="F31" i="15"/>
  <c r="F58"/>
  <c r="M19" i="44"/>
  <c r="M17" i="15"/>
  <c r="F33" i="44"/>
  <c r="M27" i="15"/>
  <c r="M26"/>
  <c r="F45" i="44"/>
  <c r="F8" i="15"/>
  <c r="F46" i="44"/>
  <c r="M11"/>
  <c r="M29" i="15"/>
  <c r="F41"/>
  <c r="F42"/>
  <c r="F7"/>
  <c r="F38"/>
  <c r="F8" i="44"/>
  <c r="J17"/>
  <c r="F9"/>
  <c r="C18"/>
  <c r="L49"/>
  <c r="F36" i="15"/>
  <c r="F6"/>
  <c r="M8"/>
  <c r="F9"/>
  <c r="M28"/>
  <c r="M9"/>
  <c r="F40"/>
  <c r="F40" i="44"/>
  <c r="J15" i="15"/>
  <c r="M26" i="44"/>
  <c r="F10"/>
  <c r="L48" i="15"/>
  <c r="M25" i="44"/>
  <c r="M22" i="15"/>
  <c r="M30" i="44"/>
  <c r="F16" i="15"/>
  <c r="F63" l="1"/>
  <c r="C33" i="46"/>
  <c r="G33" s="1"/>
  <c r="I33" s="1"/>
  <c r="C34"/>
  <c r="E34" s="1"/>
  <c r="C35"/>
  <c r="E35" s="1"/>
  <c r="C8" i="44"/>
  <c r="C7" s="1"/>
  <c r="C40" s="1"/>
  <c r="I55"/>
  <c r="J60"/>
  <c r="L57"/>
  <c r="J54"/>
  <c r="F1" s="1"/>
  <c r="L59"/>
  <c r="Q75" s="1"/>
  <c r="J58"/>
  <c r="J56" s="1"/>
  <c r="J59" s="1"/>
  <c r="Q52" s="1"/>
  <c r="J61"/>
  <c r="Q50" s="1"/>
  <c r="M9"/>
  <c r="J8" s="1"/>
  <c r="J7" s="1"/>
  <c r="C5" i="46"/>
  <c r="D13" i="71"/>
  <c r="D19" s="1"/>
  <c r="F50" i="15"/>
  <c r="C6"/>
  <c r="C5" s="1"/>
  <c r="F49"/>
  <c r="M7"/>
  <c r="J6" s="1"/>
  <c r="J5" s="1"/>
  <c r="J18" s="1"/>
  <c r="F65"/>
  <c r="F67"/>
  <c r="I54"/>
  <c r="L58"/>
  <c r="Q74" s="1"/>
  <c r="J53"/>
  <c r="F1" s="1"/>
  <c r="J57"/>
  <c r="J55" s="1"/>
  <c r="J58" s="1"/>
  <c r="Q51" s="1"/>
  <c r="L56"/>
  <c r="E32" i="6"/>
  <c r="C9" i="43"/>
  <c r="D3" i="34"/>
  <c r="K6" i="1"/>
  <c r="T10" i="46"/>
  <c r="V10" s="1"/>
  <c r="T14"/>
  <c r="V14" s="1"/>
  <c r="T9"/>
  <c r="V9" s="1"/>
  <c r="T13"/>
  <c r="V13" s="1"/>
  <c r="T8"/>
  <c r="V8" s="1"/>
  <c r="T12"/>
  <c r="V12" s="1"/>
  <c r="T16"/>
  <c r="V16" s="1"/>
  <c r="T11"/>
  <c r="V11" s="1"/>
  <c r="T15"/>
  <c r="V15" s="1"/>
  <c r="C38"/>
  <c r="G38" s="1"/>
  <c r="I38" s="1"/>
  <c r="C39"/>
  <c r="G39" s="1"/>
  <c r="I39" s="1"/>
  <c r="C37"/>
  <c r="I116"/>
  <c r="J116" s="1"/>
  <c r="K116" s="1"/>
  <c r="L116" s="1"/>
  <c r="M116" s="1"/>
  <c r="K102"/>
  <c r="K103"/>
  <c r="K106"/>
  <c r="F105"/>
  <c r="F104"/>
  <c r="F102"/>
  <c r="C109"/>
  <c r="C102"/>
  <c r="C103"/>
  <c r="J102"/>
  <c r="J106"/>
  <c r="H7" i="37"/>
  <c r="Q76" i="44"/>
  <c r="J7" i="37"/>
  <c r="F7"/>
  <c r="AA7" s="1"/>
  <c r="R42" s="1"/>
  <c r="E42"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C23" s="1"/>
  <c r="C21" s="1"/>
  <c r="C29" s="1"/>
  <c r="D107"/>
  <c r="D103"/>
  <c r="M107"/>
  <c r="M104"/>
  <c r="M102"/>
  <c r="M103"/>
  <c r="M109"/>
  <c r="M105"/>
  <c r="M106"/>
  <c r="H104"/>
  <c r="H102"/>
  <c r="H105"/>
  <c r="H107"/>
  <c r="H106"/>
  <c r="H103"/>
  <c r="H109"/>
  <c r="U7" i="35"/>
  <c r="AC7" i="36"/>
  <c r="V36" s="1"/>
  <c r="I36" s="1"/>
  <c r="I40" s="1"/>
  <c r="J40" s="1"/>
  <c r="W18"/>
  <c r="AC18"/>
  <c r="U7"/>
  <c r="W7" i="35"/>
  <c r="S7" i="37"/>
  <c r="U7" i="34"/>
  <c r="E48" i="33"/>
  <c r="E52" s="1"/>
  <c r="F52" s="1"/>
  <c r="C115" i="46"/>
  <c r="AG6" i="1"/>
  <c r="F31" i="6"/>
  <c r="AC6" i="3"/>
  <c r="D12" i="11"/>
  <c r="C12" s="1"/>
  <c r="F68" i="15"/>
  <c r="C27" i="12"/>
  <c r="D26" s="1"/>
  <c r="E59" i="40"/>
  <c r="E29" i="6"/>
  <c r="L20" s="1"/>
  <c r="E58" i="40"/>
  <c r="E63" i="39"/>
  <c r="E16" i="6"/>
  <c r="AZ5" i="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G36" i="46"/>
  <c r="I36"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Q62" i="15"/>
  <c r="E46" i="37"/>
  <c r="F46" s="1"/>
  <c r="C48" i="33"/>
  <c r="C49"/>
  <c r="B3" s="1"/>
  <c r="B2" s="1"/>
  <c r="L52" i="44"/>
  <c r="D21" i="12"/>
  <c r="C16" i="15"/>
  <c r="F24" i="43"/>
  <c r="G37" i="46" l="1"/>
  <c r="I37" s="1"/>
  <c r="C17" i="71"/>
  <c r="E33" i="46"/>
  <c r="G35"/>
  <c r="I35" s="1"/>
  <c r="D21" i="71"/>
  <c r="D17"/>
  <c r="E17" s="1"/>
  <c r="Q62" i="44"/>
  <c r="G34" i="46"/>
  <c r="I34" s="1"/>
  <c r="Q54" i="44"/>
  <c r="G41" i="36"/>
  <c r="H41" s="1"/>
  <c r="C21" i="12"/>
  <c r="Q61" i="15"/>
  <c r="C48"/>
  <c r="Q53"/>
  <c r="M6" i="1"/>
  <c r="O6" s="1"/>
  <c r="P6" s="1"/>
  <c r="G16"/>
  <c r="H16"/>
  <c r="AP16"/>
  <c r="F22" i="11" s="1"/>
  <c r="Q16" i="1"/>
  <c r="I53" i="34"/>
  <c r="J53" s="1"/>
  <c r="E38" i="46"/>
  <c r="E37"/>
  <c r="E39"/>
  <c r="E29"/>
  <c r="C30"/>
  <c r="E30" s="1"/>
  <c r="S6"/>
  <c r="T6" s="1"/>
  <c r="V6" s="1"/>
  <c r="S7"/>
  <c r="T7" s="1"/>
  <c r="V7" s="1"/>
  <c r="S4"/>
  <c r="T4" s="1"/>
  <c r="V4" s="1"/>
  <c r="S5"/>
  <c r="T5" s="1"/>
  <c r="V5" s="1"/>
  <c r="S2"/>
  <c r="T2" s="1"/>
  <c r="V2" s="1"/>
  <c r="S3"/>
  <c r="T3" s="1"/>
  <c r="V3" s="1"/>
  <c r="C34" i="44"/>
  <c r="U7" i="37"/>
  <c r="AB7"/>
  <c r="T42" s="1"/>
  <c r="G42" s="1"/>
  <c r="G47" s="1"/>
  <c r="H47" s="1"/>
  <c r="E6" i="3"/>
  <c r="Q69" i="44"/>
  <c r="L58"/>
  <c r="L61" s="1"/>
  <c r="D113" i="46"/>
  <c r="J22" s="1"/>
  <c r="E41" i="36"/>
  <c r="F41" s="1"/>
  <c r="I47" i="37"/>
  <c r="J47" s="1"/>
  <c r="E53" i="33"/>
  <c r="F53" s="1"/>
  <c r="I53"/>
  <c r="J53" s="1"/>
  <c r="L27" i="6"/>
  <c r="E38" i="35"/>
  <c r="I43" s="1"/>
  <c r="J43" s="1"/>
  <c r="I41" i="36"/>
  <c r="J41" s="1"/>
  <c r="R37"/>
  <c r="C26" i="43"/>
  <c r="D24" s="1"/>
  <c r="C32" i="12"/>
  <c r="D30" s="1"/>
  <c r="M14" i="1"/>
  <c r="K16"/>
  <c r="M20" i="6"/>
  <c r="I20" s="1"/>
  <c r="S20" s="1"/>
  <c r="S7" i="1"/>
  <c r="K27" i="6"/>
  <c r="M19"/>
  <c r="S6" i="1"/>
  <c r="M21" i="6"/>
  <c r="I21" s="1"/>
  <c r="S21" s="1"/>
  <c r="S8" i="1"/>
  <c r="M22" i="6"/>
  <c r="I22" s="1"/>
  <c r="S22" s="1"/>
  <c r="S9" i="1"/>
  <c r="E3" i="6"/>
  <c r="AY6" i="3"/>
  <c r="R43" i="37"/>
  <c r="R50" i="34"/>
  <c r="C50" s="1"/>
  <c r="E49"/>
  <c r="C39" i="35"/>
  <c r="B3" s="1"/>
  <c r="B2" s="1"/>
  <c r="AC7" i="21"/>
  <c r="V48" s="1"/>
  <c r="I48" s="1"/>
  <c r="W7"/>
  <c r="U7"/>
  <c r="AB7"/>
  <c r="T48" s="1"/>
  <c r="G48" s="1"/>
  <c r="S7"/>
  <c r="AA7"/>
  <c r="R48" s="1"/>
  <c r="F72" i="39"/>
  <c r="G70"/>
  <c r="F67" i="40"/>
  <c r="G65"/>
  <c r="J24" i="15"/>
  <c r="C32"/>
  <c r="C38"/>
  <c r="J20" i="44"/>
  <c r="J26"/>
  <c r="C19"/>
  <c r="F7" i="67"/>
  <c r="C15" i="12"/>
  <c r="C17" i="15"/>
  <c r="D53" i="71" l="1"/>
  <c r="F17"/>
  <c r="G17"/>
  <c r="K54" s="1"/>
  <c r="C27" i="46"/>
  <c r="J12" i="40"/>
  <c r="F12" i="39"/>
  <c r="F12" i="40"/>
  <c r="H12"/>
  <c r="H12" i="39"/>
  <c r="J12"/>
  <c r="F18" i="11"/>
  <c r="C18" s="1"/>
  <c r="C19" s="1"/>
  <c r="C20" s="1"/>
  <c r="C21" s="1"/>
  <c r="C22" s="1"/>
  <c r="C23" s="1"/>
  <c r="B2" s="1"/>
  <c r="B3" s="1"/>
  <c r="B3" i="34"/>
  <c r="B2" s="1"/>
  <c r="C8" i="43"/>
  <c r="C10" s="1"/>
  <c r="C6" s="1"/>
  <c r="C31" s="1"/>
  <c r="C26" i="46"/>
  <c r="B2" s="1"/>
  <c r="D4" s="1"/>
  <c r="E4" i="67"/>
  <c r="G46" i="37"/>
  <c r="H46" s="1"/>
  <c r="E47"/>
  <c r="F47" s="1"/>
  <c r="L47" i="44"/>
  <c r="Q59"/>
  <c r="Q68"/>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D16" i="12"/>
  <c r="B7" i="67"/>
  <c r="F33" i="12"/>
  <c r="D16" i="43"/>
  <c r="E7" i="67"/>
  <c r="H17" i="71" l="1"/>
  <c r="L54" s="1"/>
  <c r="C34" i="12"/>
  <c r="D33" s="1"/>
  <c r="AC12" i="39"/>
  <c r="W12"/>
  <c r="AB12" i="40"/>
  <c r="U12"/>
  <c r="AA12" i="39"/>
  <c r="S12"/>
  <c r="U12"/>
  <c r="AB12"/>
  <c r="AA12" i="40"/>
  <c r="S12"/>
  <c r="AC12"/>
  <c r="W12"/>
  <c r="C16" i="43"/>
  <c r="E3" i="67"/>
  <c r="E68" i="39"/>
  <c r="E63" i="40"/>
  <c r="B2" i="67"/>
  <c r="B4" i="46"/>
  <c r="B3"/>
  <c r="T10" i="1"/>
  <c r="T9"/>
  <c r="T6"/>
  <c r="T11"/>
  <c r="T8"/>
  <c r="T12"/>
  <c r="O16"/>
  <c r="P14"/>
  <c r="P16" s="1"/>
  <c r="L16"/>
  <c r="N16"/>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B2" s="1"/>
  <c r="I53"/>
  <c r="J53" s="1"/>
  <c r="I70" i="39"/>
  <c r="H72"/>
  <c r="I65" i="40"/>
  <c r="H67"/>
  <c r="C13" i="43"/>
  <c r="C29"/>
  <c r="D22" i="12"/>
  <c r="C16" i="44"/>
  <c r="C13" i="12"/>
  <c r="C14" i="15"/>
  <c r="C22" i="12" l="1"/>
  <c r="C20" s="1"/>
  <c r="C18" i="15"/>
  <c r="C15"/>
  <c r="C20" i="44"/>
  <c r="C17"/>
  <c r="B3" i="67"/>
  <c r="B4"/>
  <c r="T16" i="1"/>
  <c r="C17" i="12"/>
  <c r="C14"/>
  <c r="H27" i="6"/>
  <c r="R20"/>
  <c r="R7" i="1" s="1"/>
  <c r="R24" i="6"/>
  <c r="D16"/>
  <c r="D30"/>
  <c r="R23"/>
  <c r="R25"/>
  <c r="R21"/>
  <c r="R8" i="1" s="1"/>
  <c r="R19" i="6"/>
  <c r="R6" i="1" s="1"/>
  <c r="D27" i="6"/>
  <c r="A6" i="51"/>
  <c r="B7" i="63" s="1"/>
  <c r="A20" i="64"/>
  <c r="A6"/>
  <c r="A20" i="51"/>
  <c r="B15" i="63" s="1"/>
  <c r="N5" i="54"/>
  <c r="B43" i="63" s="1"/>
  <c r="R26" i="6"/>
  <c r="C17" i="43"/>
  <c r="C14"/>
  <c r="J65" i="40"/>
  <c r="I67"/>
  <c r="J70" i="39"/>
  <c r="I72"/>
  <c r="C47" i="15"/>
  <c r="F35"/>
  <c r="F37" i="44"/>
  <c r="M21" i="15"/>
  <c r="M23" i="44"/>
  <c r="C21" l="1"/>
  <c r="C22" s="1"/>
  <c r="C25" s="1"/>
  <c r="C19" i="15"/>
  <c r="C20" s="1"/>
  <c r="C23" s="1"/>
  <c r="J20"/>
  <c r="C36" i="44"/>
  <c r="C34" i="15"/>
  <c r="F62"/>
  <c r="C61" s="1"/>
  <c r="J22" i="44"/>
  <c r="C18" i="12"/>
  <c r="R16" i="1"/>
  <c r="D31" i="6"/>
  <c r="I6" s="1"/>
  <c r="R27"/>
  <c r="C18" i="43"/>
  <c r="K70" i="39"/>
  <c r="J72"/>
  <c r="K65" i="40"/>
  <c r="J67"/>
  <c r="C65" i="15"/>
  <c r="C59"/>
  <c r="C28" i="44" l="1"/>
  <c r="C31" s="1"/>
  <c r="C35" s="1"/>
  <c r="I5" i="6"/>
  <c r="C26" i="15"/>
  <c r="C29" s="1"/>
  <c r="J59" s="1"/>
  <c r="J60" s="1"/>
  <c r="C23" i="12"/>
  <c r="C35" s="1"/>
  <c r="C33" s="1"/>
  <c r="C19" i="43"/>
  <c r="C22" s="1"/>
  <c r="C21" s="1"/>
  <c r="K67" i="40"/>
  <c r="L65"/>
  <c r="K72" i="39"/>
  <c r="L70"/>
  <c r="Q49" i="15" l="1"/>
  <c r="C33" i="44"/>
  <c r="J21"/>
  <c r="J19" s="1"/>
  <c r="Q51"/>
  <c r="C15"/>
  <c r="C38"/>
  <c r="J16"/>
  <c r="J15" s="1"/>
  <c r="J25" s="1"/>
  <c r="J19" i="15"/>
  <c r="J17" s="1"/>
  <c r="J14"/>
  <c r="J22" s="1"/>
  <c r="C56"/>
  <c r="C63" s="1"/>
  <c r="Q50"/>
  <c r="C13"/>
  <c r="J35" s="1"/>
  <c r="C36"/>
  <c r="C28" i="12"/>
  <c r="C26" s="1"/>
  <c r="C25" i="43"/>
  <c r="C24" s="1"/>
  <c r="C28" s="1"/>
  <c r="C30" s="1"/>
  <c r="C32"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1" i="12"/>
  <c r="C30" s="1"/>
  <c r="C36" s="1"/>
  <c r="B2" s="1"/>
  <c r="B2" i="43"/>
  <c r="N70" i="39"/>
  <c r="N72" s="1"/>
  <c r="M72"/>
  <c r="N65" i="40"/>
  <c r="N67" s="1"/>
  <c r="M67"/>
  <c r="C60" i="15"/>
  <c r="D19" i="9"/>
  <c r="C44" i="44" l="1"/>
  <c r="C45" s="1"/>
  <c r="B2" s="1"/>
  <c r="B4" s="1"/>
  <c r="C30" i="15"/>
  <c r="C39" s="1"/>
  <c r="Q70" s="1"/>
  <c r="Q69" s="1"/>
  <c r="C58"/>
  <c r="C57" s="1"/>
  <c r="C66" s="1"/>
  <c r="C67" s="1"/>
  <c r="C70" s="1"/>
  <c r="Q70" i="44"/>
  <c r="Q49"/>
  <c r="Q55" s="1"/>
  <c r="Q58"/>
  <c r="Q64" s="1"/>
  <c r="L44" i="9"/>
  <c r="J9" i="40"/>
  <c r="F9"/>
  <c r="H9"/>
  <c r="J9" i="39"/>
  <c r="H9"/>
  <c r="F9"/>
  <c r="B3" i="12"/>
  <c r="B4"/>
  <c r="B4" i="43"/>
  <c r="D21" i="9"/>
  <c r="B3" i="43"/>
  <c r="B5" i="12"/>
  <c r="B5" i="43"/>
  <c r="D20" i="9"/>
  <c r="C13" i="71" l="1"/>
  <c r="C40" i="15"/>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8"/>
  <c r="Q57"/>
  <c r="C43"/>
  <c r="J42"/>
  <c r="J43" s="1"/>
  <c r="I48" i="40"/>
  <c r="J48" s="1"/>
  <c r="G48"/>
  <c r="H48" s="1"/>
  <c r="G49"/>
  <c r="H49" s="1"/>
  <c r="E44"/>
  <c r="R45"/>
  <c r="G53" i="39"/>
  <c r="H53" s="1"/>
  <c r="G54"/>
  <c r="H54" s="1"/>
  <c r="I53"/>
  <c r="J53" s="1"/>
  <c r="E49"/>
  <c r="R50"/>
  <c r="Q67" i="15" l="1"/>
  <c r="Q76" s="1"/>
  <c r="L46"/>
  <c r="B2" s="1"/>
  <c r="B3" s="1"/>
  <c r="Q58"/>
  <c r="Q63" s="1"/>
  <c r="E54" i="39"/>
  <c r="F54" s="1"/>
  <c r="E53"/>
  <c r="F53" s="1"/>
  <c r="E48" i="40"/>
  <c r="F48" s="1"/>
  <c r="E49"/>
  <c r="F49" s="1"/>
  <c r="C50" i="39"/>
  <c r="C49"/>
  <c r="I54"/>
  <c r="J54" s="1"/>
  <c r="C45" i="40"/>
  <c r="C44"/>
  <c r="I49"/>
  <c r="J49" s="1"/>
  <c r="B55" l="1"/>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F68" l="1"/>
  <c r="B2" s="1"/>
  <c r="F63" i="40"/>
  <c r="B2" s="1"/>
  <c r="C19" i="9"/>
  <c r="L43" l="1"/>
  <c r="D22"/>
  <c r="G19"/>
  <c r="C32" s="1"/>
  <c r="B3" i="40"/>
  <c r="B4"/>
  <c r="B5"/>
  <c r="B3" i="39"/>
  <c r="B4"/>
  <c r="B5"/>
  <c r="C21" i="9"/>
  <c r="C20"/>
  <c r="C14" i="71" l="1"/>
  <c r="C22" s="1"/>
  <c r="G20" i="9"/>
  <c r="G21"/>
  <c r="C45"/>
  <c r="H14" i="66" s="1"/>
  <c r="B7" s="1"/>
  <c r="G22" i="9"/>
  <c r="N43"/>
  <c r="E13" i="71" l="1"/>
  <c r="F13" s="1"/>
  <c r="D7" i="66"/>
  <c r="C7"/>
  <c r="C42" i="9"/>
  <c r="O38"/>
  <c r="K25" s="1"/>
  <c r="C34"/>
  <c r="C33"/>
  <c r="O43"/>
  <c r="C35"/>
  <c r="F42" s="1"/>
  <c r="E49" i="71" l="1"/>
  <c r="D49"/>
  <c r="G13"/>
  <c r="K49" s="1"/>
  <c r="R30"/>
  <c r="D30"/>
  <c r="E30" s="1"/>
  <c r="C44" i="9"/>
  <c r="G14" i="66" s="1"/>
  <c r="B6" s="1"/>
  <c r="D14"/>
  <c r="F14" s="1"/>
  <c r="R5" i="54"/>
  <c r="B48" i="63" s="1"/>
  <c r="M38" i="9"/>
  <c r="K27" s="1"/>
  <c r="E42"/>
  <c r="N68"/>
  <c r="D63"/>
  <c r="C111" s="1"/>
  <c r="N38"/>
  <c r="K28" s="1"/>
  <c r="D42"/>
  <c r="K26"/>
  <c r="D45"/>
  <c r="E45"/>
  <c r="O40"/>
  <c r="F45"/>
  <c r="H13" i="71" l="1"/>
  <c r="L49" s="1"/>
  <c r="K29"/>
  <c r="L29" s="1"/>
  <c r="S30"/>
  <c r="C96" i="9"/>
  <c r="C91" s="1"/>
  <c r="C103"/>
  <c r="D71"/>
  <c r="D66" s="1"/>
  <c r="N72" s="1"/>
  <c r="C90"/>
  <c r="D77"/>
  <c r="N75" s="1"/>
  <c r="D70"/>
  <c r="E14" i="66"/>
  <c r="B5"/>
  <c r="C5" s="1"/>
  <c r="D6"/>
  <c r="C6"/>
  <c r="K31" i="9"/>
  <c r="K32" s="1"/>
  <c r="R7" i="54"/>
  <c r="B52" i="63" s="1"/>
  <c r="Q5" i="54"/>
  <c r="B47" i="63" s="1"/>
  <c r="P5" i="54"/>
  <c r="B46" i="63" s="1"/>
  <c r="N69" i="9"/>
  <c r="O39"/>
  <c r="K29" s="1"/>
  <c r="D44"/>
  <c r="E44"/>
  <c r="F44"/>
  <c r="C82"/>
  <c r="C104"/>
  <c r="S31" i="71" l="1"/>
  <c r="C81" i="9"/>
  <c r="C85" s="1"/>
  <c r="C86" s="1"/>
  <c r="D72" s="1"/>
  <c r="M86"/>
  <c r="N86" s="1"/>
  <c r="M84"/>
  <c r="N84" s="1"/>
  <c r="M88"/>
  <c r="N88" s="1"/>
  <c r="M87"/>
  <c r="N87" s="1"/>
  <c r="M85"/>
  <c r="N85" s="1"/>
  <c r="M83"/>
  <c r="N83" s="1"/>
  <c r="D5" i="66"/>
  <c r="K30" i="9"/>
  <c r="R6" i="54"/>
  <c r="B50" i="63" s="1"/>
  <c r="C113" i="9"/>
  <c r="C114" s="1"/>
  <c r="E114" s="1"/>
  <c r="E115" s="1"/>
  <c r="C97"/>
  <c r="C98" s="1"/>
  <c r="E98" s="1"/>
  <c r="E99" s="1"/>
  <c r="N89" l="1"/>
  <c r="C115"/>
  <c r="D76" s="1"/>
  <c r="D74" s="1"/>
  <c r="N74" s="1"/>
  <c r="C99"/>
  <c r="O89" l="1"/>
  <c r="N76"/>
  <c r="O77" s="1"/>
  <c r="O78" s="1"/>
  <c r="Q77" l="1"/>
  <c r="O79"/>
  <c r="C46" s="1"/>
  <c r="K33" s="1"/>
  <c r="F46" l="1"/>
  <c r="O41"/>
  <c r="O80"/>
  <c r="I14" i="66"/>
  <c r="B8" s="1"/>
  <c r="E46" i="9"/>
  <c r="D46"/>
  <c r="O81"/>
  <c r="K34"/>
  <c r="C8" i="66"/>
  <c r="D8"/>
  <c r="R8" i="54"/>
  <c r="B54" i="63" s="1"/>
  <c r="E53" i="71" l="1"/>
  <c r="E21" l="1"/>
  <c r="D57" l="1"/>
  <c r="D32"/>
  <c r="R34" s="1"/>
  <c r="G21"/>
  <c r="E32"/>
  <c r="E34" s="1"/>
  <c r="E57" l="1"/>
  <c r="S55"/>
  <c r="K58"/>
  <c r="H21"/>
  <c r="K31"/>
  <c r="L31" s="1"/>
  <c r="L58" l="1"/>
  <c r="R55"/>
  <c r="S34"/>
  <c r="S36" s="1"/>
  <c r="S37" s="1"/>
  <c r="L34"/>
  <c r="C19" l="1"/>
  <c r="C15" l="1"/>
  <c r="C16" l="1"/>
  <c r="C20" s="1"/>
  <c r="E19" l="1"/>
  <c r="E15"/>
  <c r="F15" l="1"/>
  <c r="E48" s="1"/>
  <c r="D48"/>
  <c r="D51" s="1"/>
  <c r="D56"/>
  <c r="G15"/>
  <c r="D52"/>
  <c r="F19"/>
  <c r="G19"/>
  <c r="K47" l="1"/>
  <c r="K52" s="1"/>
  <c r="K57"/>
  <c r="H15"/>
  <c r="L47" s="1"/>
  <c r="L52" s="1"/>
  <c r="R48"/>
  <c r="E51"/>
  <c r="K53"/>
  <c r="H19"/>
  <c r="L53" s="1"/>
  <c r="E52"/>
  <c r="E54" s="1"/>
  <c r="D54"/>
  <c r="R50"/>
  <c r="E56"/>
  <c r="L57" l="1"/>
  <c r="L59" s="1"/>
  <c r="K55"/>
  <c r="L55" s="1"/>
  <c r="L56" s="1"/>
  <c r="L60" s="1"/>
  <c r="E58"/>
  <c r="S50"/>
  <c r="E55"/>
  <c r="S48"/>
  <c r="K56" l="1"/>
  <c r="R54"/>
  <c r="S54" s="1"/>
  <c r="S56" s="1"/>
  <c r="E59"/>
  <c r="S51"/>
  <c r="S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19" authorId="0">
      <text>
        <r>
          <rPr>
            <b/>
            <sz val="9"/>
            <color indexed="81"/>
            <rFont val="Tahoma"/>
            <family val="2"/>
          </rPr>
          <t xml:space="preserve">USER:
</t>
        </r>
        <r>
          <rPr>
            <b/>
            <sz val="9"/>
            <color indexed="81"/>
            <rFont val="宋体"/>
            <family val="3"/>
            <charset val="134"/>
          </rPr>
          <t>全部归入</t>
        </r>
        <r>
          <rPr>
            <b/>
            <sz val="9"/>
            <color indexed="81"/>
            <rFont val="Tahoma"/>
            <family val="2"/>
          </rPr>
          <t>-1</t>
        </r>
        <r>
          <rPr>
            <b/>
            <sz val="9"/>
            <color indexed="81"/>
            <rFont val="宋体"/>
            <family val="3"/>
            <charset val="134"/>
          </rPr>
          <t>层</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<sst xmlns="http://schemas.openxmlformats.org/spreadsheetml/2006/main" count="7179" uniqueCount="3156">
  <si>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</si>
  <si>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</si>
  <si>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</si>
  <si>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</si>
  <si>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</si>
  <si>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</si>
  <si>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</si>
  <si>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</si>
  <si>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</si>
  <si>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</si>
  <si>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</si>
  <si>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</si>
  <si>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</si>
  <si>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</si>
  <si>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</si>
  <si>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</si>
  <si>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</si>
  <si>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</si>
  <si>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</si>
  <si>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</si>
  <si>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</si>
  <si>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</si>
  <si>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</si>
  <si>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</si>
  <si>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</si>
  <si>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</si>
  <si>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</si>
  <si>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</si>
  <si>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</si>
  <si>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</si>
  <si>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</si>
  <si>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</si>
  <si>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</si>
  <si>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</si>
  <si>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</si>
  <si>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</si>
  <si>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</si>
  <si>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</si>
  <si>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</si>
  <si>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</si>
  <si>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</si>
  <si>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</si>
  <si>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</si>
  <si>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</si>
  <si>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</si>
  <si>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</si>
  <si>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</si>
  <si>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</si>
  <si>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</si>
  <si>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</si>
  <si>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</si>
  <si>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</si>
  <si>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</si>
  <si>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</si>
  <si>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</si>
  <si>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</si>
  <si>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</si>
  <si>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</si>
  <si>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</si>
  <si>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</si>
  <si>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</si>
  <si>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</si>
  <si>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</si>
  <si>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</si>
  <si>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</si>
  <si>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</si>
  <si>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</si>
  <si>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</si>
  <si>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</si>
  <si>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</si>
  <si>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</si>
  <si>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</si>
  <si>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</si>
  <si>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</si>
  <si>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</si>
  <si>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</si>
  <si>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</si>
  <si>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</si>
  <si>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</si>
  <si>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</si>
  <si>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</si>
  <si>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</si>
  <si>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</si>
  <si>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</si>
  <si>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</si>
  <si>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</si>
  <si>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</si>
  <si>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</si>
  <si>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</si>
  <si>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</si>
  <si>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</si>
  <si>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</si>
  <si>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</si>
  <si>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</si>
  <si>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</si>
  <si>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</si>
  <si>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</si>
  <si>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</si>
  <si>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</si>
  <si>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</si>
  <si>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</si>
  <si>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</si>
  <si>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</si>
  <si>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</si>
  <si>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</si>
  <si>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</si>
  <si>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</si>
  <si>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</si>
  <si>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</si>
  <si>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</si>
  <si>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</si>
  <si>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</si>
  <si>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</si>
  <si>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</si>
  <si>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</si>
  <si>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</si>
  <si>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</si>
  <si>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</si>
  <si>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</si>
  <si>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</si>
  <si>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</si>
  <si>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</si>
  <si>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</si>
  <si>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</si>
  <si>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</si>
  <si>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</si>
  <si>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</si>
  <si>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</si>
  <si>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</si>
  <si>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</si>
  <si>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</si>
  <si>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</si>
  <si>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</si>
  <si>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</si>
  <si>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</si>
  <si>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</si>
  <si>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</si>
  <si>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</si>
  <si>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</si>
  <si>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</si>
  <si>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</si>
  <si>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</si>
  <si>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</si>
  <si>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</si>
  <si>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</si>
  <si>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</si>
  <si>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</si>
  <si>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</si>
  <si>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</si>
  <si>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</si>
  <si>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</si>
  <si>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</si>
  <si>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</si>
  <si>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</si>
  <si>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</si>
  <si>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</si>
  <si>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</si>
  <si>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</si>
  <si>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</si>
  <si>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</si>
  <si>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</si>
  <si>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</si>
  <si>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</si>
  <si>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</si>
  <si>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</si>
  <si>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</si>
  <si>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</si>
  <si>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</si>
  <si>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</si>
  <si>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</si>
  <si>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</si>
  <si>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</si>
  <si>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</si>
  <si>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</si>
  <si>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</si>
  <si>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</si>
  <si>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</si>
  <si>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</si>
  <si>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</si>
  <si>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</si>
  <si>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</si>
  <si>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</si>
  <si>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</si>
  <si>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</si>
  <si>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</si>
  <si>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</si>
  <si>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</si>
  <si>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</si>
  <si>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</si>
  <si>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</si>
  <si>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</si>
  <si>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</si>
  <si>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</si>
  <si>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</si>
  <si>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</si>
  <si>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</si>
  <si>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</si>
  <si>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</si>
  <si>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</si>
  <si>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</si>
  <si>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</si>
  <si>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</si>
  <si>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</si>
  <si>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</si>
  <si>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</si>
  <si>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</si>
  <si>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</si>
  <si>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</si>
  <si>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</si>
  <si>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</si>
  <si>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</si>
  <si>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</si>
  <si>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</si>
  <si>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</si>
  <si>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</si>
  <si>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</si>
  <si>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</si>
  <si>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</si>
  <si>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</si>
  <si>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</si>
  <si>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</si>
  <si>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</si>
  <si>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</si>
  <si>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</si>
  <si>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</si>
  <si>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</si>
  <si>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</si>
  <si>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</si>
  <si>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</si>
  <si>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</si>
  <si>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</si>
  <si>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</si>
  <si>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</si>
  <si>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</si>
  <si>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</si>
  <si>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</si>
  <si>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</si>
  <si>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</si>
  <si>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</si>
  <si>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</si>
  <si>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</si>
  <si>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</si>
  <si>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</si>
  <si>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</si>
  <si>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</si>
  <si>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</si>
  <si>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</si>
  <si>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</si>
  <si>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</si>
  <si>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</si>
  <si>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</si>
  <si>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</si>
  <si>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</si>
  <si>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</si>
  <si>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</si>
  <si>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</si>
  <si>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</si>
  <si>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</si>
  <si>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</si>
  <si>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</si>
  <si>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</si>
  <si>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</si>
  <si>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</si>
  <si>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</si>
  <si>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</si>
  <si>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</si>
  <si>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</si>
  <si>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</si>
  <si>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</si>
  <si>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</si>
  <si>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</si>
  <si>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</si>
  <si>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</si>
  <si>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</si>
  <si>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</si>
  <si>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</si>
  <si>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</si>
  <si>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</si>
  <si>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</si>
  <si>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</si>
  <si>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</si>
  <si>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</si>
  <si>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</si>
  <si>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</si>
  <si>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</si>
  <si>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</si>
  <si>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</si>
  <si>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</si>
  <si>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</si>
  <si>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</si>
  <si>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</si>
  <si>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</si>
  <si>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</si>
  <si>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</si>
  <si>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</si>
  <si>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</si>
  <si>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</si>
  <si>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</si>
  <si>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</si>
  <si>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</si>
  <si>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</si>
  <si>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</si>
  <si>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</si>
  <si>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</si>
  <si>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</si>
  <si>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</si>
  <si>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</si>
  <si>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</si>
  <si>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</si>
  <si>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</si>
  <si>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</si>
  <si>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</si>
  <si>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</si>
  <si>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</si>
  <si>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</si>
  <si>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</si>
  <si>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</si>
  <si>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</si>
  <si>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</si>
  <si>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</si>
  <si>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</si>
  <si>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</si>
  <si>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</si>
  <si>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</si>
  <si>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</si>
  <si>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</si>
  <si>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</si>
  <si>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</si>
  <si>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</si>
  <si>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</si>
  <si>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</si>
  <si>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</si>
  <si>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</si>
  <si>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</si>
  <si>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</si>
  <si>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</si>
  <si>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</si>
  <si>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</si>
  <si>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</si>
  <si>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</si>
  <si>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</si>
  <si>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</si>
  <si>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</si>
  <si>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</si>
  <si>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</si>
  <si>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</si>
  <si>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</si>
  <si>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</si>
  <si>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</si>
  <si>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</si>
  <si>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</si>
  <si>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</si>
  <si>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</si>
  <si>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</si>
  <si>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</si>
  <si>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</si>
  <si>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</si>
  <si>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</si>
  <si>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</si>
  <si>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</si>
  <si>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</si>
  <si>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</si>
  <si>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</si>
  <si>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</si>
  <si>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</si>
  <si>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</si>
  <si>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</si>
  <si>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</si>
  <si>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</si>
  <si>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</si>
  <si>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</si>
  <si>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</si>
  <si>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</si>
  <si>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</si>
  <si>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</si>
  <si>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</si>
  <si>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</si>
  <si>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</si>
  <si>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</si>
  <si>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</si>
  <si>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</si>
  <si>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</si>
  <si>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</si>
  <si>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</si>
  <si>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</si>
  <si>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</si>
  <si>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</si>
  <si>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</si>
  <si>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</si>
  <si>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</si>
  <si>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</si>
  <si>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</si>
  <si>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</si>
  <si>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</si>
  <si>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</si>
  <si>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</si>
  <si>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</si>
  <si>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</si>
  <si>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</si>
  <si>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</si>
  <si>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</si>
  <si>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</si>
  <si>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</si>
  <si>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</si>
  <si>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</si>
  <si>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</si>
  <si>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</si>
  <si>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</si>
  <si>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</si>
  <si>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</si>
  <si>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</si>
  <si>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</si>
  <si>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</si>
  <si>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</si>
  <si>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</si>
  <si>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</si>
  <si>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</si>
  <si>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</si>
  <si>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</si>
  <si>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</si>
  <si>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</si>
  <si>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</si>
  <si>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</si>
  <si>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</si>
  <si>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</si>
  <si>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</si>
  <si>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</si>
  <si>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</si>
  <si>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</si>
  <si>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</si>
  <si>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</si>
  <si>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</si>
  <si>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</si>
  <si>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</si>
  <si>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</si>
  <si>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</si>
  <si>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</si>
  <si>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</si>
  <si>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</si>
  <si>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</si>
  <si>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</si>
  <si>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</si>
  <si>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</si>
  <si>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</si>
  <si>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</si>
  <si>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</si>
  <si>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</si>
  <si>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</si>
  <si>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</si>
  <si>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</si>
  <si>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</si>
  <si>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</si>
  <si>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</si>
  <si>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</si>
  <si>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</si>
  <si>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</si>
  <si>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</si>
  <si>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</si>
  <si>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</si>
  <si>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</si>
  <si>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</si>
  <si>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</si>
  <si>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</si>
  <si>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</si>
  <si>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</si>
  <si>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</si>
  <si>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</si>
  <si>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</si>
  <si>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</si>
  <si>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</si>
  <si>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</si>
  <si>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</si>
  <si>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</si>
  <si>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</si>
  <si>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</si>
  <si>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</si>
  <si>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</si>
  <si>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</si>
  <si>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</si>
  <si>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</si>
  <si>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</si>
  <si>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</si>
  <si>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</si>
  <si>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</si>
  <si>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</si>
  <si>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</si>
  <si>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</si>
  <si>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</si>
  <si>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</si>
  <si>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</si>
  <si>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</si>
  <si>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</si>
  <si>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</si>
  <si>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</si>
  <si>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</si>
  <si>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</si>
  <si>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</si>
  <si>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</si>
  <si>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</si>
  <si>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</si>
  <si>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</si>
  <si>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</si>
  <si>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</si>
  <si>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</si>
  <si>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</si>
  <si>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</si>
  <si>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</si>
  <si>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</si>
  <si>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</si>
  <si>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</si>
  <si>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</si>
  <si>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</si>
  <si>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</si>
  <si>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</si>
  <si>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</si>
  <si>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</si>
  <si>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</si>
  <si>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</si>
  <si>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</si>
  <si>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</si>
  <si>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</si>
  <si>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</si>
  <si>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</si>
  <si>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</si>
  <si>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</si>
  <si>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</si>
  <si>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</si>
  <si>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</si>
  <si>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</si>
  <si>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</si>
  <si>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</si>
  <si>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</si>
  <si>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</si>
  <si>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</si>
  <si>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</si>
  <si>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</si>
  <si>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</si>
  <si>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</si>
  <si>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</si>
  <si>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</si>
  <si>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</si>
  <si>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</si>
  <si>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</si>
  <si>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</si>
  <si>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</si>
  <si>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</si>
  <si>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</si>
  <si>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</si>
  <si>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</si>
  <si>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</si>
  <si>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</si>
  <si>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</si>
  <si>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</si>
  <si>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</si>
  <si>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</si>
  <si>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</si>
  <si>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</si>
  <si>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</si>
  <si>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</si>
  <si>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</si>
  <si>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</si>
  <si>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</si>
  <si>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</si>
  <si>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</si>
  <si>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</si>
  <si>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</si>
  <si>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</si>
  <si>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</si>
  <si>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</si>
  <si>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</si>
  <si>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</si>
  <si>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</si>
  <si>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</si>
  <si>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</si>
  <si>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</si>
  <si>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</si>
  <si>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</si>
  <si>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</si>
  <si>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</si>
  <si>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</si>
  <si>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</si>
  <si>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</si>
  <si>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</si>
  <si>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</si>
  <si>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</si>
  <si>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</si>
  <si>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</si>
  <si>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</si>
  <si>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</si>
  <si>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</si>
  <si>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</si>
  <si>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</si>
  <si>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</si>
  <si>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</si>
  <si>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</si>
  <si>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</si>
  <si>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</si>
  <si>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</si>
  <si>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</si>
  <si>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</si>
  <si>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</si>
  <si>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</si>
  <si>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</si>
  <si>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</si>
  <si>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</si>
  <si>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</si>
  <si>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</si>
  <si>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</si>
  <si>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</si>
  <si>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</si>
  <si>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</si>
  <si>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</si>
  <si>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</si>
  <si>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</si>
  <si>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</si>
  <si>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</si>
  <si>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</si>
  <si>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</si>
  <si>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</si>
  <si>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</si>
  <si>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</si>
  <si>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</si>
  <si>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</si>
  <si>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</si>
  <si>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</si>
  <si>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</si>
  <si>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</si>
  <si>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</si>
  <si>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</si>
  <si>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</si>
  <si>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</si>
  <si>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</si>
  <si>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</si>
  <si>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</si>
  <si>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</si>
  <si>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</si>
  <si>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</si>
  <si>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</si>
  <si>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</si>
  <si>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</si>
  <si>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</si>
  <si>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</si>
  <si>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</si>
  <si>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</si>
  <si>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</si>
  <si>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</si>
  <si>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</si>
  <si>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</si>
  <si>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</si>
  <si>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</si>
  <si>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</si>
  <si>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</si>
  <si>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</si>
  <si>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</si>
  <si>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</si>
  <si>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</si>
  <si>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</si>
  <si>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</si>
  <si>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</si>
  <si>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</si>
  <si>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</si>
  <si>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</si>
  <si>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</si>
  <si>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</si>
  <si>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</si>
  <si>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</si>
  <si>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</si>
  <si>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</si>
  <si>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</si>
  <si>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</si>
  <si>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</si>
  <si>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</si>
  <si>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</si>
  <si>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</si>
  <si>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</si>
  <si>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</si>
  <si>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</si>
  <si>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</si>
  <si>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</si>
  <si>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</si>
  <si>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</si>
  <si>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</si>
  <si>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</si>
  <si>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</si>
  <si>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</si>
  <si>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</si>
  <si>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</si>
  <si>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</si>
  <si>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</si>
  <si>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</si>
  <si>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</si>
  <si>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</si>
  <si>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</si>
  <si>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</si>
  <si>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</si>
  <si>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</si>
  <si>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</si>
  <si>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</si>
  <si>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</si>
  <si>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</si>
  <si>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</si>
  <si>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</si>
  <si>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</si>
  <si>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</si>
  <si>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</si>
  <si>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</si>
  <si>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</si>
  <si>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</si>
  <si>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</si>
  <si>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</si>
  <si>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</si>
  <si>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</si>
  <si>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</si>
  <si>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</si>
  <si>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</si>
  <si>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</si>
  <si>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</si>
  <si>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</si>
  <si>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</si>
  <si>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</si>
  <si>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</si>
  <si>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</si>
  <si>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</si>
  <si>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</si>
  <si>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</si>
  <si>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</si>
  <si>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</si>
  <si>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</si>
  <si>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</si>
  <si>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</si>
  <si>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</si>
  <si>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</si>
  <si>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</si>
  <si>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</si>
  <si>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</si>
  <si>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</si>
  <si>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</si>
  <si>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</si>
  <si>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</si>
  <si>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</si>
  <si>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</si>
  <si>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</si>
  <si>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</si>
  <si>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</si>
  <si>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</si>
  <si>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</si>
  <si>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</si>
  <si>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</si>
  <si>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</si>
  <si>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</si>
  <si>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</si>
  <si>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</si>
  <si>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</si>
  <si>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</si>
  <si>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</si>
  <si>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</si>
  <si>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</si>
  <si>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</si>
  <si>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</si>
  <si>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</si>
  <si>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</si>
  <si>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</si>
  <si>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</si>
  <si>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</si>
  <si>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</si>
  <si>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</si>
  <si>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</si>
  <si>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</si>
  <si>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</si>
  <si>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</si>
  <si>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</si>
  <si>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</si>
  <si>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</si>
  <si>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</si>
  <si>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</si>
  <si>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</si>
  <si>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</si>
  <si>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</si>
  <si>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</si>
  <si>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</si>
  <si>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</si>
  <si>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</si>
  <si>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</si>
  <si>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</si>
  <si>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</si>
  <si>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</si>
  <si>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</si>
  <si>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</si>
  <si>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</si>
  <si>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</si>
  <si>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</si>
  <si>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</si>
  <si>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</si>
  <si>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</si>
  <si>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</si>
  <si>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</si>
  <si>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</si>
  <si>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</si>
  <si>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</si>
  <si>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</si>
  <si>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</si>
  <si>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</si>
  <si>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</si>
  <si>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</si>
  <si>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</si>
  <si>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</si>
  <si>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</si>
  <si>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</si>
  <si>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</si>
  <si>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</si>
  <si>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</si>
  <si>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</si>
  <si>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</si>
  <si>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</si>
  <si>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</si>
  <si>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</si>
  <si>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</si>
  <si>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</si>
  <si>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</si>
  <si>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</si>
  <si>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</si>
  <si>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</si>
  <si>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</si>
  <si>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</si>
  <si>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</si>
  <si>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</si>
  <si>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</si>
  <si>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</si>
  <si>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</si>
  <si>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</si>
  <si>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</si>
  <si>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</si>
  <si>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</si>
  <si>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</si>
  <si>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</si>
  <si>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</si>
  <si>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</si>
  <si>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</si>
  <si>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</si>
  <si>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</si>
  <si>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</si>
  <si>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</si>
  <si>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</si>
  <si>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</si>
  <si>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</si>
  <si>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</si>
  <si>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</si>
  <si>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</si>
  <si>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</si>
  <si>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</si>
  <si>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</si>
  <si>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</si>
  <si>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</si>
  <si>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</si>
  <si>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</si>
  <si>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</si>
  <si>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</si>
  <si>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</si>
  <si>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</si>
  <si>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</si>
  <si>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</si>
  <si>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</si>
  <si>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</si>
  <si>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</si>
  <si>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</si>
  <si>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</si>
  <si>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</si>
  <si>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</si>
  <si>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</si>
  <si>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</si>
  <si>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</si>
  <si>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</si>
  <si>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</si>
  <si>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</si>
  <si>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</si>
  <si>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</si>
  <si>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</si>
  <si>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</si>
  <si>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</si>
  <si>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</si>
  <si>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</si>
  <si>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</si>
  <si>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</si>
  <si>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</si>
  <si>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</si>
  <si>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</si>
  <si>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</si>
  <si>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</si>
  <si>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</si>
  <si>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</si>
  <si>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</si>
  <si>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</si>
  <si>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</si>
  <si>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</si>
  <si>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</si>
  <si>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</si>
  <si>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</si>
  <si>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</si>
  <si>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</si>
  <si>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</si>
  <si>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</si>
  <si>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</si>
  <si>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</si>
  <si>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</si>
  <si>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</si>
  <si>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</si>
  <si>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</si>
  <si>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</si>
  <si>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</si>
  <si>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</si>
  <si>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</si>
  <si>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</si>
  <si>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</si>
  <si>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</si>
  <si>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</si>
  <si>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</si>
  <si>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</si>
  <si>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</si>
  <si>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</si>
  <si>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</si>
  <si>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</si>
  <si>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</si>
  <si>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</si>
  <si>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</si>
  <si>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</si>
  <si>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</si>
  <si>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</si>
  <si>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</si>
  <si>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</si>
  <si>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</si>
  <si>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</si>
  <si>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</si>
  <si>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</si>
  <si>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</si>
  <si>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</si>
  <si>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</si>
  <si>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</si>
  <si>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</si>
  <si>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</si>
  <si>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</si>
  <si>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</si>
  <si>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</si>
  <si>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</si>
  <si>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</si>
  <si>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</si>
  <si>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</si>
  <si>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</si>
  <si>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</si>
  <si>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</si>
  <si>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</si>
  <si>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</si>
  <si>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</si>
  <si>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</si>
  <si>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</si>
  <si>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</si>
  <si>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</si>
  <si>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</si>
  <si>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</si>
  <si>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</si>
  <si>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</si>
  <si>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</si>
  <si>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</si>
  <si>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</si>
  <si>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</si>
  <si>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</si>
  <si>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</si>
  <si>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</si>
  <si>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</si>
  <si>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</si>
  <si>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</si>
  <si>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</si>
  <si>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</si>
  <si>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</si>
  <si>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</si>
  <si>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</si>
  <si>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</si>
  <si>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</si>
  <si>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</si>
  <si>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</si>
  <si>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</si>
  <si>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</si>
  <si>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</si>
  <si>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</si>
  <si>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</si>
  <si>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</si>
  <si>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</si>
  <si>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</si>
  <si>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</si>
  <si>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</si>
  <si>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</si>
  <si>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</si>
  <si>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</si>
  <si>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</si>
  <si>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</si>
  <si>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</si>
  <si>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</si>
  <si>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</si>
  <si>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</si>
  <si>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</si>
  <si>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</si>
  <si>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</si>
  <si>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</si>
  <si>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</si>
  <si>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</si>
  <si>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</si>
  <si>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</si>
  <si>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</si>
  <si>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</si>
  <si>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</si>
  <si>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</si>
  <si>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</si>
  <si>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</si>
  <si>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</si>
  <si>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</si>
  <si>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</si>
  <si>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</si>
  <si>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</si>
  <si>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</si>
  <si>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</si>
  <si>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</si>
  <si>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</si>
  <si>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</si>
  <si>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</si>
  <si>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</si>
  <si>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</si>
  <si>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</si>
  <si>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</si>
  <si>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</si>
  <si>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</si>
  <si>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</si>
  <si>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</si>
  <si>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</si>
  <si>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</si>
  <si>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</si>
  <si>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</si>
  <si>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</si>
  <si>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</si>
  <si>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</si>
  <si>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</si>
  <si>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</si>
  <si>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</si>
  <si>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</si>
  <si>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</si>
  <si>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</si>
  <si>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</si>
  <si>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</si>
  <si>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</si>
  <si>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</si>
  <si>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</si>
  <si>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</si>
  <si>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</si>
  <si>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</si>
  <si>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</si>
  <si>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</si>
  <si>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</si>
  <si>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</si>
  <si>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</si>
  <si>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</si>
  <si>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</si>
  <si>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</si>
  <si>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</si>
  <si>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</si>
  <si>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</si>
  <si>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</si>
  <si>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</si>
  <si>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</si>
  <si>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</si>
  <si>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</si>
  <si>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</si>
  <si>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</si>
  <si>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</si>
  <si>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</si>
  <si>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</si>
  <si>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</si>
  <si>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</si>
  <si>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</si>
  <si>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</si>
  <si>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</si>
  <si>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</si>
  <si>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</si>
  <si>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</si>
  <si>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</si>
  <si>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</si>
  <si>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</si>
  <si>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</si>
  <si>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</si>
  <si>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</si>
  <si>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</si>
  <si>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</si>
  <si>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</si>
  <si>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</si>
  <si>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</si>
  <si>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</si>
  <si>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</si>
  <si>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</si>
  <si>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</si>
  <si>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</si>
  <si>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</si>
  <si>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</si>
  <si>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</si>
  <si>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</si>
  <si>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</si>
  <si>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</si>
  <si>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</si>
  <si>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</si>
  <si>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</si>
  <si>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</si>
  <si>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</si>
  <si>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</si>
  <si>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</si>
  <si>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</si>
  <si>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</si>
  <si>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</si>
  <si>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</si>
  <si>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</si>
  <si>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</si>
  <si>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</si>
  <si>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</si>
  <si>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</si>
  <si>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</si>
  <si>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</si>
  <si>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</si>
  <si>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</si>
  <si>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</si>
  <si>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</si>
  <si>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</si>
  <si>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</si>
  <si>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</si>
  <si>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</si>
  <si>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</si>
  <si>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</si>
  <si>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</si>
  <si>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</si>
  <si>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</si>
  <si>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</si>
  <si>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</si>
  <si>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</si>
  <si>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</si>
  <si>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</si>
  <si>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</si>
  <si>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</si>
  <si>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</si>
  <si>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</si>
  <si>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</si>
  <si>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</si>
  <si>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</si>
  <si>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</si>
  <si>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</si>
  <si>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</si>
  <si>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</si>
  <si>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</si>
  <si>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</si>
  <si>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</si>
  <si>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</si>
  <si>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</si>
  <si>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</si>
  <si>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</si>
  <si>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</si>
  <si>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</si>
  <si>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</si>
  <si>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</si>
  <si>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</si>
  <si>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</si>
  <si>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</si>
  <si>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</si>
  <si>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</si>
  <si>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</si>
  <si>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</si>
  <si>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</si>
  <si>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</si>
  <si>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</si>
  <si>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</si>
  <si>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</si>
  <si>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</si>
  <si>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</si>
  <si>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</si>
  <si>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</si>
  <si>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</si>
  <si>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</si>
  <si>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</si>
  <si>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</si>
  <si>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</si>
  <si>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</si>
  <si>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</si>
  <si>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</si>
  <si>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</si>
  <si>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</si>
  <si>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</si>
  <si>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</si>
  <si>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</si>
  <si>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</si>
  <si>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</si>
  <si>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</si>
  <si>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</si>
  <si>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</si>
  <si>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</si>
  <si>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</si>
  <si>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</si>
  <si>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</si>
  <si>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</si>
  <si>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</si>
  <si>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</si>
  <si>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</si>
  <si>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</si>
  <si>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</si>
  <si>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</si>
  <si>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</si>
  <si>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</si>
  <si>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</si>
  <si>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</si>
  <si>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</si>
  <si>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</si>
  <si>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</si>
  <si>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</si>
  <si>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</si>
  <si>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</si>
  <si>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</si>
  <si>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</si>
  <si>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</si>
  <si>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</si>
  <si>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</si>
  <si>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</si>
  <si>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</si>
  <si>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</si>
  <si>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</si>
  <si>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</si>
  <si>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</si>
  <si>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</si>
  <si>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</si>
  <si>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</si>
  <si>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</si>
  <si>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</si>
  <si>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</si>
  <si>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</si>
  <si>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</si>
  <si>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</si>
  <si>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</si>
  <si>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</si>
  <si>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</si>
  <si>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</si>
  <si>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</si>
  <si>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</si>
  <si>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</si>
  <si>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</si>
  <si>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</si>
  <si>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</si>
  <si>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</si>
  <si>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</si>
  <si>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</si>
  <si>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</si>
  <si>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</si>
  <si>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</si>
  <si>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</si>
  <si>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</si>
  <si>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</si>
  <si>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</si>
  <si>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</si>
  <si>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</si>
  <si>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</si>
  <si>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</si>
  <si>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</si>
  <si>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</si>
  <si>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</si>
  <si>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</si>
  <si>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</si>
  <si>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</si>
  <si>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</si>
  <si>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</si>
  <si>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</si>
  <si>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</si>
  <si>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</si>
  <si>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</si>
  <si>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</si>
  <si>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</si>
  <si>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</si>
  <si>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</si>
  <si>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</si>
  <si>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</si>
  <si>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</si>
  <si>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</si>
  <si>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</si>
  <si>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</si>
  <si>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</si>
  <si>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</si>
  <si>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</si>
  <si>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</si>
  <si>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</si>
  <si>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</si>
  <si>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</si>
  <si>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</si>
  <si>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</si>
  <si>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</si>
  <si>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</si>
  <si>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</si>
  <si>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</si>
  <si>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</si>
  <si>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</si>
  <si>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</si>
  <si>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</si>
  <si>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</si>
  <si>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</si>
  <si>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</si>
  <si>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</si>
  <si>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</si>
  <si>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</si>
  <si>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</si>
  <si>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</si>
  <si>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</si>
  <si>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</si>
  <si>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</si>
  <si>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</si>
  <si>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</si>
  <si>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</si>
  <si>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</si>
  <si>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</si>
  <si>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</si>
  <si>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</si>
  <si>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</si>
  <si>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</si>
  <si>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</si>
  <si>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</si>
  <si>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</si>
  <si>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</si>
  <si>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</si>
  <si>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</si>
  <si>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</si>
  <si>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</si>
  <si>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</si>
  <si>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</si>
  <si>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</si>
  <si>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</si>
  <si>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</si>
  <si>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</si>
  <si>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</si>
  <si>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</si>
  <si>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</si>
  <si>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</si>
  <si>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</si>
  <si>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</si>
  <si>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</si>
  <si>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</si>
  <si>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</si>
  <si>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</si>
  <si>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</si>
  <si>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</si>
  <si>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</si>
  <si>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</si>
  <si>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</si>
  <si>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</si>
  <si>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</si>
  <si>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</si>
  <si>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</si>
  <si>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</si>
  <si>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</si>
  <si>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</si>
  <si>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</si>
  <si>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</si>
  <si>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</si>
  <si>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</si>
  <si>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</si>
  <si>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</si>
  <si>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</si>
  <si>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</si>
  <si>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</si>
  <si>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</si>
  <si>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</si>
  <si>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</si>
  <si>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</si>
  <si>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</si>
  <si>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</si>
  <si>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</si>
  <si>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</si>
  <si>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</si>
  <si>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</si>
  <si>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</si>
  <si>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</si>
  <si>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</si>
  <si>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</si>
  <si>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</si>
  <si>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</si>
  <si>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</si>
  <si>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</si>
  <si>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</si>
  <si>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</si>
  <si>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</si>
  <si>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</si>
  <si>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</si>
  <si>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</si>
  <si>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</si>
  <si>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</si>
  <si>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</si>
  <si>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</si>
  <si>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</si>
  <si>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</si>
  <si>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</si>
  <si>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</si>
  <si>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</si>
  <si>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</si>
  <si>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</si>
  <si>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</si>
  <si>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</si>
  <si>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</si>
  <si>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</si>
  <si>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</si>
  <si>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</si>
  <si>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</si>
  <si>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</si>
  <si>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</si>
  <si>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</si>
  <si>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</si>
  <si>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</si>
  <si>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</si>
  <si>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</si>
  <si>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</si>
  <si>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</si>
  <si>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</si>
  <si>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</si>
  <si>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</si>
  <si>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</si>
  <si>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</si>
  <si>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</si>
  <si>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</si>
  <si>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</si>
  <si>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</si>
  <si>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</si>
  <si>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</si>
  <si>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</si>
  <si>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</si>
  <si>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</si>
  <si>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</si>
  <si>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</si>
  <si>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</si>
  <si>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</si>
  <si>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</si>
  <si>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</si>
  <si>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</si>
  <si>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</si>
  <si>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</si>
  <si>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</si>
  <si>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</si>
  <si>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</si>
  <si>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</si>
  <si>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</si>
  <si>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</si>
  <si>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</si>
  <si>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</si>
  <si>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</si>
  <si>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</si>
  <si>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</si>
  <si>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</si>
  <si>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</si>
  <si>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</si>
  <si>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</si>
  <si>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</si>
  <si>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</si>
  <si>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</si>
  <si>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</si>
  <si>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</si>
  <si>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</si>
  <si>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</si>
  <si>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</si>
  <si>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</si>
  <si>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</si>
  <si>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</si>
  <si>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</si>
  <si>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</si>
  <si>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</si>
  <si>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</si>
  <si>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</si>
  <si>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</si>
  <si>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</si>
  <si>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</si>
  <si>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</si>
  <si>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</si>
  <si>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</si>
  <si>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</si>
  <si>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</si>
  <si>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</si>
  <si>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</si>
  <si>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</si>
  <si>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</si>
  <si>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</si>
  <si>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</si>
  <si>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</si>
  <si>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</si>
  <si>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</si>
  <si>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</si>
  <si>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</si>
  <si>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</si>
  <si>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</si>
  <si>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</si>
  <si>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</si>
  <si>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</si>
  <si>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</si>
  <si>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</si>
  <si>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</si>
  <si>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</si>
  <si>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</si>
  <si>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</si>
  <si>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</si>
  <si>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</si>
  <si>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</si>
  <si>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</si>
  <si>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</si>
  <si>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</si>
  <si>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</si>
  <si>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</si>
  <si>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</si>
  <si>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</si>
  <si>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</si>
  <si>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</si>
  <si>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</si>
  <si>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</si>
  <si>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</si>
  <si>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</si>
  <si>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</si>
  <si>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</si>
  <si>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</si>
  <si>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</si>
  <si>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</si>
  <si>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</si>
  <si>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</si>
  <si>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</si>
  <si>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</si>
  <si>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</si>
  <si>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</si>
  <si>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</si>
  <si>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</si>
  <si>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</si>
  <si>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</si>
  <si>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</si>
  <si>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</si>
  <si>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</si>
  <si>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</si>
  <si>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</si>
  <si>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</si>
  <si>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</si>
  <si>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</si>
  <si>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</si>
  <si>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</si>
  <si>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</si>
  <si>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</si>
  <si>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</si>
  <si>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</si>
  <si>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</si>
  <si>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</si>
  <si>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</si>
  <si>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</si>
  <si>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</si>
  <si>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</si>
  <si>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</si>
  <si>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</si>
  <si>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</si>
  <si>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</si>
  <si>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</si>
  <si>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</si>
  <si>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</si>
  <si>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</si>
  <si>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</si>
  <si>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</si>
  <si>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</si>
  <si>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</si>
  <si>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</si>
  <si>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</si>
  <si>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</si>
  <si>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</si>
  <si>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</si>
  <si>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</si>
  <si>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</si>
  <si>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</si>
  <si>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</si>
  <si>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</si>
  <si>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</si>
  <si>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</si>
  <si>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</si>
  <si>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</si>
  <si>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</si>
  <si>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</si>
  <si>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</si>
  <si>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</si>
  <si>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</si>
  <si>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</si>
  <si>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</si>
  <si>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</si>
  <si>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</si>
  <si>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</si>
  <si>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</si>
  <si>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</si>
  <si>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</si>
  <si>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</si>
  <si>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</si>
  <si>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</si>
  <si>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</si>
  <si>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</si>
  <si>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</si>
  <si>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</si>
  <si>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</si>
  <si>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</si>
  <si>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</si>
  <si>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</si>
  <si>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</si>
  <si>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</si>
  <si>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</si>
  <si>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</si>
  <si>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</si>
  <si>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</si>
  <si>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</si>
  <si>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</si>
  <si>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</si>
  <si>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</si>
  <si>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</si>
  <si>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</si>
  <si>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</si>
  <si>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</si>
  <si>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</si>
  <si>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</si>
  <si>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</si>
  <si>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</si>
  <si>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</si>
  <si>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</si>
  <si>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</si>
  <si>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</si>
  <si>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</si>
  <si>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</si>
  <si>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</si>
  <si>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</si>
  <si>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</si>
  <si>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</si>
  <si>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</si>
  <si>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</si>
  <si>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</si>
  <si>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</si>
  <si>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</si>
  <si>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</si>
  <si>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</si>
  <si>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</si>
  <si>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</si>
  <si>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</si>
  <si>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</si>
  <si>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</si>
  <si>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</si>
  <si>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</si>
  <si>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</si>
  <si>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</si>
  <si>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</si>
  <si>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</si>
  <si>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</si>
  <si>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</si>
  <si>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</si>
  <si>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</si>
  <si>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</si>
  <si>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</si>
  <si>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</si>
  <si>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</si>
  <si>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</si>
  <si>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</si>
  <si>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</si>
  <si>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</si>
  <si>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</si>
  <si>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</si>
  <si>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</si>
  <si>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</si>
  <si>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</si>
  <si>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</si>
  <si>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</si>
  <si>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</si>
  <si>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</si>
  <si>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</si>
  <si>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</si>
  <si>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</si>
  <si>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</si>
  <si>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</si>
  <si>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</si>
  <si>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</si>
  <si>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</si>
  <si>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</si>
  <si>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</si>
  <si>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</si>
  <si>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</si>
  <si>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</si>
  <si>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</si>
  <si>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</si>
  <si>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</si>
  <si>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</si>
  <si>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</si>
  <si>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</si>
  <si>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</si>
  <si>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</si>
  <si>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</si>
  <si>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</si>
  <si>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</si>
  <si>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</si>
  <si>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</si>
  <si>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</si>
  <si>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</si>
  <si>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</si>
  <si>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</si>
  <si>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</si>
  <si>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</si>
  <si>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</si>
  <si>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</si>
  <si>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</si>
  <si>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</si>
  <si>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</si>
  <si>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</si>
  <si>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</si>
  <si>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</si>
  <si>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</si>
  <si>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</si>
  <si>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</si>
  <si>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</si>
  <si>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</si>
  <si>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</si>
  <si>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</si>
  <si>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</si>
  <si>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</si>
  <si>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</si>
  <si>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</si>
  <si>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</si>
  <si>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</si>
  <si>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</si>
  <si>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</si>
  <si>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</si>
  <si>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</si>
  <si>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</si>
  <si>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</si>
  <si>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</si>
  <si>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</si>
  <si>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</si>
  <si>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</si>
  <si>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</si>
  <si>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</si>
  <si>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</si>
  <si>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</si>
  <si>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</si>
  <si>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</si>
  <si>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</si>
  <si>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</si>
  <si>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</si>
  <si>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</si>
  <si>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</si>
  <si>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</si>
  <si>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</si>
  <si>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</si>
  <si>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</si>
  <si>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</si>
  <si>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</si>
  <si>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</si>
  <si>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</si>
  <si>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</si>
  <si>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</si>
  <si>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</si>
  <si>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</si>
  <si>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</si>
  <si>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</si>
  <si>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</si>
  <si>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</si>
  <si>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</si>
  <si>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</si>
  <si>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</si>
  <si>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</si>
  <si>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</si>
  <si>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</si>
  <si>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</si>
  <si>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</si>
  <si>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</si>
  <si>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</si>
  <si>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</si>
  <si>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</si>
  <si>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</si>
  <si>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</si>
  <si>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</si>
  <si>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</si>
  <si>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</si>
  <si>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</si>
  <si>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</si>
  <si>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</si>
  <si>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</si>
  <si>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</si>
  <si>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</si>
  <si>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</si>
  <si>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</si>
  <si>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</si>
  <si>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</si>
  <si>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</si>
  <si>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</si>
  <si>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</si>
  <si>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</si>
  <si>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</si>
  <si>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</si>
  <si>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</si>
  <si>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</si>
  <si>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</si>
  <si>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</si>
  <si>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</si>
  <si>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</si>
  <si>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</si>
  <si>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</si>
  <si>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</si>
  <si>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</si>
  <si>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</si>
  <si>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</si>
  <si>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</si>
  <si>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</si>
  <si>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</si>
  <si>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</si>
  <si>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</si>
  <si>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</si>
  <si>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</si>
  <si>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</si>
  <si>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</si>
  <si>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</si>
  <si>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</si>
  <si>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</si>
  <si>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</si>
  <si>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</si>
  <si>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</si>
  <si>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</si>
  <si>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</si>
  <si>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</si>
  <si>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</si>
  <si>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</si>
  <si>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</si>
  <si>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</si>
  <si>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</si>
  <si>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</si>
  <si>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</si>
  <si>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</si>
  <si>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</si>
  <si>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</si>
  <si>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</si>
  <si>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</si>
  <si>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</si>
  <si>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</si>
  <si>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</si>
  <si>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</si>
  <si>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</si>
  <si>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</si>
  <si>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</si>
  <si>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</si>
  <si>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</si>
  <si>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</si>
  <si>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</si>
  <si>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</si>
  <si>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</si>
  <si>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</si>
  <si>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</si>
  <si>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</si>
  <si>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</si>
  <si>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</si>
  <si>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</si>
  <si>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</si>
  <si>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</si>
  <si>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</si>
  <si>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</si>
  <si>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</si>
  <si>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</si>
  <si>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</si>
  <si>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</si>
  <si>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</si>
  <si>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</si>
  <si>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</si>
  <si>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</si>
  <si>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</si>
  <si>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</si>
  <si>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</si>
  <si>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</si>
  <si>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</si>
  <si>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</si>
  <si>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</si>
  <si>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</si>
  <si>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</si>
  <si>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</si>
  <si>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</si>
  <si>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</si>
  <si>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</si>
  <si>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</si>
  <si>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</si>
  <si>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</si>
  <si>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</si>
  <si>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</si>
  <si>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</si>
  <si>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</si>
  <si>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</si>
  <si>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</si>
  <si>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</si>
  <si>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</si>
  <si>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</si>
  <si>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</si>
  <si>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</si>
  <si>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</si>
  <si>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</si>
  <si>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</si>
  <si>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</si>
  <si>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</si>
  <si>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</si>
  <si>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</si>
  <si>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</si>
  <si>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</si>
  <si>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</si>
  <si>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</si>
  <si>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</si>
  <si>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</si>
  <si>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</si>
  <si>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</si>
  <si>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</si>
  <si>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</si>
  <si>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</si>
  <si>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</si>
  <si>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</si>
  <si>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</si>
  <si>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</si>
  <si>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</si>
  <si>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</si>
  <si>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</si>
  <si>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</si>
  <si>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</si>
  <si>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</si>
  <si>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</si>
  <si>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</si>
  <si>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</si>
  <si>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</si>
  <si>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</si>
  <si>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</si>
  <si>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</si>
  <si>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</si>
  <si>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</si>
  <si>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</si>
  <si>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</si>
  <si>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</si>
  <si>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</si>
  <si>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</si>
  <si>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</si>
  <si>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</si>
  <si>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</si>
  <si>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</si>
  <si>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</si>
  <si>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</si>
  <si>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</si>
  <si>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</si>
  <si>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</si>
  <si>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</si>
  <si>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</si>
  <si>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</si>
  <si>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</si>
  <si>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</si>
  <si>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</si>
  <si>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</si>
  <si>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</si>
  <si>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</si>
  <si>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</si>
  <si>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</si>
  <si>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</si>
  <si>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</si>
  <si>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</si>
  <si>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</si>
  <si>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</si>
  <si>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</si>
  <si>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</si>
  <si>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</si>
  <si>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</si>
  <si>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</si>
  <si>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</si>
  <si>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</si>
  <si>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</si>
  <si>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</si>
  <si>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</si>
  <si>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</si>
  <si>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</si>
  <si>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</si>
  <si>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</si>
  <si>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</si>
  <si>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</si>
  <si>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</si>
  <si>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</si>
  <si>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</si>
  <si>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</si>
  <si>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</si>
  <si>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</si>
  <si>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</si>
  <si>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</si>
  <si>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</si>
  <si>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</si>
  <si>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</si>
  <si>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</si>
  <si>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</si>
  <si>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</si>
  <si>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</si>
  <si>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</si>
  <si>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</si>
  <si>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</si>
  <si>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</si>
  <si>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</si>
  <si>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</si>
  <si>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</si>
  <si>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</si>
  <si>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</si>
  <si>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</si>
  <si>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</si>
  <si>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</si>
  <si>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</si>
  <si>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</si>
  <si>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</si>
  <si>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</si>
  <si>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</si>
  <si>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</si>
  <si>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</si>
  <si>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</si>
  <si>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</si>
  <si>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</si>
  <si>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</si>
  <si>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</si>
  <si>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</si>
  <si>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</si>
  <si>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</si>
  <si>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</si>
  <si>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</si>
  <si>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</si>
  <si>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</si>
  <si>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</si>
  <si>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</si>
  <si>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</si>
  <si>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</si>
  <si>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</si>
  <si>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</si>
  <si>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</si>
  <si>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</si>
  <si>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</si>
  <si>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</si>
  <si>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</si>
  <si>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</si>
  <si>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</si>
  <si>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</si>
  <si>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</si>
  <si>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</si>
  <si>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</si>
  <si>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</si>
  <si>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</si>
  <si>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</si>
  <si>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</si>
  <si>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</si>
  <si>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</si>
  <si>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</si>
  <si>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</si>
  <si>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</si>
  <si>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</si>
  <si>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</si>
  <si>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</si>
  <si>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</si>
  <si>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</si>
  <si>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</si>
  <si>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</si>
  <si>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</si>
  <si>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</si>
  <si>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</si>
  <si>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</si>
  <si>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</si>
  <si>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</si>
  <si>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</si>
  <si>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</si>
  <si>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</si>
  <si>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</si>
  <si>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</si>
  <si>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</si>
  <si>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</si>
  <si>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</si>
  <si>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</si>
  <si>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</si>
  <si>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</si>
  <si>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</si>
  <si>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</si>
  <si>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</si>
  <si>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</si>
  <si>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</si>
  <si>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</si>
  <si>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</si>
  <si>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</si>
  <si>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</si>
  <si>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</si>
  <si>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</si>
  <si>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</si>
  <si>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</si>
  <si>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</si>
  <si>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</si>
  <si>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</si>
  <si>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</si>
  <si>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</si>
  <si>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</si>
  <si>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</si>
  <si>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</si>
  <si>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</si>
  <si>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</si>
  <si>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</si>
  <si>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</si>
  <si>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</si>
  <si>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</si>
  <si>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</si>
  <si>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</si>
  <si>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</si>
  <si>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</si>
  <si>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</si>
  <si>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</si>
  <si>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</si>
  <si>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</si>
  <si>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</si>
  <si>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</si>
  <si>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</si>
  <si>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</si>
  <si>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</si>
  <si>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</si>
  <si>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</si>
  <si>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</si>
  <si>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</si>
  <si>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</si>
  <si>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</si>
  <si>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</si>
  <si>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</si>
  <si>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</si>
  <si>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</si>
  <si>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</si>
  <si>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</si>
  <si>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</si>
  <si>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</si>
  <si>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</si>
  <si>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</si>
  <si>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</si>
  <si>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</si>
  <si>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</si>
  <si>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</si>
  <si>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</si>
  <si>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</si>
  <si>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</si>
  <si>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</si>
  <si>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</si>
  <si>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</si>
  <si>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</si>
  <si>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</si>
  <si>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</si>
  <si>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</si>
  <si>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</si>
  <si>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</si>
  <si>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</si>
  <si>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</si>
  <si>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</si>
  <si>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</si>
  <si>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</si>
  <si>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</si>
  <si>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</si>
  <si>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</si>
  <si>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</si>
  <si>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</si>
  <si>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</si>
  <si>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</si>
  <si>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</si>
  <si>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</si>
  <si>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</si>
  <si>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</si>
  <si>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</si>
  <si>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</si>
  <si>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</si>
  <si>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</si>
  <si>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</si>
  <si>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</si>
  <si>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</si>
  <si>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</si>
  <si>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</si>
  <si>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</si>
  <si>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</si>
  <si>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</si>
  <si>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</si>
  <si>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</si>
  <si>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</si>
  <si>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</si>
  <si>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</si>
  <si>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</si>
  <si>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</si>
  <si>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</si>
  <si>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</si>
  <si>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</si>
  <si>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</si>
  <si>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</si>
  <si>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</si>
  <si>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</si>
  <si>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</si>
  <si>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</si>
  <si>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</si>
  <si>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</si>
  <si>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</si>
  <si>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</si>
  <si>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</si>
  <si>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</si>
  <si>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</si>
  <si>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</si>
  <si>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</si>
  <si>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</si>
  <si>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</si>
  <si>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</si>
  <si>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</si>
  <si>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</si>
  <si>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</si>
  <si>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</si>
  <si>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</si>
  <si>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</si>
  <si>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</si>
  <si>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</si>
  <si>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</si>
  <si>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</si>
  <si>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</si>
  <si>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</si>
  <si>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</si>
  <si>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</si>
  <si>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</si>
  <si>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</si>
  <si>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</si>
  <si>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</si>
  <si>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</si>
  <si>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</si>
  <si>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</si>
  <si>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</si>
  <si>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</si>
  <si>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</si>
  <si>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</si>
  <si>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</si>
  <si>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</si>
  <si>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</si>
  <si>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</si>
  <si>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</si>
  <si>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</si>
  <si>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</si>
  <si>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</si>
  <si>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</si>
  <si>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</si>
  <si>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</si>
  <si>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</si>
  <si>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</si>
  <si>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</si>
  <si>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</si>
  <si>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</si>
  <si>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</si>
  <si>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</si>
  <si>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</si>
  <si>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</si>
  <si>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</si>
  <si>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</si>
  <si>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</si>
  <si>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</si>
  <si>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</si>
  <si>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</si>
  <si>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</si>
  <si>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</si>
  <si>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</si>
  <si>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</si>
  <si>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</si>
  <si>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</si>
  <si>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</si>
  <si>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</si>
  <si>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</si>
  <si>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</si>
  <si>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</si>
  <si>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</si>
  <si>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</si>
  <si>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</si>
  <si>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</si>
  <si>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</si>
  <si>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</si>
  <si>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</si>
  <si>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</si>
  <si>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</si>
  <si>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</si>
  <si>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</si>
  <si>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</si>
  <si>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</si>
  <si>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</si>
  <si>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</si>
  <si>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</si>
  <si>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</si>
  <si>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</si>
  <si>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</si>
  <si>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</si>
  <si>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</si>
  <si>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</si>
  <si>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</si>
  <si>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</si>
  <si>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</si>
  <si>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</si>
  <si>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</si>
  <si>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</si>
  <si>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</si>
  <si>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</si>
  <si>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</si>
  <si>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</si>
  <si>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</si>
  <si>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</si>
  <si>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</si>
  <si>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</si>
  <si>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</si>
  <si>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</si>
  <si>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</si>
  <si>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</si>
  <si>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</si>
  <si>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</si>
  <si>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</si>
  <si>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</si>
  <si>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</si>
  <si>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</si>
  <si>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</si>
  <si>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</si>
  <si>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</si>
  <si>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</si>
  <si>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</si>
  <si>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</si>
  <si>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</si>
  <si>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</si>
  <si>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</si>
  <si>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</si>
  <si>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</si>
  <si>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</si>
  <si>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</si>
  <si>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</si>
  <si>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</si>
  <si>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</si>
  <si>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</si>
  <si>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</si>
  <si>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</si>
  <si>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</si>
  <si>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</si>
  <si>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</si>
  <si>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</si>
  <si>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</si>
  <si>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</si>
  <si>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</si>
  <si>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</si>
  <si>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</si>
  <si>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</si>
  <si>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</si>
  <si>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</si>
  <si>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</si>
  <si>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</si>
  <si>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</si>
  <si>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</si>
  <si>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</si>
  <si>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</si>
  <si>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</si>
  <si>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</si>
  <si>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</si>
  <si>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</si>
  <si>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</si>
  <si>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</si>
  <si>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</si>
  <si>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</si>
  <si>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</si>
  <si>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</si>
  <si>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</si>
  <si>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</si>
  <si>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</si>
  <si>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</si>
  <si>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</si>
  <si>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</si>
  <si>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</si>
  <si>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</si>
  <si>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</si>
  <si>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</si>
  <si>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</si>
  <si>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</si>
  <si>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</si>
  <si>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</si>
  <si>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</si>
  <si>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</si>
  <si>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</si>
  <si>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</si>
  <si>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</si>
  <si>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</si>
  <si>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</si>
  <si>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</si>
  <si>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</si>
  <si>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</si>
  <si>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</si>
  <si>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</si>
  <si>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</si>
  <si>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</si>
  <si>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</si>
  <si>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</si>
  <si>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</si>
  <si>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</si>
  <si>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</si>
  <si>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</si>
  <si>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</si>
  <si>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</si>
  <si>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</si>
  <si>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</si>
  <si>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</si>
  <si>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</si>
  <si>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</si>
  <si>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</si>
  <si>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</si>
  <si>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</si>
  <si>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</si>
  <si>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</si>
  <si>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</si>
  <si>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</si>
  <si>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</si>
  <si>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</si>
  <si>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</si>
  <si>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</si>
  <si>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</si>
  <si>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</si>
  <si>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</si>
  <si>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</si>
  <si>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</si>
  <si>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</si>
  <si>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</si>
  <si>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</si>
  <si>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</si>
  <si>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</si>
  <si>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</si>
  <si>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</si>
  <si>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</si>
  <si>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</si>
  <si>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</si>
  <si>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</si>
  <si>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</si>
  <si>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</si>
  <si>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</si>
  <si>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</si>
  <si>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</si>
  <si>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</si>
  <si>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</si>
  <si>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</si>
  <si>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</si>
  <si>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</si>
  <si>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</si>
  <si>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</si>
  <si>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</si>
  <si>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</si>
  <si>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</si>
  <si>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</si>
  <si>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</si>
  <si>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</si>
  <si>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</si>
  <si>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</si>
  <si>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</si>
  <si>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</si>
  <si>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</si>
  <si>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</si>
  <si>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</si>
  <si>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</si>
  <si>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</si>
  <si>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</si>
  <si>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</si>
  <si>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</si>
  <si>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</si>
  <si>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</si>
  <si>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</si>
  <si>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</si>
  <si>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</si>
  <si>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</si>
  <si>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</si>
  <si>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</si>
  <si>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</si>
  <si>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</si>
  <si>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</si>
  <si>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</si>
  <si>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</si>
  <si>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</si>
  <si>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</si>
  <si>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</si>
  <si>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</si>
  <si>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</si>
  <si>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</si>
  <si>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</si>
  <si>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</si>
  <si>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</si>
  <si>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</si>
  <si>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</si>
  <si>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</si>
  <si>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</si>
  <si>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</si>
  <si>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</si>
  <si>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</si>
  <si>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</si>
  <si>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</si>
  <si>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</si>
  <si>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</si>
  <si>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</si>
  <si>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</si>
  <si>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</si>
  <si>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</si>
  <si>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</si>
  <si>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</si>
  <si>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</si>
  <si>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</si>
  <si>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</si>
  <si>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</si>
  <si>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</si>
  <si>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</si>
  <si>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</si>
  <si>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</si>
  <si>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</si>
  <si>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</si>
  <si>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</si>
  <si>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</si>
  <si>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</si>
  <si>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</si>
  <si>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</si>
  <si>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</si>
  <si>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</si>
  <si>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</si>
  <si>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</si>
  <si>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</si>
  <si>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</si>
  <si>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</si>
  <si>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</si>
  <si>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</si>
  <si>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</si>
  <si>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</si>
  <si>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</si>
  <si>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</si>
  <si>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</si>
  <si>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</si>
  <si>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</si>
  <si>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</si>
  <si>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</si>
  <si>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</si>
  <si>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</si>
  <si>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</si>
  <si>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</si>
  <si>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</si>
  <si>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</si>
  <si>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</si>
  <si>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</si>
  <si>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</si>
  <si>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</si>
  <si>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</si>
  <si>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</si>
  <si>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</si>
  <si>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</si>
  <si>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</si>
  <si>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</si>
  <si>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</si>
  <si>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</si>
  <si>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</si>
  <si>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</si>
  <si>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</si>
  <si>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</si>
  <si>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</si>
  <si>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</si>
  <si>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</si>
  <si>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</si>
  <si>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</si>
  <si>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</si>
  <si>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</si>
  <si>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</si>
  <si>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</si>
  <si>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</si>
  <si>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</si>
  <si>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</si>
  <si>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</si>
  <si>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</si>
  <si>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</si>
  <si>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</si>
  <si>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</si>
  <si>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</si>
  <si>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</si>
  <si>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</si>
  <si>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</si>
  <si>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</si>
  <si>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</si>
  <si>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</si>
  <si>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</si>
  <si>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</si>
  <si>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</si>
  <si>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</si>
  <si>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</si>
  <si>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</si>
  <si>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</si>
  <si>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</si>
  <si>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</si>
  <si>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</si>
  <si>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</si>
  <si>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</si>
  <si>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</si>
  <si>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</si>
  <si>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</si>
  <si>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</si>
  <si>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</si>
  <si>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</si>
  <si>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</si>
  <si>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</si>
  <si>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</si>
  <si>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</si>
  <si>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</si>
  <si>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</si>
  <si>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</si>
  <si>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</si>
  <si>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</si>
  <si>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</si>
  <si>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</si>
  <si>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</si>
  <si>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</si>
  <si>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</si>
  <si>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</si>
  <si>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</si>
  <si>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</si>
  <si>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</si>
  <si>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</si>
  <si>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</si>
  <si>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</si>
  <si>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</si>
  <si>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</si>
  <si>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</si>
  <si>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</si>
  <si>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</si>
  <si>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</si>
  <si>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</si>
  <si>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</si>
  <si>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</si>
  <si>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</si>
  <si>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</si>
  <si>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</si>
  <si>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</si>
  <si>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</si>
  <si>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</si>
  <si>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</si>
  <si>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</si>
  <si>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</si>
  <si>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</si>
  <si>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</si>
  <si>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</si>
  <si>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</si>
  <si>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</si>
  <si>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</si>
  <si>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</si>
  <si>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</si>
  <si>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</si>
  <si>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</si>
  <si>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</si>
  <si>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</si>
  <si>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</si>
  <si>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</si>
  <si>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</si>
  <si>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</si>
  <si>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</si>
  <si>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</si>
  <si>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</si>
  <si>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</si>
  <si>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</si>
  <si>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</si>
  <si>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</si>
  <si>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</si>
  <si>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</si>
  <si>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</si>
  <si>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</si>
  <si>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</si>
  <si>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</si>
  <si>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</si>
  <si>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</si>
  <si>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</si>
  <si>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</si>
  <si>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</si>
  <si>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</si>
  <si>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</si>
  <si>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</si>
  <si>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</si>
  <si>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</si>
  <si>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</si>
  <si>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</si>
  <si>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</si>
  <si>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</si>
  <si>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</si>
  <si>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</si>
  <si>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</si>
  <si>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</si>
  <si>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</si>
  <si>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</si>
  <si>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</si>
  <si>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</si>
  <si>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</si>
  <si>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</si>
  <si>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</si>
  <si>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</si>
  <si>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</si>
  <si>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</si>
  <si>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</si>
  <si>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</si>
  <si>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</si>
  <si>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</si>
  <si>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</si>
  <si>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</si>
  <si>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</si>
  <si>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</si>
  <si>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</si>
  <si>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</si>
  <si>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</si>
  <si>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</si>
  <si>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</si>
  <si>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</si>
  <si>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</si>
  <si>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</si>
  <si>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</si>
  <si>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</si>
  <si>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</si>
  <si>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</si>
  <si>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</si>
  <si>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</si>
  <si>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</si>
  <si>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</si>
  <si>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</si>
  <si>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</si>
  <si>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</si>
  <si>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</si>
  <si>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</si>
  <si>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</si>
  <si>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</si>
  <si>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</si>
  <si>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</si>
  <si>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</si>
  <si>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</si>
  <si>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</si>
  <si>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</si>
  <si>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</si>
  <si>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</si>
  <si>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</si>
  <si>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</si>
  <si>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</si>
  <si>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</si>
  <si>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</si>
  <si>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</si>
  <si>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</si>
  <si>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</si>
  <si>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</si>
  <si>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</si>
  <si>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</si>
  <si>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</si>
  <si>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</si>
  <si>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</si>
  <si>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</si>
  <si>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</si>
  <si>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</si>
  <si>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</si>
  <si>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</si>
  <si>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</si>
  <si>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</si>
  <si>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</si>
  <si>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</si>
  <si>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</si>
  <si>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</si>
  <si>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</si>
  <si>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</si>
  <si>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</si>
  <si>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</si>
  <si>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</si>
  <si>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</si>
  <si>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</si>
  <si>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</si>
  <si>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</si>
  <si>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</si>
  <si>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</si>
  <si>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</si>
  <si>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</si>
  <si>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</si>
  <si>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</si>
  <si>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</si>
  <si>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</si>
  <si>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</si>
  <si>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</si>
  <si>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</si>
  <si>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</si>
  <si>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</si>
  <si>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</si>
  <si>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</si>
  <si>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</si>
  <si>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</si>
  <si>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</si>
  <si>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</si>
  <si>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</si>
  <si>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</si>
  <si>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</si>
  <si>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</si>
  <si>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</si>
  <si>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</si>
  <si>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</si>
  <si>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</si>
  <si>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</si>
  <si>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</si>
  <si>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</si>
  <si>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</si>
  <si>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</si>
  <si>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</si>
  <si>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</si>
  <si>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</si>
  <si>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</si>
  <si>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</si>
  <si>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</si>
  <si>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</si>
  <si>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</si>
  <si>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</si>
  <si>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</si>
  <si>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</si>
  <si>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</si>
  <si>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</si>
  <si>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</si>
  <si>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</si>
  <si>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</si>
  <si>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</si>
  <si>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</si>
  <si>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</si>
  <si>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</si>
  <si>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</si>
  <si>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</si>
  <si>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</si>
  <si>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</si>
  <si>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</si>
  <si>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</si>
  <si>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</si>
  <si>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</si>
  <si>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</si>
  <si>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</si>
  <si>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</si>
  <si>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</si>
  <si>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</si>
  <si>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</si>
  <si>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</si>
  <si>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</si>
  <si>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</si>
  <si>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</si>
  <si>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</si>
  <si>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</si>
  <si>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</si>
  <si>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</si>
  <si>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</si>
  <si>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</si>
  <si>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</si>
  <si>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</si>
  <si>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</si>
  <si>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</si>
  <si>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</si>
  <si>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</si>
  <si>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</si>
  <si>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</si>
  <si>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</si>
  <si>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</si>
  <si>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</si>
  <si>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</si>
  <si>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</si>
  <si>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</si>
  <si>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</si>
  <si>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</si>
  <si>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</si>
  <si>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</si>
  <si>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</si>
  <si>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</si>
  <si>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</si>
  <si>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</si>
  <si>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</si>
  <si>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</si>
  <si>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</si>
  <si>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</si>
  <si>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</si>
  <si>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</si>
  <si>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</si>
  <si>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</si>
  <si>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</si>
  <si>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</si>
  <si>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</si>
  <si>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</si>
  <si>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</si>
  <si>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</si>
  <si>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</si>
  <si>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</si>
  <si>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</si>
  <si>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</si>
  <si>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</si>
  <si>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</si>
  <si>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</si>
  <si>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</si>
  <si>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</si>
  <si>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</si>
  <si>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</si>
  <si>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</si>
  <si>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</si>
  <si>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</si>
  <si>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</si>
  <si>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</si>
  <si>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</si>
  <si>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</si>
  <si>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</si>
  <si>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</si>
  <si>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</si>
  <si>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</si>
  <si>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</si>
  <si>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</si>
  <si>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</si>
  <si>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</si>
  <si>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</si>
  <si>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</si>
  <si>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</si>
  <si>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</si>
  <si>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</si>
  <si>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</si>
  <si>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</si>
  <si>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</si>
  <si>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</si>
  <si>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</si>
  <si>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</si>
  <si>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</si>
  <si>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</si>
  <si>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</si>
  <si>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</si>
  <si>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</si>
  <si>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</si>
  <si>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</si>
  <si>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</si>
  <si>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</si>
  <si>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</si>
  <si>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</si>
  <si>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</si>
  <si>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</si>
  <si>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</si>
  <si>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</si>
  <si>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</si>
  <si>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</si>
  <si>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</si>
  <si>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</si>
  <si>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</si>
  <si>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</si>
  <si>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</si>
  <si>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</si>
  <si>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</si>
  <si>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</si>
  <si>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</si>
  <si>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</si>
  <si>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</si>
  <si>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</si>
  <si>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</si>
  <si>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</si>
  <si>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</si>
  <si>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</si>
  <si>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</si>
  <si>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</si>
  <si>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</si>
  <si>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</si>
  <si>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</si>
  <si>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</si>
  <si>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</si>
  <si>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</si>
  <si>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</si>
  <si>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</si>
  <si>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</si>
  <si>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</si>
  <si>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</si>
  <si>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</si>
  <si>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</si>
  <si>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</si>
  <si>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</si>
  <si>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</si>
  <si>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</si>
  <si>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</si>
  <si>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</si>
  <si>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</si>
  <si>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</si>
  <si>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</si>
  <si>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</si>
  <si>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</si>
  <si>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</si>
  <si>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</si>
  <si>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</si>
  <si>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</si>
  <si>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</si>
  <si>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</si>
  <si>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</si>
  <si>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</si>
  <si>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</si>
  <si>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</si>
  <si>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</si>
  <si>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</si>
  <si>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</si>
  <si>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</si>
  <si>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</si>
  <si>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</si>
  <si>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</si>
  <si>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</si>
  <si>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陈颖</t>
  </si>
  <si>
    <t>杨红英</t>
  </si>
  <si>
    <t>核定资产</t>
  </si>
  <si>
    <t>市场价格</t>
  </si>
  <si>
    <t>企业</t>
  </si>
  <si>
    <t>出让</t>
  </si>
  <si>
    <t>地上办公</t>
  </si>
  <si>
    <t>地下仓储</t>
  </si>
  <si>
    <t>京西国用（2009出）第20610号</t>
    <phoneticPr fontId="3" type="noConversion"/>
  </si>
  <si>
    <t>地上</t>
  </si>
  <si>
    <t>办公</t>
    <phoneticPr fontId="7" type="noConversion"/>
  </si>
  <si>
    <t>变更前面积</t>
    <phoneticPr fontId="233" type="noConversion"/>
  </si>
  <si>
    <t>变更后面积</t>
    <phoneticPr fontId="233" type="noConversion"/>
  </si>
  <si>
    <t>部位</t>
    <phoneticPr fontId="233" type="noConversion"/>
  </si>
  <si>
    <t>地上（办公）</t>
    <phoneticPr fontId="233" type="noConversion"/>
  </si>
  <si>
    <t>地下（仓储)</t>
    <phoneticPr fontId="233" type="noConversion"/>
  </si>
  <si>
    <t>用途</t>
    <phoneticPr fontId="233" type="noConversion"/>
  </si>
  <si>
    <t>方法</t>
    <phoneticPr fontId="233" type="noConversion"/>
  </si>
  <si>
    <t>楼面熟地单价</t>
    <phoneticPr fontId="277" type="noConversion"/>
  </si>
  <si>
    <t>权重</t>
    <phoneticPr fontId="233" type="noConversion"/>
  </si>
  <si>
    <t>权重楼面熟地单价</t>
    <phoneticPr fontId="233" type="noConversion"/>
  </si>
  <si>
    <t>政府土地出让收入单价</t>
    <phoneticPr fontId="277" type="noConversion"/>
  </si>
  <si>
    <t>政府土地出让收入总价</t>
    <phoneticPr fontId="277" type="noConversion"/>
  </si>
  <si>
    <t>地面单价</t>
    <phoneticPr fontId="233" type="noConversion"/>
  </si>
  <si>
    <t>基准地价法</t>
    <phoneticPr fontId="233" type="noConversion"/>
  </si>
  <si>
    <t>剩余法</t>
    <phoneticPr fontId="233" type="noConversion"/>
  </si>
  <si>
    <t>结果表</t>
    <phoneticPr fontId="233" type="noConversion"/>
  </si>
  <si>
    <t>办公项目</t>
  </si>
  <si>
    <t>Ⅱ—01</t>
  </si>
  <si>
    <t>商务金融用地（办公类）</t>
  </si>
  <si>
    <t>自定义容积率</t>
  </si>
  <si>
    <t>通路</t>
  </si>
  <si>
    <t>通电</t>
  </si>
  <si>
    <t>通讯</t>
  </si>
  <si>
    <t>通上水</t>
  </si>
  <si>
    <t>通下水</t>
  </si>
  <si>
    <t>通热</t>
  </si>
  <si>
    <t>燃气</t>
  </si>
  <si>
    <t>容积率修正</t>
  </si>
  <si>
    <t>按公示增长率计算</t>
  </si>
  <si>
    <t>七通一平</t>
  </si>
  <si>
    <t>一致</t>
  </si>
  <si>
    <t>仓储</t>
  </si>
  <si>
    <t>售价</t>
  </si>
  <si>
    <t>办公</t>
    <phoneticPr fontId="27" type="noConversion"/>
  </si>
  <si>
    <t>40-50（含）</t>
  </si>
  <si>
    <t>较好</t>
  </si>
  <si>
    <t>好</t>
  </si>
  <si>
    <t>七通</t>
  </si>
  <si>
    <t>非标准办公楼</t>
    <phoneticPr fontId="27" type="noConversion"/>
  </si>
  <si>
    <t>砖木</t>
    <phoneticPr fontId="27" type="noConversion"/>
  </si>
  <si>
    <t>砖混</t>
    <phoneticPr fontId="27" type="noConversion"/>
  </si>
  <si>
    <t>钢混</t>
  </si>
  <si>
    <t>钢混</t>
    <phoneticPr fontId="27" type="noConversion"/>
  </si>
  <si>
    <t>标准办公楼</t>
  </si>
  <si>
    <t>标准办公楼</t>
    <phoneticPr fontId="27" type="noConversion"/>
  </si>
  <si>
    <t>普通物业管理</t>
  </si>
  <si>
    <t>普通物业管理</t>
    <phoneticPr fontId="27" type="noConversion"/>
  </si>
  <si>
    <t>无</t>
  </si>
  <si>
    <t>无</t>
    <phoneticPr fontId="27" type="noConversion"/>
  </si>
  <si>
    <t>七通</t>
    <phoneticPr fontId="27" type="noConversion"/>
  </si>
  <si>
    <t>六通</t>
    <phoneticPr fontId="27" type="noConversion"/>
  </si>
  <si>
    <t>精装修</t>
  </si>
  <si>
    <t>精装修</t>
    <phoneticPr fontId="27" type="noConversion"/>
  </si>
  <si>
    <t>普通装修</t>
  </si>
  <si>
    <t>普通装修</t>
    <phoneticPr fontId="27" type="noConversion"/>
  </si>
  <si>
    <t>简单装修</t>
    <phoneticPr fontId="27" type="noConversion"/>
  </si>
  <si>
    <t>建成年代</t>
    <phoneticPr fontId="27" type="noConversion"/>
  </si>
  <si>
    <t>五栋大楼</t>
    <phoneticPr fontId="3" type="noConversion"/>
  </si>
  <si>
    <t>正常</t>
  </si>
  <si>
    <t>30-40（含）</t>
  </si>
  <si>
    <t>一般</t>
  </si>
  <si>
    <t>城市次干道——黄寺大街</t>
    <phoneticPr fontId="27" type="noConversion"/>
  </si>
  <si>
    <t>城市支路——南礼士路二条</t>
    <phoneticPr fontId="27" type="noConversion"/>
  </si>
  <si>
    <t>剩余法-现房</t>
  </si>
  <si>
    <t>项目全部</t>
  </si>
  <si>
    <t>土地</t>
  </si>
  <si>
    <t>部位</t>
  </si>
  <si>
    <t>用途</t>
  </si>
  <si>
    <t>出让建筑</t>
  </si>
  <si>
    <t>面积</t>
  </si>
  <si>
    <r>
      <t>（</t>
    </r>
    <r>
      <rPr>
        <b/>
        <sz val="12"/>
        <color rgb="FF000000"/>
        <rFont val="华文仿宋"/>
        <family val="3"/>
        <charset val="134"/>
      </rPr>
      <t>㎡</t>
    </r>
    <r>
      <rPr>
        <b/>
        <sz val="12"/>
        <color theme="1"/>
        <rFont val="仿宋_GB2312"/>
        <family val="3"/>
        <charset val="134"/>
      </rPr>
      <t>）</t>
    </r>
  </si>
  <si>
    <t>楼面熟地</t>
  </si>
  <si>
    <t>单价</t>
  </si>
  <si>
    <r>
      <t>（元/</t>
    </r>
    <r>
      <rPr>
        <b/>
        <sz val="12"/>
        <color rgb="FF000000"/>
        <rFont val="华文仿宋"/>
        <family val="3"/>
        <charset val="134"/>
      </rPr>
      <t>㎡</t>
    </r>
    <r>
      <rPr>
        <b/>
        <sz val="12"/>
        <color theme="1"/>
        <rFont val="仿宋_GB2312"/>
        <family val="3"/>
        <charset val="134"/>
      </rPr>
      <t>）</t>
    </r>
  </si>
  <si>
    <t>熟地总价</t>
  </si>
  <si>
    <t>(万元）</t>
  </si>
  <si>
    <t>地面熟地单价</t>
  </si>
  <si>
    <t>（增加）</t>
  </si>
  <si>
    <t>地下</t>
  </si>
  <si>
    <t>出让建筑面积</t>
  </si>
  <si>
    <t>楼面政府土地出让收益单价</t>
  </si>
  <si>
    <t>政府土地出让收益总价(万元）</t>
  </si>
  <si>
    <r>
      <t>（</t>
    </r>
    <r>
      <rPr>
        <b/>
        <sz val="12"/>
        <color theme="1"/>
        <rFont val="华文仿宋"/>
        <family val="3"/>
        <charset val="134"/>
      </rPr>
      <t>㎡</t>
    </r>
    <r>
      <rPr>
        <b/>
        <sz val="12"/>
        <color theme="1"/>
        <rFont val="仿宋_GB2312"/>
        <family val="3"/>
        <charset val="134"/>
      </rPr>
      <t>）</t>
    </r>
  </si>
  <si>
    <r>
      <t>（元/</t>
    </r>
    <r>
      <rPr>
        <b/>
        <sz val="12"/>
        <color theme="1"/>
        <rFont val="华文仿宋"/>
        <family val="3"/>
        <charset val="134"/>
      </rPr>
      <t>㎡</t>
    </r>
    <r>
      <rPr>
        <b/>
        <sz val="12"/>
        <color theme="1"/>
        <rFont val="仿宋_GB2312"/>
        <family val="3"/>
        <charset val="134"/>
      </rPr>
      <t>）</t>
    </r>
  </si>
  <si>
    <t>政府土地出让收益</t>
  </si>
  <si>
    <t>熟地价</t>
  </si>
  <si>
    <t>楼面熟地单价</t>
  </si>
  <si>
    <t>需补缴地价款</t>
  </si>
  <si>
    <r>
      <t>（</t>
    </r>
    <r>
      <rPr>
        <b/>
        <sz val="12"/>
        <color rgb="FF000000"/>
        <rFont val="华文仿宋"/>
        <family val="3"/>
        <charset val="134"/>
      </rPr>
      <t>㎡</t>
    </r>
    <r>
      <rPr>
        <b/>
        <sz val="12"/>
        <color rgb="FF000000"/>
        <rFont val="仿宋_GB2312"/>
        <family val="3"/>
        <charset val="134"/>
      </rPr>
      <t>）</t>
    </r>
  </si>
  <si>
    <r>
      <t>（元/</t>
    </r>
    <r>
      <rPr>
        <b/>
        <sz val="12"/>
        <color rgb="FF000000"/>
        <rFont val="华文仿宋"/>
        <family val="3"/>
        <charset val="134"/>
      </rPr>
      <t>㎡</t>
    </r>
    <r>
      <rPr>
        <b/>
        <sz val="12"/>
        <color rgb="FF000000"/>
        <rFont val="仿宋_GB2312"/>
        <family val="3"/>
        <charset val="134"/>
      </rPr>
      <t>）</t>
    </r>
  </si>
  <si>
    <t>政府土地出让收益单价</t>
  </si>
  <si>
    <t>地面单价</t>
  </si>
  <si>
    <t>新增面积</t>
  </si>
  <si>
    <t>商业金融</t>
  </si>
  <si>
    <t>（缩减）</t>
  </si>
  <si>
    <t>权重楼面熟地总价</t>
    <phoneticPr fontId="233" type="noConversion"/>
  </si>
  <si>
    <t>（减少）</t>
    <phoneticPr fontId="233" type="noConversion"/>
  </si>
  <si>
    <t>（缩减）</t>
    <phoneticPr fontId="233" type="noConversion"/>
  </si>
  <si>
    <t>减少</t>
    <phoneticPr fontId="233" type="noConversion"/>
  </si>
  <si>
    <t>（缩减）</t>
    <phoneticPr fontId="233" type="noConversion"/>
  </si>
  <si>
    <t>城市主干道——赵登禹路</t>
    <phoneticPr fontId="27" type="noConversion"/>
  </si>
  <si>
    <t>城市主干道——车公庄西路</t>
    <phoneticPr fontId="27" type="noConversion"/>
  </si>
  <si>
    <t>估价对象所在区域公共配套设施齐备</t>
    <phoneticPr fontId="3" type="noConversion"/>
  </si>
  <si>
    <t>估价对象所在区域基础设施水平达到七通</t>
    <phoneticPr fontId="3" type="noConversion"/>
  </si>
  <si>
    <t>位于月坛商圈，办公楼项目较多，入住率较高，办公集聚程度较好。</t>
    <phoneticPr fontId="27" type="noConversion"/>
  </si>
  <si>
    <t>城市支路——南礼士路二条</t>
    <phoneticPr fontId="27" type="noConversion"/>
  </si>
  <si>
    <r>
      <rPr>
        <sz val="11"/>
        <rFont val="宋体"/>
        <family val="3"/>
        <charset val="134"/>
      </rPr>
      <t>案例</t>
    </r>
    <r>
      <rPr>
        <sz val="11"/>
        <rFont val="Arial"/>
        <family val="2"/>
      </rPr>
      <t>A</t>
    </r>
    <r>
      <rPr>
        <sz val="11"/>
        <rFont val="宋体"/>
        <family val="3"/>
        <charset val="134"/>
      </rPr>
      <t>紧邻城市主干道—车公庄西路，临近西二环路，距首都机场约</t>
    </r>
    <r>
      <rPr>
        <sz val="11"/>
        <rFont val="Arial"/>
        <family val="2"/>
      </rPr>
      <t>28</t>
    </r>
    <r>
      <rPr>
        <sz val="11"/>
        <rFont val="宋体"/>
        <family val="3"/>
        <charset val="134"/>
      </rPr>
      <t>公里、距南苑机场约</t>
    </r>
    <r>
      <rPr>
        <sz val="11"/>
        <rFont val="Arial"/>
        <family val="2"/>
      </rPr>
      <t>17</t>
    </r>
    <r>
      <rPr>
        <sz val="11"/>
        <rFont val="宋体"/>
        <family val="3"/>
        <charset val="134"/>
      </rPr>
      <t>公里、距北京西客站约</t>
    </r>
    <r>
      <rPr>
        <sz val="11"/>
        <rFont val="Arial"/>
        <family val="2"/>
      </rPr>
      <t>5</t>
    </r>
    <r>
      <rPr>
        <sz val="11"/>
        <rFont val="宋体"/>
        <family val="3"/>
        <charset val="134"/>
      </rPr>
      <t>公里，距北京火车站约</t>
    </r>
    <r>
      <rPr>
        <sz val="11"/>
        <rFont val="Arial"/>
        <family val="2"/>
      </rPr>
      <t>8</t>
    </r>
    <r>
      <rPr>
        <sz val="11"/>
        <rFont val="宋体"/>
        <family val="3"/>
        <charset val="134"/>
      </rPr>
      <t>公里、周边有</t>
    </r>
    <r>
      <rPr>
        <sz val="11"/>
        <rFont val="Arial"/>
        <family val="2"/>
      </rPr>
      <t>61</t>
    </r>
    <r>
      <rPr>
        <sz val="11"/>
        <rFont val="宋体"/>
        <family val="3"/>
        <charset val="134"/>
      </rPr>
      <t>路、</t>
    </r>
    <r>
      <rPr>
        <sz val="11"/>
        <rFont val="Arial"/>
        <family val="2"/>
      </rPr>
      <t>80</t>
    </r>
    <r>
      <rPr>
        <sz val="11"/>
        <rFont val="宋体"/>
        <family val="3"/>
        <charset val="134"/>
      </rPr>
      <t>路、</t>
    </r>
    <r>
      <rPr>
        <sz val="11"/>
        <rFont val="Arial"/>
        <family val="2"/>
      </rPr>
      <t>101</t>
    </r>
    <r>
      <rPr>
        <sz val="11"/>
        <rFont val="宋体"/>
        <family val="3"/>
        <charset val="134"/>
      </rPr>
      <t>路、</t>
    </r>
    <r>
      <rPr>
        <sz val="11"/>
        <rFont val="Arial"/>
        <family val="2"/>
      </rPr>
      <t>102</t>
    </r>
    <r>
      <rPr>
        <sz val="11"/>
        <rFont val="宋体"/>
        <family val="3"/>
        <charset val="134"/>
      </rPr>
      <t>路、</t>
    </r>
    <r>
      <rPr>
        <sz val="11"/>
        <rFont val="Arial"/>
        <family val="2"/>
      </rPr>
      <t>121</t>
    </r>
    <r>
      <rPr>
        <sz val="11"/>
        <rFont val="宋体"/>
        <family val="3"/>
        <charset val="134"/>
      </rPr>
      <t>路等</t>
    </r>
    <r>
      <rPr>
        <sz val="11"/>
        <rFont val="Arial"/>
        <family val="2"/>
      </rPr>
      <t>20</t>
    </r>
    <r>
      <rPr>
        <sz val="11"/>
        <rFont val="宋体"/>
        <family val="3"/>
        <charset val="134"/>
      </rPr>
      <t>余条公交线路通过，距地铁</t>
    </r>
    <r>
      <rPr>
        <sz val="11"/>
        <rFont val="Arial"/>
        <family val="2"/>
      </rPr>
      <t>2</t>
    </r>
    <r>
      <rPr>
        <sz val="11"/>
        <rFont val="宋体"/>
        <family val="3"/>
        <charset val="134"/>
      </rPr>
      <t>、</t>
    </r>
    <r>
      <rPr>
        <sz val="11"/>
        <rFont val="Arial"/>
        <family val="2"/>
      </rPr>
      <t>6</t>
    </r>
    <r>
      <rPr>
        <sz val="11"/>
        <rFont val="宋体"/>
        <family val="3"/>
        <charset val="134"/>
      </rPr>
      <t>号线（车公庄站）约</t>
    </r>
    <r>
      <rPr>
        <sz val="11"/>
        <rFont val="Arial"/>
        <family val="2"/>
      </rPr>
      <t>600</t>
    </r>
    <r>
      <rPr>
        <sz val="11"/>
        <rFont val="宋体"/>
        <family val="3"/>
        <charset val="134"/>
      </rPr>
      <t>米、距地铁</t>
    </r>
    <r>
      <rPr>
        <sz val="11"/>
        <rFont val="Arial"/>
        <family val="2"/>
      </rPr>
      <t>2</t>
    </r>
    <r>
      <rPr>
        <sz val="11"/>
        <rFont val="宋体"/>
        <family val="3"/>
        <charset val="134"/>
      </rPr>
      <t>、</t>
    </r>
    <r>
      <rPr>
        <sz val="11"/>
        <rFont val="Arial"/>
        <family val="2"/>
      </rPr>
      <t>4</t>
    </r>
    <r>
      <rPr>
        <sz val="11"/>
        <rFont val="宋体"/>
        <family val="3"/>
        <charset val="134"/>
      </rPr>
      <t>、</t>
    </r>
    <r>
      <rPr>
        <sz val="11"/>
        <rFont val="Arial"/>
        <family val="2"/>
      </rPr>
      <t>13</t>
    </r>
    <r>
      <rPr>
        <sz val="11"/>
        <rFont val="宋体"/>
        <family val="3"/>
        <charset val="134"/>
      </rPr>
      <t>号线（西直门站）约</t>
    </r>
    <r>
      <rPr>
        <sz val="11"/>
        <rFont val="Arial"/>
        <family val="2"/>
      </rPr>
      <t>1000</t>
    </r>
    <r>
      <rPr>
        <sz val="11"/>
        <rFont val="宋体"/>
        <family val="3"/>
        <charset val="134"/>
      </rPr>
      <t>米，交通便捷度较好。</t>
    </r>
    <phoneticPr fontId="27" type="noConversion"/>
  </si>
  <si>
    <t>西城区后帽胡同23号</t>
    <phoneticPr fontId="3" type="noConversion"/>
  </si>
  <si>
    <t>月坛理想大厦</t>
    <phoneticPr fontId="3" type="noConversion"/>
  </si>
  <si>
    <t>估价对象位于西直门商圈，估价对象周边主要以居住为主，办公楼项目较少，办公集聚程度一般。</t>
    <phoneticPr fontId="3" type="noConversion"/>
  </si>
  <si>
    <t>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t>
    <phoneticPr fontId="3" type="noConversion"/>
  </si>
  <si>
    <t>区域自然环境：官园公园、什刹海公园、北海公园；人文环境：妙应寺白塔、恭王府、历代帝王庙、梅兰芳纪念馆、西直门天主教堂、西城区图书馆；综合评价环境状况好。</t>
    <phoneticPr fontId="3" type="noConversion"/>
  </si>
  <si>
    <t>位于展览路商圈，办公楼项目较多，入住率较高，办公集聚程度较好。</t>
    <phoneticPr fontId="3" type="noConversion"/>
  </si>
  <si>
    <t>位于黄寺（中轴路）商圈，办公楼项目较多，入住率较高，办公集聚程度较好。</t>
    <phoneticPr fontId="27" type="noConversion"/>
  </si>
  <si>
    <r>
      <rPr>
        <sz val="11"/>
        <rFont val="宋体"/>
        <family val="3"/>
        <charset val="134"/>
      </rPr>
      <t>案例</t>
    </r>
    <r>
      <rPr>
        <sz val="11"/>
        <rFont val="Arial"/>
        <family val="2"/>
      </rPr>
      <t>B</t>
    </r>
    <r>
      <rPr>
        <sz val="11"/>
        <rFont val="宋体"/>
        <family val="3"/>
        <charset val="134"/>
      </rPr>
      <t>紧邻城市次干道—黄寺大街，临近德胜门外大街，距首都机场约</t>
    </r>
    <r>
      <rPr>
        <sz val="11"/>
        <rFont val="Arial"/>
        <family val="2"/>
      </rPr>
      <t>23</t>
    </r>
    <r>
      <rPr>
        <sz val="11"/>
        <rFont val="宋体"/>
        <family val="3"/>
        <charset val="134"/>
      </rPr>
      <t>公里、距南苑机场约</t>
    </r>
    <r>
      <rPr>
        <sz val="11"/>
        <rFont val="Arial"/>
        <family val="2"/>
      </rPr>
      <t>20</t>
    </r>
    <r>
      <rPr>
        <sz val="11"/>
        <rFont val="宋体"/>
        <family val="3"/>
        <charset val="134"/>
      </rPr>
      <t>公里、距北京站约</t>
    </r>
    <r>
      <rPr>
        <sz val="11"/>
        <rFont val="Arial"/>
        <family val="2"/>
      </rPr>
      <t>8</t>
    </r>
    <r>
      <rPr>
        <sz val="11"/>
        <rFont val="宋体"/>
        <family val="3"/>
        <charset val="134"/>
      </rPr>
      <t>公里，距北京西客站约</t>
    </r>
    <r>
      <rPr>
        <sz val="11"/>
        <rFont val="Arial"/>
        <family val="2"/>
      </rPr>
      <t>9</t>
    </r>
    <r>
      <rPr>
        <sz val="11"/>
        <rFont val="宋体"/>
        <family val="3"/>
        <charset val="134"/>
      </rPr>
      <t>公里，周边有</t>
    </r>
    <r>
      <rPr>
        <sz val="11"/>
        <rFont val="Arial"/>
        <family val="2"/>
      </rPr>
      <t>5</t>
    </r>
    <r>
      <rPr>
        <sz val="11"/>
        <rFont val="宋体"/>
        <family val="3"/>
        <charset val="134"/>
      </rPr>
      <t>路、</t>
    </r>
    <r>
      <rPr>
        <sz val="11"/>
        <rFont val="Arial"/>
        <family val="2"/>
      </rPr>
      <t>55</t>
    </r>
    <r>
      <rPr>
        <sz val="11"/>
        <rFont val="宋体"/>
        <family val="3"/>
        <charset val="134"/>
      </rPr>
      <t>路、</t>
    </r>
    <r>
      <rPr>
        <sz val="11"/>
        <rFont val="Arial"/>
        <family val="2"/>
      </rPr>
      <t>123</t>
    </r>
    <r>
      <rPr>
        <sz val="11"/>
        <rFont val="宋体"/>
        <family val="3"/>
        <charset val="134"/>
      </rPr>
      <t>路、</t>
    </r>
    <r>
      <rPr>
        <sz val="11"/>
        <rFont val="Arial"/>
        <family val="2"/>
      </rPr>
      <t>345</t>
    </r>
    <r>
      <rPr>
        <sz val="11"/>
        <rFont val="宋体"/>
        <family val="3"/>
        <charset val="134"/>
      </rPr>
      <t>路等多条公交线路经过，距地铁</t>
    </r>
    <r>
      <rPr>
        <sz val="11"/>
        <rFont val="Arial"/>
        <family val="2"/>
      </rPr>
      <t>8</t>
    </r>
    <r>
      <rPr>
        <sz val="11"/>
        <rFont val="宋体"/>
        <family val="3"/>
        <charset val="134"/>
      </rPr>
      <t>号线（安德里北街站）约</t>
    </r>
    <r>
      <rPr>
        <sz val="11"/>
        <rFont val="Arial"/>
        <family val="2"/>
      </rPr>
      <t>1100</t>
    </r>
    <r>
      <rPr>
        <sz val="11"/>
        <rFont val="宋体"/>
        <family val="3"/>
        <charset val="134"/>
      </rPr>
      <t>米，交通便捷度较好。</t>
    </r>
    <phoneticPr fontId="27" type="noConversion"/>
  </si>
  <si>
    <r>
      <rPr>
        <sz val="11"/>
        <rFont val="宋体"/>
        <family val="3"/>
        <charset val="134"/>
      </rPr>
      <t>案例</t>
    </r>
    <r>
      <rPr>
        <sz val="11"/>
        <rFont val="Arial"/>
        <family val="2"/>
      </rPr>
      <t>C</t>
    </r>
    <r>
      <rPr>
        <sz val="11"/>
        <rFont val="宋体"/>
        <family val="3"/>
        <charset val="134"/>
      </rPr>
      <t>紧邻城市支路——南礼士路二条，临近月坛南街，距首都机场约</t>
    </r>
    <r>
      <rPr>
        <sz val="11"/>
        <rFont val="Arial"/>
        <family val="2"/>
      </rPr>
      <t>29</t>
    </r>
    <r>
      <rPr>
        <sz val="11"/>
        <rFont val="宋体"/>
        <family val="3"/>
        <charset val="134"/>
      </rPr>
      <t>公里、距南苑机场约</t>
    </r>
    <r>
      <rPr>
        <sz val="11"/>
        <rFont val="Arial"/>
        <family val="2"/>
      </rPr>
      <t>15</t>
    </r>
    <r>
      <rPr>
        <sz val="11"/>
        <rFont val="宋体"/>
        <family val="3"/>
        <charset val="134"/>
      </rPr>
      <t>公里、距北京西客站约</t>
    </r>
    <r>
      <rPr>
        <sz val="11"/>
        <rFont val="Arial"/>
        <family val="2"/>
      </rPr>
      <t>3</t>
    </r>
    <r>
      <rPr>
        <sz val="11"/>
        <rFont val="宋体"/>
        <family val="3"/>
        <charset val="134"/>
      </rPr>
      <t>公里，距北京南站约</t>
    </r>
    <r>
      <rPr>
        <sz val="11"/>
        <rFont val="Arial"/>
        <family val="2"/>
      </rPr>
      <t>6</t>
    </r>
    <r>
      <rPr>
        <sz val="11"/>
        <rFont val="宋体"/>
        <family val="3"/>
        <charset val="134"/>
      </rPr>
      <t>公里、周边有</t>
    </r>
    <r>
      <rPr>
        <sz val="11"/>
        <rFont val="Arial"/>
        <family val="2"/>
      </rPr>
      <t>3</t>
    </r>
    <r>
      <rPr>
        <sz val="11"/>
        <rFont val="宋体"/>
        <family val="3"/>
        <charset val="134"/>
      </rPr>
      <t>路、</t>
    </r>
    <r>
      <rPr>
        <sz val="11"/>
        <rFont val="Arial"/>
        <family val="2"/>
      </rPr>
      <t>15</t>
    </r>
    <r>
      <rPr>
        <sz val="11"/>
        <rFont val="宋体"/>
        <family val="3"/>
        <charset val="134"/>
      </rPr>
      <t>路、</t>
    </r>
    <r>
      <rPr>
        <sz val="11"/>
        <rFont val="Arial"/>
        <family val="2"/>
      </rPr>
      <t>19</t>
    </r>
    <r>
      <rPr>
        <sz val="11"/>
        <rFont val="宋体"/>
        <family val="3"/>
        <charset val="134"/>
      </rPr>
      <t>路、</t>
    </r>
    <r>
      <rPr>
        <sz val="11"/>
        <rFont val="Arial"/>
        <family val="2"/>
      </rPr>
      <t>42</t>
    </r>
    <r>
      <rPr>
        <sz val="11"/>
        <rFont val="宋体"/>
        <family val="3"/>
        <charset val="134"/>
      </rPr>
      <t>路等多条公交线路通过，距地铁</t>
    </r>
    <r>
      <rPr>
        <sz val="11"/>
        <rFont val="Arial"/>
        <family val="2"/>
      </rPr>
      <t>1</t>
    </r>
    <r>
      <rPr>
        <sz val="11"/>
        <rFont val="宋体"/>
        <family val="3"/>
        <charset val="134"/>
      </rPr>
      <t>、</t>
    </r>
    <r>
      <rPr>
        <sz val="11"/>
        <rFont val="Arial"/>
        <family val="2"/>
      </rPr>
      <t>2</t>
    </r>
    <r>
      <rPr>
        <sz val="11"/>
        <rFont val="宋体"/>
        <family val="3"/>
        <charset val="134"/>
      </rPr>
      <t>号线（复兴门站）约</t>
    </r>
    <r>
      <rPr>
        <sz val="11"/>
        <rFont val="Arial"/>
        <family val="2"/>
      </rPr>
      <t>700</t>
    </r>
    <r>
      <rPr>
        <sz val="11"/>
        <rFont val="宋体"/>
        <family val="3"/>
        <charset val="134"/>
      </rPr>
      <t>米，交通便捷度一般。</t>
    </r>
    <phoneticPr fontId="27" type="noConversion"/>
  </si>
  <si>
    <t>区域自然环境：北京古动物馆、北京动物园；人文环境：北京天文馆、首都体育馆、北京动物园、国家图书馆、百万庄图书大厦；综合评价环境状况好。</t>
    <phoneticPr fontId="3" type="noConversion"/>
  </si>
  <si>
    <t>区域自然环境：柳荫公园、青年湖公园、护城河；人文环境：北京师范大学、元大都城垣遗址、德胜门箭楼；综合评价环境状况好。</t>
    <phoneticPr fontId="3" type="noConversion"/>
  </si>
  <si>
    <t>区域自然环境：北京玉渊潭公园、南礼士路公园、月坛公园；人文环境：、百万庄图书大厦、西城青少年科技馆、首都博物馆；综合评价环境状况好。</t>
    <phoneticPr fontId="3" type="noConversion"/>
  </si>
  <si>
    <t>城市主干道——车公庄西路</t>
    <phoneticPr fontId="27" type="noConversion"/>
  </si>
  <si>
    <t>成新度</t>
  </si>
  <si>
    <t>http://zu.fang.com/house/s31-kw%c8%fd%bd%f8%cb%c4%ba%cf%d4%ba/</t>
  </si>
  <si>
    <t>地上（办公）50年</t>
    <phoneticPr fontId="233" type="noConversion"/>
  </si>
  <si>
    <t>城市主干道——赵登禹路</t>
    <phoneticPr fontId="27" type="noConversion"/>
  </si>
  <si>
    <t>德胜置业大厦</t>
    <phoneticPr fontId="3" type="noConversion"/>
  </si>
  <si>
    <t>地上商业（40年）</t>
    <phoneticPr fontId="233" type="noConversion"/>
  </si>
  <si>
    <t>需补缴地价款</t>
    <phoneticPr fontId="277" type="noConversion"/>
  </si>
  <si>
    <t>调整</t>
  </si>
  <si>
    <t>——</t>
    <phoneticPr fontId="233" type="noConversion"/>
  </si>
  <si>
    <t>地上（商业）</t>
    <phoneticPr fontId="233" type="noConversion"/>
  </si>
  <si>
    <t>地下（办公）</t>
    <phoneticPr fontId="233" type="noConversion"/>
  </si>
  <si>
    <t>地下（商业）</t>
    <phoneticPr fontId="233" type="noConversion"/>
  </si>
  <si>
    <t>调整用途面积</t>
    <phoneticPr fontId="233" type="noConversion"/>
  </si>
  <si>
    <t>增加面积</t>
    <phoneticPr fontId="233" type="noConversion"/>
  </si>
  <si>
    <t>商业金融</t>
    <phoneticPr fontId="233" type="noConversion"/>
  </si>
  <si>
    <t>商务金融</t>
    <phoneticPr fontId="233" type="noConversion"/>
  </si>
  <si>
    <t>商业、商务金融用途之差</t>
    <phoneticPr fontId="233" type="noConversion"/>
  </si>
  <si>
    <t>商务金融</t>
    <phoneticPr fontId="233" type="noConversion"/>
  </si>
  <si>
    <t>地下商业金融</t>
  </si>
  <si>
    <t>地下商业金融</t>
    <phoneticPr fontId="233" type="noConversion"/>
  </si>
  <si>
    <t>地下商务金融</t>
  </si>
  <si>
    <t>地上（调整用途）</t>
    <phoneticPr fontId="233" type="noConversion"/>
  </si>
  <si>
    <t>地下（调整用途）</t>
    <phoneticPr fontId="233" type="noConversion"/>
  </si>
  <si>
    <t>小计</t>
    <phoneticPr fontId="233" type="noConversion"/>
  </si>
  <si>
    <t>地下仓储</t>
    <phoneticPr fontId="233" type="noConversion"/>
  </si>
  <si>
    <t>商业金融</t>
    <phoneticPr fontId="233" type="noConversion"/>
  </si>
  <si>
    <t>小计</t>
    <phoneticPr fontId="233" type="noConversion"/>
  </si>
  <si>
    <r>
      <rPr>
        <sz val="12"/>
        <color theme="1"/>
        <rFont val="仿宋_GB2312"/>
        <family val="3"/>
        <charset val="134"/>
      </rPr>
      <t>商业金融</t>
    </r>
    <phoneticPr fontId="233" type="noConversion"/>
  </si>
  <si>
    <r>
      <rPr>
        <sz val="12"/>
        <color theme="1"/>
        <rFont val="仿宋_GB2312"/>
        <family val="3"/>
        <charset val="134"/>
      </rPr>
      <t>地下仓储</t>
    </r>
    <phoneticPr fontId="233" type="noConversion"/>
  </si>
  <si>
    <r>
      <rPr>
        <sz val="12"/>
        <color theme="1"/>
        <rFont val="仿宋_GB2312"/>
        <family val="3"/>
        <charset val="134"/>
      </rPr>
      <t>地上（增加用途）</t>
    </r>
    <phoneticPr fontId="233" type="noConversion"/>
  </si>
  <si>
    <r>
      <rPr>
        <sz val="12"/>
        <color theme="1"/>
        <rFont val="仿宋_GB2312"/>
        <family val="3"/>
        <charset val="134"/>
      </rPr>
      <t>地下（减少用途）</t>
    </r>
    <phoneticPr fontId="233" type="noConversion"/>
  </si>
  <si>
    <t>合计</t>
    <phoneticPr fontId="233" type="noConversion"/>
  </si>
  <si>
    <t>地下商业（40年）</t>
    <phoneticPr fontId="233" type="noConversion"/>
  </si>
  <si>
    <t>地下商业、地下商务用途之差</t>
    <phoneticPr fontId="233" type="noConversion"/>
  </si>
  <si>
    <t>地下商业金融</t>
    <phoneticPr fontId="233" type="noConversion"/>
  </si>
  <si>
    <t>地下商务金融</t>
    <phoneticPr fontId="233" type="noConversion"/>
  </si>
  <si>
    <t>新增</t>
    <phoneticPr fontId="233" type="noConversion"/>
  </si>
  <si>
    <t>调整用途</t>
    <phoneticPr fontId="233" type="noConversion"/>
  </si>
  <si>
    <t>减少</t>
    <phoneticPr fontId="233" type="noConversion"/>
  </si>
  <si>
    <t>--</t>
    <phoneticPr fontId="233" type="noConversion"/>
  </si>
  <si>
    <t>地下（调整用途）</t>
    <phoneticPr fontId="233" type="noConversion"/>
  </si>
  <si>
    <t>地下（仓储)40.07年</t>
    <phoneticPr fontId="233" type="noConversion"/>
  </si>
  <si>
    <t>地下（办公）50年</t>
    <phoneticPr fontId="233" type="noConversion"/>
  </si>
  <si>
    <t>小计</t>
    <phoneticPr fontId="233" type="noConversion"/>
  </si>
</sst>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b/>
      <sz val="12"/>
      <color theme="1"/>
      <name val="Adobe 黑体 Std R"/>
      <family val="2"/>
      <charset val="134"/>
    </font>
    <font>
      <sz val="18"/>
      <color theme="1"/>
      <name val="宋体"/>
      <family val="3"/>
      <charset val="134"/>
      <scheme val="minor"/>
    </font>
    <font>
      <sz val="10.5"/>
      <color theme="1"/>
      <name val="Calibri"/>
      <family val="2"/>
    </font>
    <font>
      <b/>
      <sz val="12"/>
      <color theme="1"/>
      <name val="仿宋_GB2312"/>
      <family val="3"/>
      <charset val="134"/>
    </font>
    <font>
      <b/>
      <sz val="12"/>
      <color rgb="FF000000"/>
      <name val="华文仿宋"/>
      <family val="3"/>
      <charset val="134"/>
    </font>
    <font>
      <b/>
      <sz val="12"/>
      <color theme="1"/>
      <name val="华文仿宋"/>
      <family val="3"/>
      <charset val="134"/>
    </font>
    <font>
      <b/>
      <sz val="12"/>
      <color rgb="FF000000"/>
      <name val="仿宋_GB2312"/>
      <family val="3"/>
      <charset val="134"/>
    </font>
    <font>
      <sz val="12"/>
      <color rgb="FFFF0000"/>
      <name val="Arial"/>
      <family val="2"/>
    </font>
    <font>
      <sz val="12"/>
      <color rgb="FF000000"/>
      <name val="仿宋_GB2312"/>
      <family val="3"/>
      <charset val="134"/>
    </font>
    <font>
      <sz val="12"/>
      <color theme="1"/>
      <name val="Arial Unicode MS"/>
      <family val="2"/>
      <charset val="134"/>
    </font>
    <font>
      <b/>
      <sz val="9"/>
      <color indexed="81"/>
      <name val="Tahoma"/>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theme="7" tint="0.39997558519241921"/>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
      <left/>
      <right style="medium">
        <color rgb="FF000000"/>
      </right>
      <top/>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7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8" fillId="2" borderId="20" xfId="0" applyFont="1" applyFill="1" applyBorder="1" applyAlignment="1" applyProtection="1">
      <alignment horizontal="left" vertical="center" wrapText="1"/>
      <protection locked="0"/>
    </xf>
    <xf numFmtId="179" fontId="76" fillId="3" borderId="5" xfId="0" applyNumberFormat="1" applyFont="1" applyFill="1" applyBorder="1" applyAlignment="1" applyProtection="1">
      <alignment horizontal="center" vertical="center" wrapText="1"/>
      <protection locked="0"/>
    </xf>
    <xf numFmtId="177" fontId="76" fillId="6" borderId="2" xfId="2" applyNumberFormat="1" applyFont="1" applyFill="1" applyBorder="1" applyAlignment="1" applyProtection="1">
      <alignment horizontal="center" vertical="center"/>
      <protection locked="0"/>
    </xf>
    <xf numFmtId="0" fontId="0" fillId="0" borderId="0" xfId="0" applyAlignment="1">
      <alignment horizontal="center" vertical="center"/>
    </xf>
    <xf numFmtId="0" fontId="0" fillId="17" borderId="2" xfId="0" applyFill="1" applyBorder="1" applyAlignment="1">
      <alignment horizontal="center" vertical="center"/>
    </xf>
    <xf numFmtId="0" fontId="0" fillId="9" borderId="2" xfId="0" applyFill="1" applyBorder="1">
      <alignment vertical="center"/>
    </xf>
    <xf numFmtId="0" fontId="0" fillId="9" borderId="2" xfId="0" applyFill="1" applyBorder="1" applyAlignment="1">
      <alignment horizontal="center" vertical="center"/>
    </xf>
    <xf numFmtId="0" fontId="145" fillId="6" borderId="2" xfId="0" applyFont="1" applyFill="1" applyBorder="1" applyAlignment="1">
      <alignment horizontal="center" vertical="center"/>
    </xf>
    <xf numFmtId="0" fontId="145" fillId="9" borderId="2" xfId="0" applyFont="1" applyFill="1" applyBorder="1" applyAlignment="1">
      <alignment horizontal="center" vertical="center"/>
    </xf>
    <xf numFmtId="0" fontId="145" fillId="17" borderId="2" xfId="0" applyFont="1" applyFill="1" applyBorder="1" applyAlignment="1">
      <alignment horizontal="center" vertical="center"/>
    </xf>
    <xf numFmtId="0" fontId="145" fillId="9" borderId="2" xfId="0" applyFont="1" applyFill="1" applyBorder="1" applyAlignment="1">
      <alignment vertical="center" wrapText="1"/>
    </xf>
    <xf numFmtId="0" fontId="0" fillId="9" borderId="2" xfId="0" applyFill="1" applyBorder="1" applyAlignment="1">
      <alignment vertical="center" wrapText="1"/>
    </xf>
    <xf numFmtId="0" fontId="145" fillId="17" borderId="2" xfId="0" applyFont="1" applyFill="1" applyBorder="1" applyAlignment="1">
      <alignment vertical="center" wrapText="1"/>
    </xf>
    <xf numFmtId="0" fontId="0" fillId="17" borderId="2" xfId="0" applyFill="1" applyBorder="1" applyAlignment="1">
      <alignment vertical="center" wrapText="1"/>
    </xf>
    <xf numFmtId="0" fontId="278" fillId="6" borderId="2" xfId="0" applyFont="1" applyFill="1" applyBorder="1" applyAlignment="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25" xfId="0" applyFont="1" applyFill="1" applyBorder="1" applyAlignment="1" applyProtection="1">
      <alignment horizontal="center" vertical="center" wrapText="1"/>
      <protection locked="0"/>
    </xf>
    <xf numFmtId="0" fontId="80" fillId="0" borderId="0" xfId="0" applyFont="1" applyFill="1" applyAlignment="1" applyProtection="1">
      <alignment horizontal="center" vertical="center"/>
      <protection locked="0"/>
    </xf>
    <xf numFmtId="0" fontId="145" fillId="9" borderId="0" xfId="0" applyFont="1" applyFill="1" applyBorder="1" applyAlignment="1">
      <alignment horizontal="center" vertical="center"/>
    </xf>
    <xf numFmtId="0" fontId="0" fillId="9" borderId="0" xfId="0" applyFill="1" applyBorder="1" applyAlignment="1">
      <alignment horizontal="center" vertical="center"/>
    </xf>
    <xf numFmtId="0" fontId="281" fillId="0" borderId="39" xfId="0" applyFont="1" applyBorder="1" applyAlignment="1">
      <alignment horizontal="center" vertical="center" wrapText="1"/>
    </xf>
    <xf numFmtId="0" fontId="281" fillId="0" borderId="65" xfId="0" applyFont="1" applyBorder="1" applyAlignment="1">
      <alignment horizontal="center" vertical="center" wrapText="1"/>
    </xf>
    <xf numFmtId="0" fontId="281" fillId="0" borderId="66" xfId="0" applyFont="1" applyBorder="1" applyAlignment="1">
      <alignment horizontal="center" vertical="center" wrapText="1"/>
    </xf>
    <xf numFmtId="0" fontId="0" fillId="0" borderId="66" xfId="0" applyBorder="1" applyAlignment="1">
      <alignment vertical="center" wrapText="1"/>
    </xf>
    <xf numFmtId="0" fontId="195" fillId="0" borderId="65" xfId="0" applyFont="1" applyBorder="1" applyAlignment="1">
      <alignment horizontal="center" vertical="center" wrapText="1"/>
    </xf>
    <xf numFmtId="0" fontId="176" fillId="0" borderId="65" xfId="0" applyFont="1" applyBorder="1" applyAlignment="1">
      <alignment horizontal="center" vertical="center" wrapText="1"/>
    </xf>
    <xf numFmtId="0" fontId="195" fillId="0" borderId="66" xfId="0" applyFont="1" applyBorder="1" applyAlignment="1">
      <alignment horizontal="center" vertical="center" wrapText="1"/>
    </xf>
    <xf numFmtId="0" fontId="176" fillId="0" borderId="66" xfId="0" applyFont="1" applyBorder="1" applyAlignment="1">
      <alignment horizontal="center" vertical="center" wrapText="1"/>
    </xf>
    <xf numFmtId="0" fontId="195" fillId="0" borderId="80" xfId="0" applyFont="1" applyBorder="1" applyAlignment="1">
      <alignment horizontal="center" vertical="center" wrapText="1"/>
    </xf>
    <xf numFmtId="0" fontId="280" fillId="0" borderId="0" xfId="0" applyFont="1" applyAlignment="1">
      <alignment vertical="center" wrapText="1"/>
    </xf>
    <xf numFmtId="0" fontId="154" fillId="0" borderId="66" xfId="0" applyFont="1" applyBorder="1" applyAlignment="1">
      <alignment horizontal="center" vertical="center" wrapText="1"/>
    </xf>
    <xf numFmtId="0" fontId="194" fillId="0" borderId="0" xfId="0" applyFont="1">
      <alignment vertical="center"/>
    </xf>
    <xf numFmtId="0" fontId="281" fillId="0" borderId="38" xfId="0" applyFont="1" applyBorder="1" applyAlignment="1">
      <alignment horizontal="center" vertical="center" wrapText="1"/>
    </xf>
    <xf numFmtId="0" fontId="284" fillId="0" borderId="38"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66" xfId="0" applyFont="1" applyBorder="1" applyAlignment="1">
      <alignment horizontal="center" vertical="center" wrapText="1"/>
    </xf>
    <xf numFmtId="0" fontId="186" fillId="0" borderId="0" xfId="0" applyFont="1">
      <alignment vertical="center"/>
    </xf>
    <xf numFmtId="0" fontId="0" fillId="0" borderId="154" xfId="0" applyBorder="1" applyAlignment="1">
      <alignment vertical="center" wrapText="1"/>
    </xf>
    <xf numFmtId="0" fontId="285" fillId="0" borderId="66" xfId="0" applyFont="1" applyBorder="1" applyAlignment="1">
      <alignment horizontal="center" vertical="center" wrapText="1"/>
    </xf>
    <xf numFmtId="0" fontId="172" fillId="0" borderId="66" xfId="0" applyFont="1" applyBorder="1" applyAlignment="1">
      <alignment horizontal="center" vertical="center" wrapText="1"/>
    </xf>
    <xf numFmtId="0" fontId="154" fillId="0" borderId="65" xfId="0" applyFont="1" applyBorder="1" applyAlignment="1">
      <alignment horizontal="center" vertical="center" wrapText="1"/>
    </xf>
    <xf numFmtId="0" fontId="0" fillId="17" borderId="0" xfId="0" applyFill="1" applyAlignment="1">
      <alignment vertical="center" wrapText="1"/>
    </xf>
    <xf numFmtId="0" fontId="0" fillId="9" borderId="0" xfId="0" applyFill="1" applyAlignment="1">
      <alignment vertical="center" wrapText="1"/>
    </xf>
    <xf numFmtId="0" fontId="0" fillId="9" borderId="0" xfId="0" applyFill="1">
      <alignment vertical="center"/>
    </xf>
    <xf numFmtId="0" fontId="0" fillId="18" borderId="0" xfId="0" applyFill="1">
      <alignment vertical="center"/>
    </xf>
    <xf numFmtId="0" fontId="285" fillId="0" borderId="80" xfId="0" applyFont="1" applyBorder="1" applyAlignment="1">
      <alignment vertical="center" wrapText="1"/>
    </xf>
    <xf numFmtId="0" fontId="285" fillId="0" borderId="156" xfId="0" applyFont="1" applyBorder="1" applyAlignment="1">
      <alignment vertical="center" wrapText="1"/>
    </xf>
    <xf numFmtId="0" fontId="285" fillId="0" borderId="79" xfId="0" applyFont="1" applyBorder="1" applyAlignment="1">
      <alignment vertical="center" wrapText="1"/>
    </xf>
    <xf numFmtId="0" fontId="285" fillId="0" borderId="153" xfId="0" applyFont="1" applyBorder="1" applyAlignment="1">
      <alignment vertical="center" wrapText="1"/>
    </xf>
    <xf numFmtId="0" fontId="258" fillId="0" borderId="79" xfId="0" applyFont="1" applyBorder="1" applyAlignment="1">
      <alignment vertical="center" wrapText="1"/>
    </xf>
    <xf numFmtId="0" fontId="220" fillId="0" borderId="80" xfId="0" applyFont="1" applyBorder="1" applyAlignment="1">
      <alignment vertical="center" wrapText="1"/>
    </xf>
    <xf numFmtId="0" fontId="195" fillId="0" borderId="0" xfId="0" applyFont="1" applyBorder="1" applyAlignment="1">
      <alignment horizontal="center" vertical="center" wrapText="1"/>
    </xf>
    <xf numFmtId="0" fontId="176" fillId="0" borderId="0" xfId="0" applyFont="1" applyBorder="1" applyAlignment="1">
      <alignment horizontal="center" vertical="center" wrapText="1"/>
    </xf>
    <xf numFmtId="0" fontId="258" fillId="0" borderId="66" xfId="0" applyFont="1" applyBorder="1" applyAlignment="1">
      <alignment horizontal="center" vertical="center" wrapText="1"/>
    </xf>
    <xf numFmtId="0" fontId="145" fillId="0" borderId="0" xfId="0" applyFont="1">
      <alignment vertical="center"/>
    </xf>
    <xf numFmtId="0" fontId="154" fillId="0" borderId="35" xfId="0" applyFont="1" applyBorder="1" applyAlignment="1">
      <alignment vertical="center" wrapText="1"/>
    </xf>
    <xf numFmtId="0" fontId="232" fillId="0" borderId="80" xfId="0" applyFont="1" applyBorder="1" applyAlignment="1">
      <alignment vertical="center" wrapText="1"/>
    </xf>
    <xf numFmtId="49" fontId="266" fillId="0" borderId="1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10" fontId="149" fillId="0" borderId="2" xfId="3" applyNumberFormat="1" applyFont="1" applyFill="1" applyBorder="1" applyAlignment="1" applyProtection="1">
      <alignment horizontal="center" vertical="center"/>
    </xf>
    <xf numFmtId="9" fontId="152" fillId="0" borderId="2" xfId="3" applyNumberFormat="1"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xf>
    <xf numFmtId="182" fontId="149" fillId="0" borderId="2" xfId="3" applyNumberFormat="1" applyFont="1" applyFill="1" applyBorder="1" applyAlignment="1" applyProtection="1">
      <alignment horizontal="center" vertical="center"/>
    </xf>
    <xf numFmtId="9" fontId="152" fillId="0" borderId="44" xfId="3" applyNumberFormat="1" applyFont="1" applyFill="1" applyBorder="1" applyAlignment="1" applyProtection="1">
      <alignment horizontal="center" vertical="center" wrapText="1"/>
    </xf>
    <xf numFmtId="10" fontId="152" fillId="0" borderId="2" xfId="3" applyNumberFormat="1" applyFont="1" applyFill="1" applyBorder="1" applyAlignment="1" applyProtection="1">
      <alignment horizontal="center" vertical="center" wrapText="1"/>
    </xf>
    <xf numFmtId="49" fontId="164" fillId="0" borderId="2" xfId="3" applyNumberFormat="1" applyFont="1" applyFill="1" applyBorder="1" applyAlignment="1" applyProtection="1">
      <alignment horizontal="center" vertical="center" wrapText="1"/>
    </xf>
    <xf numFmtId="0" fontId="164" fillId="0" borderId="2" xfId="3" applyNumberFormat="1" applyFont="1" applyFill="1" applyBorder="1" applyAlignment="1" applyProtection="1">
      <alignment horizontal="center" vertical="center" wrapText="1"/>
    </xf>
    <xf numFmtId="49" fontId="164" fillId="0" borderId="44" xfId="3" applyNumberFormat="1" applyFont="1" applyFill="1" applyBorder="1" applyAlignment="1" applyProtection="1">
      <alignment horizontal="center" vertical="center" wrapText="1"/>
    </xf>
    <xf numFmtId="0" fontId="163" fillId="0" borderId="2" xfId="3" applyFont="1" applyFill="1" applyBorder="1" applyAlignment="1" applyProtection="1">
      <alignment horizontal="center" vertical="center" wrapText="1"/>
      <protection locked="0"/>
    </xf>
    <xf numFmtId="0" fontId="0" fillId="17" borderId="21" xfId="0" applyFill="1" applyBorder="1" applyAlignment="1">
      <alignment horizontal="center" vertical="center" wrapText="1"/>
    </xf>
    <xf numFmtId="0" fontId="71" fillId="9" borderId="64" xfId="0" applyNumberFormat="1" applyFont="1" applyFill="1" applyBorder="1" applyAlignment="1" applyProtection="1">
      <alignment horizontal="center" vertical="center" wrapText="1"/>
      <protection locked="0"/>
    </xf>
    <xf numFmtId="0" fontId="0" fillId="17" borderId="3" xfId="0" applyFill="1" applyBorder="1" applyAlignment="1">
      <alignment horizontal="center" vertical="center" wrapText="1"/>
    </xf>
    <xf numFmtId="0" fontId="176" fillId="0" borderId="66" xfId="0" applyFont="1" applyFill="1" applyBorder="1" applyAlignment="1">
      <alignment horizontal="center" vertical="center" wrapText="1"/>
    </xf>
    <xf numFmtId="0" fontId="0" fillId="9" borderId="0" xfId="0" applyFill="1" applyAlignment="1">
      <alignment horizontal="center" vertical="center"/>
    </xf>
    <xf numFmtId="0" fontId="0" fillId="9" borderId="5" xfId="0" applyFill="1" applyBorder="1" applyAlignment="1">
      <alignment horizontal="center" vertical="center"/>
    </xf>
    <xf numFmtId="0" fontId="176" fillId="0" borderId="2" xfId="0" applyFont="1" applyFill="1" applyBorder="1" applyAlignment="1">
      <alignment horizontal="center" vertical="center" wrapText="1"/>
    </xf>
    <xf numFmtId="0" fontId="176" fillId="0" borderId="10" xfId="0" applyFont="1" applyFill="1" applyBorder="1" applyAlignment="1">
      <alignment horizontal="center" vertical="center" wrapText="1"/>
    </xf>
    <xf numFmtId="0" fontId="191" fillId="9" borderId="0" xfId="0" applyFont="1" applyFill="1">
      <alignment vertical="center"/>
    </xf>
    <xf numFmtId="0" fontId="176" fillId="0" borderId="66" xfId="0" quotePrefix="1" applyFont="1" applyFill="1" applyBorder="1" applyAlignment="1">
      <alignment horizontal="center"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95" fillId="0" borderId="36" xfId="0" applyFont="1" applyBorder="1" applyAlignment="1">
      <alignment horizontal="center" vertical="center" wrapText="1"/>
    </xf>
    <xf numFmtId="0" fontId="195" fillId="0" borderId="38" xfId="0" applyFont="1" applyBorder="1" applyAlignment="1">
      <alignment horizontal="center" vertical="center" wrapText="1"/>
    </xf>
    <xf numFmtId="0" fontId="195" fillId="0" borderId="35" xfId="0" applyFont="1" applyBorder="1" applyAlignment="1">
      <alignment horizontal="center" vertical="center" wrapText="1"/>
    </xf>
    <xf numFmtId="0" fontId="195" fillId="0" borderId="80" xfId="0" applyFont="1" applyBorder="1" applyAlignment="1">
      <alignment horizontal="center" vertical="center" wrapText="1"/>
    </xf>
    <xf numFmtId="0" fontId="176" fillId="0" borderId="35" xfId="0" applyFont="1" applyBorder="1" applyAlignment="1">
      <alignment horizontal="center" vertical="center" wrapText="1"/>
    </xf>
    <xf numFmtId="0" fontId="176" fillId="0" borderId="80" xfId="0" applyFont="1" applyBorder="1" applyAlignment="1">
      <alignment horizontal="center" vertical="center" wrapText="1"/>
    </xf>
    <xf numFmtId="0" fontId="0" fillId="17" borderId="10" xfId="0" applyFill="1" applyBorder="1" applyAlignment="1">
      <alignment horizontal="center" vertical="center" wrapText="1"/>
    </xf>
    <xf numFmtId="0" fontId="0" fillId="17" borderId="21" xfId="0" applyFill="1" applyBorder="1" applyAlignment="1">
      <alignment horizontal="center" vertical="center" wrapText="1"/>
    </xf>
    <xf numFmtId="0" fontId="285" fillId="0" borderId="35" xfId="0" applyFont="1" applyBorder="1" applyAlignment="1">
      <alignment horizontal="center" vertical="center" wrapText="1"/>
    </xf>
    <xf numFmtId="0" fontId="285" fillId="0" borderId="80" xfId="0" applyFont="1" applyBorder="1" applyAlignment="1">
      <alignment horizontal="center" vertical="center" wrapText="1"/>
    </xf>
    <xf numFmtId="0" fontId="281" fillId="0" borderId="36" xfId="0" applyFont="1" applyBorder="1" applyAlignment="1">
      <alignment horizontal="center" vertical="center" wrapText="1"/>
    </xf>
    <xf numFmtId="0" fontId="281" fillId="0" borderId="37" xfId="0" applyFont="1" applyBorder="1" applyAlignment="1">
      <alignment horizontal="center" vertical="center" wrapText="1"/>
    </xf>
    <xf numFmtId="0" fontId="281" fillId="0" borderId="38" xfId="0" applyFont="1" applyBorder="1" applyAlignment="1">
      <alignment horizontal="center" vertical="center" wrapText="1"/>
    </xf>
    <xf numFmtId="0" fontId="281" fillId="0" borderId="26" xfId="0" applyFont="1" applyBorder="1" applyAlignment="1">
      <alignment horizontal="center" vertical="center" wrapText="1"/>
    </xf>
    <xf numFmtId="0" fontId="281" fillId="0" borderId="28" xfId="0" applyFont="1" applyBorder="1" applyAlignment="1">
      <alignment horizontal="center" vertical="center" wrapText="1"/>
    </xf>
    <xf numFmtId="0" fontId="281" fillId="0" borderId="39" xfId="0" applyFont="1" applyBorder="1" applyAlignment="1">
      <alignment horizontal="center" vertical="center" wrapText="1"/>
    </xf>
    <xf numFmtId="0" fontId="281" fillId="0" borderId="54" xfId="0" applyFont="1" applyBorder="1" applyAlignment="1">
      <alignment horizontal="center" vertical="center" wrapText="1"/>
    </xf>
    <xf numFmtId="0" fontId="281" fillId="0" borderId="61" xfId="0" applyFont="1" applyBorder="1" applyAlignment="1">
      <alignment horizontal="center" vertical="center" wrapText="1"/>
    </xf>
    <xf numFmtId="0" fontId="281" fillId="0" borderId="66" xfId="0" applyFont="1" applyBorder="1" applyAlignment="1">
      <alignment horizontal="center" vertical="center" wrapText="1"/>
    </xf>
    <xf numFmtId="0" fontId="195" fillId="0" borderId="79" xfId="0" applyFont="1" applyBorder="1" applyAlignment="1">
      <alignment horizontal="center" vertical="center" wrapText="1"/>
    </xf>
    <xf numFmtId="0" fontId="195" fillId="0" borderId="31" xfId="0" applyFont="1" applyBorder="1" applyAlignment="1">
      <alignment horizontal="center" vertical="center" wrapText="1"/>
    </xf>
    <xf numFmtId="0" fontId="195" fillId="0" borderId="157" xfId="0" applyFont="1" applyBorder="1" applyAlignment="1">
      <alignment horizontal="center" vertical="center" wrapText="1"/>
    </xf>
    <xf numFmtId="0" fontId="195" fillId="0" borderId="54" xfId="0" applyFont="1" applyBorder="1" applyAlignment="1">
      <alignment horizontal="center" vertical="center" wrapText="1"/>
    </xf>
    <xf numFmtId="0" fontId="195" fillId="0" borderId="155" xfId="0" applyFont="1" applyBorder="1" applyAlignment="1">
      <alignment horizontal="center" vertical="center" wrapText="1"/>
    </xf>
    <xf numFmtId="0" fontId="285" fillId="0" borderId="156" xfId="0" applyFont="1" applyBorder="1" applyAlignment="1">
      <alignment horizontal="center" vertical="center" wrapText="1"/>
    </xf>
    <xf numFmtId="0" fontId="285" fillId="0" borderId="79" xfId="0" applyFont="1" applyBorder="1" applyAlignment="1">
      <alignment horizontal="center" vertical="center" wrapText="1"/>
    </xf>
    <xf numFmtId="0" fontId="284" fillId="0" borderId="35" xfId="0" applyFont="1" applyBorder="1" applyAlignment="1">
      <alignment horizontal="center" vertical="center" wrapText="1"/>
    </xf>
    <xf numFmtId="0" fontId="284" fillId="0" borderId="80" xfId="0" applyFont="1" applyBorder="1" applyAlignment="1">
      <alignment horizontal="center" vertical="center" wrapText="1"/>
    </xf>
    <xf numFmtId="0" fontId="176" fillId="0" borderId="35" xfId="0" applyFont="1" applyFill="1" applyBorder="1" applyAlignment="1">
      <alignment horizontal="center" vertical="center" wrapText="1"/>
    </xf>
    <xf numFmtId="0" fontId="176" fillId="0" borderId="80" xfId="0" applyFont="1" applyFill="1" applyBorder="1" applyAlignment="1">
      <alignment horizontal="center" vertical="center" wrapText="1"/>
    </xf>
    <xf numFmtId="0" fontId="281" fillId="0" borderId="35" xfId="0" applyFont="1" applyBorder="1" applyAlignment="1">
      <alignment horizontal="center" vertical="center" wrapText="1"/>
    </xf>
    <xf numFmtId="0" fontId="281" fillId="0" borderId="79" xfId="0" applyFont="1" applyBorder="1" applyAlignment="1">
      <alignment horizontal="center" vertical="center" wrapText="1"/>
    </xf>
    <xf numFmtId="0" fontId="281" fillId="0" borderId="80" xfId="0" applyFont="1" applyBorder="1" applyAlignment="1">
      <alignment horizontal="center" vertical="center" wrapText="1"/>
    </xf>
    <xf numFmtId="0" fontId="281" fillId="0" borderId="35" xfId="0" applyFont="1" applyBorder="1" applyAlignment="1">
      <alignment horizontal="center" vertical="center"/>
    </xf>
    <xf numFmtId="0" fontId="281" fillId="0" borderId="79" xfId="0" applyFont="1" applyBorder="1" applyAlignment="1">
      <alignment horizontal="center" vertical="center"/>
    </xf>
    <xf numFmtId="0" fontId="281" fillId="0" borderId="80" xfId="0" applyFont="1" applyBorder="1" applyAlignment="1">
      <alignment horizontal="center" vertical="center"/>
    </xf>
    <xf numFmtId="0" fontId="284" fillId="0" borderId="26" xfId="0" applyFont="1" applyBorder="1" applyAlignment="1">
      <alignment horizontal="center" vertical="center" wrapText="1"/>
    </xf>
    <xf numFmtId="0" fontId="284" fillId="0" borderId="39" xfId="0" applyFont="1" applyBorder="1" applyAlignment="1">
      <alignment horizontal="center" vertical="center" wrapText="1"/>
    </xf>
    <xf numFmtId="0" fontId="284" fillId="0" borderId="31" xfId="0" applyFont="1" applyBorder="1" applyAlignment="1">
      <alignment horizontal="center" vertical="center" wrapText="1"/>
    </xf>
    <xf numFmtId="0" fontId="284" fillId="0" borderId="65" xfId="0" applyFont="1" applyBorder="1" applyAlignment="1">
      <alignment horizontal="center" vertical="center" wrapText="1"/>
    </xf>
    <xf numFmtId="0" fontId="284" fillId="0" borderId="54" xfId="0" applyFont="1" applyBorder="1" applyAlignment="1">
      <alignment horizontal="center" vertical="center" wrapText="1"/>
    </xf>
    <xf numFmtId="0" fontId="284" fillId="0" borderId="66" xfId="0" applyFont="1" applyBorder="1" applyAlignment="1">
      <alignment horizontal="center" vertical="center" wrapText="1"/>
    </xf>
    <xf numFmtId="0" fontId="195" fillId="0" borderId="26" xfId="0" applyFont="1" applyBorder="1" applyAlignment="1">
      <alignment horizontal="center" vertical="center" wrapText="1"/>
    </xf>
    <xf numFmtId="0" fontId="195" fillId="0" borderId="39" xfId="0" applyFont="1" applyBorder="1" applyAlignment="1">
      <alignment horizontal="center" vertical="center" wrapText="1"/>
    </xf>
    <xf numFmtId="0" fontId="281" fillId="0" borderId="153" xfId="0" applyFont="1" applyBorder="1" applyAlignment="1">
      <alignment horizontal="center" vertical="center" wrapText="1"/>
    </xf>
    <xf numFmtId="0" fontId="195" fillId="0" borderId="156" xfId="0" applyFont="1" applyBorder="1" applyAlignment="1">
      <alignment horizontal="center" vertical="center" wrapText="1"/>
    </xf>
    <xf numFmtId="0" fontId="195" fillId="0" borderId="153" xfId="0" applyFont="1" applyBorder="1" applyAlignment="1">
      <alignment horizontal="center" vertical="center" wrapText="1"/>
    </xf>
    <xf numFmtId="0" fontId="285" fillId="0" borderId="153" xfId="0" applyFont="1" applyBorder="1" applyAlignment="1">
      <alignment horizontal="center" vertical="center" wrapText="1"/>
    </xf>
    <xf numFmtId="0" fontId="176" fillId="0" borderId="158" xfId="0" applyFont="1" applyBorder="1" applyAlignment="1">
      <alignment horizontal="center" vertical="center" wrapText="1"/>
    </xf>
    <xf numFmtId="0" fontId="176" fillId="0" borderId="159" xfId="0" applyFont="1" applyBorder="1" applyAlignment="1">
      <alignment horizontal="center" vertical="center" wrapText="1"/>
    </xf>
    <xf numFmtId="0" fontId="195" fillId="0" borderId="66" xfId="0" applyFont="1" applyBorder="1" applyAlignment="1">
      <alignment horizontal="center" vertical="center" wrapText="1"/>
    </xf>
    <xf numFmtId="0" fontId="195" fillId="0" borderId="28" xfId="0" applyFont="1" applyBorder="1" applyAlignment="1">
      <alignment horizontal="center" vertical="center" wrapText="1"/>
    </xf>
    <xf numFmtId="0" fontId="195" fillId="0" borderId="61" xfId="0" applyFont="1" applyBorder="1" applyAlignment="1">
      <alignment horizontal="center" vertical="center" wrapText="1"/>
    </xf>
    <xf numFmtId="0" fontId="280" fillId="0" borderId="31" xfId="0" applyFont="1" applyBorder="1" applyAlignment="1">
      <alignment vertical="center" wrapText="1"/>
    </xf>
    <xf numFmtId="0" fontId="172" fillId="0" borderId="156" xfId="0" applyFont="1" applyBorder="1" applyAlignment="1">
      <alignment horizontal="center" vertical="center" wrapText="1"/>
    </xf>
    <xf numFmtId="0" fontId="172" fillId="0" borderId="79" xfId="0" applyFont="1" applyBorder="1" applyAlignment="1">
      <alignment horizontal="center" vertical="center" wrapText="1"/>
    </xf>
    <xf numFmtId="0" fontId="145" fillId="17" borderId="10" xfId="0" applyFont="1" applyFill="1" applyBorder="1" applyAlignment="1">
      <alignment horizontal="center" vertical="center" wrapText="1"/>
    </xf>
    <xf numFmtId="0" fontId="145" fillId="17" borderId="21" xfId="0" applyFont="1" applyFill="1" applyBorder="1" applyAlignment="1">
      <alignment horizontal="center" vertical="center" wrapText="1"/>
    </xf>
    <xf numFmtId="0" fontId="145" fillId="9" borderId="10" xfId="0" applyFont="1" applyFill="1" applyBorder="1" applyAlignment="1">
      <alignment horizontal="center" vertical="center" wrapText="1"/>
    </xf>
    <xf numFmtId="0" fontId="145" fillId="9" borderId="21" xfId="0" applyFont="1" applyFill="1" applyBorder="1" applyAlignment="1">
      <alignment horizontal="center" vertical="center" wrapText="1"/>
    </xf>
    <xf numFmtId="0" fontId="279" fillId="18" borderId="19" xfId="0" applyFont="1" applyFill="1" applyBorder="1" applyAlignment="1">
      <alignment horizontal="center" vertical="center"/>
    </xf>
    <xf numFmtId="0" fontId="0" fillId="9" borderId="10" xfId="0" applyFill="1" applyBorder="1" applyAlignment="1">
      <alignment horizontal="center" vertical="center" wrapText="1"/>
    </xf>
    <xf numFmtId="0" fontId="0" fillId="9" borderId="21" xfId="0" applyFill="1" applyBorder="1" applyAlignment="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22" xfId="0" applyFont="1" applyFill="1" applyBorder="1" applyAlignment="1" applyProtection="1">
      <alignment horizontal="center" vertical="center" wrapText="1"/>
      <protection locked="0"/>
    </xf>
    <xf numFmtId="0" fontId="266" fillId="0" borderId="60" xfId="0" applyFont="1" applyFill="1" applyBorder="1" applyAlignment="1" applyProtection="1">
      <alignment horizontal="center" vertical="center" wrapText="1"/>
      <protection locked="0"/>
    </xf>
    <xf numFmtId="0" fontId="267" fillId="0" borderId="48"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1" fillId="0" borderId="35" xfId="0" applyFont="1" applyFill="1" applyBorder="1" applyAlignment="1">
      <alignment horizontal="center" vertical="center" wrapText="1"/>
    </xf>
    <xf numFmtId="0" fontId="281" fillId="0" borderId="39" xfId="0" applyFont="1" applyFill="1" applyBorder="1" applyAlignment="1">
      <alignment horizontal="center" vertical="center" wrapText="1"/>
    </xf>
    <xf numFmtId="0" fontId="281" fillId="0" borderId="79" xfId="0" applyFont="1" applyFill="1" applyBorder="1" applyAlignment="1">
      <alignment horizontal="center" vertical="center" wrapText="1"/>
    </xf>
    <xf numFmtId="0" fontId="281" fillId="0" borderId="65" xfId="0" applyFont="1" applyFill="1" applyBorder="1" applyAlignment="1">
      <alignment horizontal="center" vertical="center" wrapText="1"/>
    </xf>
    <xf numFmtId="0" fontId="281" fillId="0" borderId="80" xfId="0" applyFont="1" applyFill="1" applyBorder="1" applyAlignment="1">
      <alignment horizontal="center" vertical="center" wrapText="1"/>
    </xf>
    <xf numFmtId="0" fontId="281" fillId="0" borderId="66" xfId="0" applyFont="1" applyFill="1" applyBorder="1" applyAlignment="1">
      <alignment horizontal="center" vertical="center" wrapText="1"/>
    </xf>
    <xf numFmtId="0" fontId="0" fillId="0" borderId="66" xfId="0" applyFill="1" applyBorder="1" applyAlignment="1">
      <alignment vertical="center" wrapText="1"/>
    </xf>
    <xf numFmtId="0" fontId="0" fillId="0" borderId="66" xfId="0" applyFill="1" applyBorder="1" applyAlignment="1">
      <alignment horizontal="center" vertical="center" wrapText="1"/>
    </xf>
    <xf numFmtId="0" fontId="195" fillId="0" borderId="35" xfId="0" applyFont="1" applyFill="1" applyBorder="1" applyAlignment="1">
      <alignment horizontal="center" vertical="center" wrapText="1"/>
    </xf>
    <xf numFmtId="0" fontId="195" fillId="0" borderId="66" xfId="0" applyFont="1" applyFill="1" applyBorder="1" applyAlignment="1">
      <alignment horizontal="center" vertical="center" wrapText="1"/>
    </xf>
    <xf numFmtId="0" fontId="195" fillId="0" borderId="79" xfId="0" applyFont="1" applyFill="1" applyBorder="1" applyAlignment="1">
      <alignment horizontal="center" vertical="center" wrapText="1"/>
    </xf>
    <xf numFmtId="0" fontId="195" fillId="0" borderId="80" xfId="0" applyFont="1" applyFill="1" applyBorder="1" applyAlignment="1">
      <alignment horizontal="center" vertical="center" wrapText="1"/>
    </xf>
    <xf numFmtId="0" fontId="195" fillId="0" borderId="26" xfId="0" applyFont="1" applyFill="1" applyBorder="1" applyAlignment="1">
      <alignment horizontal="center" vertical="center" wrapText="1"/>
    </xf>
    <xf numFmtId="0" fontId="195" fillId="0" borderId="31" xfId="0" applyFont="1" applyFill="1" applyBorder="1" applyAlignment="1">
      <alignment horizontal="center" vertical="center" wrapText="1"/>
    </xf>
    <xf numFmtId="0" fontId="195" fillId="0" borderId="54" xfId="0" applyFont="1" applyFill="1" applyBorder="1" applyAlignment="1">
      <alignment horizontal="center" vertical="center" wrapText="1"/>
    </xf>
    <xf numFmtId="0" fontId="195" fillId="0" borderId="39" xfId="0" applyFont="1" applyFill="1" applyBorder="1" applyAlignment="1">
      <alignment horizontal="center" vertical="center" wrapText="1"/>
    </xf>
    <xf numFmtId="0" fontId="176" fillId="0" borderId="65" xfId="0" applyFont="1" applyFill="1" applyBorder="1" applyAlignment="1">
      <alignment horizontal="center" vertical="center" wrapText="1"/>
    </xf>
    <xf numFmtId="0" fontId="176" fillId="0" borderId="2" xfId="0" applyFont="1" applyFill="1" applyBorder="1" applyAlignment="1">
      <alignment horizontal="center" vertical="center"/>
    </xf>
    <xf numFmtId="0" fontId="176" fillId="0" borderId="2" xfId="0" applyFont="1" applyFill="1" applyBorder="1">
      <alignment vertical="center"/>
    </xf>
    <xf numFmtId="0" fontId="176" fillId="0" borderId="10" xfId="0" applyFont="1" applyFill="1" applyBorder="1" applyAlignment="1">
      <alignment horizontal="center" vertical="center"/>
    </xf>
    <xf numFmtId="0" fontId="176" fillId="0" borderId="10" xfId="0" applyFont="1" applyFill="1" applyBorder="1">
      <alignment vertical="center"/>
    </xf>
    <xf numFmtId="0" fontId="195" fillId="0" borderId="2" xfId="0" applyFont="1" applyFill="1" applyBorder="1" applyAlignment="1">
      <alignment horizontal="center" vertical="center" wrapText="1"/>
    </xf>
    <xf numFmtId="0" fontId="160" fillId="0" borderId="14" xfId="0" applyFont="1" applyFill="1" applyBorder="1" applyAlignment="1">
      <alignment horizontal="center" vertical="center"/>
    </xf>
    <xf numFmtId="0" fontId="176" fillId="0" borderId="0" xfId="0" applyFont="1" applyFill="1" applyAlignment="1">
      <alignment horizontal="center" vertical="center"/>
    </xf>
    <xf numFmtId="0" fontId="0" fillId="0" borderId="0" xfId="0" applyFill="1">
      <alignment vertical="center"/>
    </xf>
    <xf numFmtId="0" fontId="281" fillId="0" borderId="35" xfId="0" applyFont="1" applyFill="1" applyBorder="1" applyAlignment="1">
      <alignment horizontal="center" vertical="center" wrapText="1"/>
    </xf>
    <xf numFmtId="0" fontId="284" fillId="0" borderId="39" xfId="0" applyFont="1" applyFill="1" applyBorder="1" applyAlignment="1">
      <alignment horizontal="center" vertical="center" wrapText="1"/>
    </xf>
    <xf numFmtId="0" fontId="284" fillId="0" borderId="35" xfId="0" applyFont="1" applyFill="1" applyBorder="1" applyAlignment="1">
      <alignment horizontal="center" vertical="center" wrapText="1"/>
    </xf>
    <xf numFmtId="0" fontId="281" fillId="0" borderId="79" xfId="0" applyFont="1" applyFill="1" applyBorder="1" applyAlignment="1">
      <alignment horizontal="center" vertical="center" wrapText="1"/>
    </xf>
    <xf numFmtId="0" fontId="284" fillId="0" borderId="65" xfId="0" applyFont="1" applyFill="1" applyBorder="1" applyAlignment="1">
      <alignment horizontal="center" vertical="center" wrapText="1"/>
    </xf>
    <xf numFmtId="0" fontId="284" fillId="0" borderId="79" xfId="0" applyFont="1" applyFill="1" applyBorder="1" applyAlignment="1">
      <alignment horizontal="center" vertical="center" wrapText="1"/>
    </xf>
    <xf numFmtId="0" fontId="195" fillId="0" borderId="11" xfId="0" applyFont="1" applyFill="1" applyBorder="1" applyAlignment="1">
      <alignment horizontal="center" vertical="center" wrapText="1"/>
    </xf>
    <xf numFmtId="0" fontId="176" fillId="0" borderId="2" xfId="0" applyFont="1" applyFill="1" applyBorder="1" applyAlignment="1">
      <alignment horizontal="center" vertical="center" wrapText="1"/>
    </xf>
    <xf numFmtId="0" fontId="285" fillId="0" borderId="2" xfId="0" applyFont="1" applyFill="1" applyBorder="1" applyAlignment="1">
      <alignment horizontal="center" vertical="center" wrapText="1"/>
    </xf>
    <xf numFmtId="0" fontId="285" fillId="0" borderId="12" xfId="0" applyFont="1" applyFill="1" applyBorder="1" applyAlignment="1">
      <alignment horizontal="center" vertical="center" wrapText="1"/>
    </xf>
    <xf numFmtId="0" fontId="195" fillId="0" borderId="11" xfId="0" applyFont="1" applyFill="1" applyBorder="1" applyAlignment="1">
      <alignment horizontal="center" vertical="center" wrapText="1"/>
    </xf>
    <xf numFmtId="0" fontId="195" fillId="0" borderId="2" xfId="0" applyFont="1" applyFill="1" applyBorder="1" applyAlignment="1">
      <alignment horizontal="center" vertical="center" wrapText="1"/>
    </xf>
    <xf numFmtId="0" fontId="195" fillId="0" borderId="12" xfId="0" applyFont="1" applyFill="1" applyBorder="1" applyAlignment="1">
      <alignment horizontal="center" vertical="center" wrapText="1"/>
    </xf>
    <xf numFmtId="0" fontId="285" fillId="0" borderId="2" xfId="0" applyFont="1" applyFill="1" applyBorder="1" applyAlignment="1">
      <alignment horizontal="center" vertical="center" wrapText="1"/>
    </xf>
    <xf numFmtId="0" fontId="285" fillId="0" borderId="12" xfId="0" applyFont="1" applyFill="1" applyBorder="1" applyAlignment="1">
      <alignment vertical="center" wrapText="1"/>
    </xf>
    <xf numFmtId="0" fontId="176" fillId="0" borderId="11" xfId="0" applyFont="1" applyFill="1" applyBorder="1" applyAlignment="1">
      <alignment horizontal="center" vertical="center" wrapText="1"/>
    </xf>
    <xf numFmtId="0" fontId="285" fillId="0" borderId="12" xfId="0" applyFont="1" applyFill="1" applyBorder="1" applyAlignment="1">
      <alignment horizontal="center" vertical="center" wrapText="1"/>
    </xf>
    <xf numFmtId="0" fontId="195" fillId="0" borderId="43" xfId="0" applyFont="1" applyFill="1" applyBorder="1" applyAlignment="1">
      <alignment horizontal="center" vertical="center" wrapText="1"/>
    </xf>
    <xf numFmtId="0" fontId="195" fillId="0" borderId="44" xfId="0" applyFont="1" applyFill="1" applyBorder="1" applyAlignment="1">
      <alignment horizontal="center" vertical="center" wrapText="1"/>
    </xf>
    <xf numFmtId="0" fontId="176" fillId="0" borderId="44" xfId="0" applyFont="1" applyFill="1" applyBorder="1" applyAlignment="1">
      <alignment horizontal="center" vertical="center" wrapText="1"/>
    </xf>
    <xf numFmtId="0" fontId="285" fillId="0" borderId="46" xfId="0" applyFont="1" applyFill="1" applyBorder="1" applyAlignment="1">
      <alignment horizontal="center" vertical="center" wrapText="1"/>
    </xf>
    <xf numFmtId="0" fontId="281" fillId="0" borderId="35" xfId="0" applyFont="1" applyFill="1" applyBorder="1" applyAlignment="1">
      <alignment horizontal="center" vertical="center"/>
    </xf>
    <xf numFmtId="0" fontId="284" fillId="0" borderId="26" xfId="0" applyFont="1" applyFill="1" applyBorder="1" applyAlignment="1">
      <alignment horizontal="center" vertical="center" wrapText="1"/>
    </xf>
    <xf numFmtId="0" fontId="284" fillId="0" borderId="39" xfId="0" applyFont="1" applyFill="1" applyBorder="1" applyAlignment="1">
      <alignment horizontal="center" vertical="center" wrapText="1"/>
    </xf>
    <xf numFmtId="0" fontId="281" fillId="0" borderId="38" xfId="0" applyFont="1" applyFill="1" applyBorder="1" applyAlignment="1">
      <alignment horizontal="center" vertical="center" wrapText="1"/>
    </xf>
    <xf numFmtId="0" fontId="284" fillId="0" borderId="38" xfId="0" applyFont="1" applyFill="1" applyBorder="1" applyAlignment="1">
      <alignment horizontal="center" vertical="center" wrapText="1"/>
    </xf>
    <xf numFmtId="0" fontId="281" fillId="0" borderId="79" xfId="0" applyFont="1" applyFill="1" applyBorder="1" applyAlignment="1">
      <alignment horizontal="center" vertical="center"/>
    </xf>
    <xf numFmtId="0" fontId="284" fillId="0" borderId="31" xfId="0" applyFont="1" applyFill="1" applyBorder="1" applyAlignment="1">
      <alignment horizontal="center" vertical="center" wrapText="1"/>
    </xf>
    <xf numFmtId="0" fontId="284" fillId="0" borderId="65" xfId="0" applyFont="1" applyFill="1" applyBorder="1" applyAlignment="1">
      <alignment horizontal="center" vertical="center" wrapText="1"/>
    </xf>
    <xf numFmtId="0" fontId="281" fillId="0" borderId="80" xfId="0" applyFont="1" applyFill="1" applyBorder="1" applyAlignment="1">
      <alignment horizontal="center" vertical="center"/>
    </xf>
    <xf numFmtId="0" fontId="284" fillId="0" borderId="54" xfId="0" applyFont="1" applyFill="1" applyBorder="1" applyAlignment="1">
      <alignment horizontal="center" vertical="center" wrapText="1"/>
    </xf>
    <xf numFmtId="0" fontId="284" fillId="0" borderId="66" xfId="0" applyFont="1" applyFill="1" applyBorder="1" applyAlignment="1">
      <alignment horizontal="center" vertical="center" wrapText="1"/>
    </xf>
    <xf numFmtId="0" fontId="284" fillId="0" borderId="80" xfId="0" applyFont="1" applyFill="1" applyBorder="1" applyAlignment="1">
      <alignment horizontal="center" vertical="center" wrapText="1"/>
    </xf>
    <xf numFmtId="0" fontId="284" fillId="0" borderId="66" xfId="0" applyFont="1" applyFill="1" applyBorder="1" applyAlignment="1">
      <alignment horizontal="center" vertical="center" wrapText="1"/>
    </xf>
    <xf numFmtId="0" fontId="286" fillId="0" borderId="65" xfId="0" applyFont="1" applyFill="1" applyBorder="1" applyAlignment="1">
      <alignment horizontal="center" vertical="center" wrapText="1"/>
    </xf>
    <xf numFmtId="0" fontId="286" fillId="0" borderId="35" xfId="0" applyFont="1" applyFill="1" applyBorder="1" applyAlignment="1">
      <alignment vertical="center" wrapText="1"/>
    </xf>
    <xf numFmtId="0" fontId="286" fillId="0" borderId="66" xfId="0" applyFont="1" applyFill="1" applyBorder="1" applyAlignment="1">
      <alignment horizontal="center" vertical="center" wrapText="1"/>
    </xf>
    <xf numFmtId="0" fontId="286" fillId="0" borderId="80" xfId="0" applyFont="1" applyFill="1" applyBorder="1" applyAlignment="1">
      <alignment vertical="center" wrapText="1"/>
    </xf>
    <xf numFmtId="0" fontId="195" fillId="0" borderId="54" xfId="0" applyFont="1" applyFill="1" applyBorder="1" applyAlignment="1">
      <alignment horizontal="center" vertical="center" wrapText="1"/>
    </xf>
    <xf numFmtId="0" fontId="286" fillId="0" borderId="61" xfId="0" applyFont="1" applyFill="1" applyBorder="1" applyAlignment="1">
      <alignment horizontal="center" vertical="center" wrapText="1"/>
    </xf>
    <xf numFmtId="0" fontId="286" fillId="0" borderId="66" xfId="0" applyFont="1" applyFill="1" applyBorder="1" applyAlignment="1">
      <alignment vertical="center" wrapText="1"/>
    </xf>
    <xf numFmtId="0" fontId="284" fillId="0" borderId="36" xfId="0" applyFont="1" applyFill="1" applyBorder="1" applyAlignment="1">
      <alignment horizontal="center" vertical="center" wrapText="1"/>
    </xf>
    <xf numFmtId="0" fontId="284" fillId="0" borderId="37" xfId="0" applyFont="1" applyFill="1" applyBorder="1" applyAlignment="1">
      <alignment horizontal="center" vertical="center" wrapText="1"/>
    </xf>
    <xf numFmtId="0" fontId="284" fillId="0" borderId="38" xfId="0" applyFont="1" applyFill="1" applyBorder="1" applyAlignment="1">
      <alignment horizontal="center" vertical="center" wrapText="1"/>
    </xf>
    <xf numFmtId="0" fontId="154" fillId="0" borderId="66" xfId="0" applyFont="1" applyFill="1" applyBorder="1" applyAlignment="1">
      <alignment horizontal="center" vertical="center" wrapText="1"/>
    </xf>
    <xf numFmtId="0" fontId="287" fillId="0" borderId="66" xfId="0" applyFont="1" applyFill="1" applyBorder="1" applyAlignment="1">
      <alignment horizontal="center" vertical="center" wrapText="1"/>
    </xf>
    <xf numFmtId="0" fontId="195" fillId="0" borderId="35" xfId="0" applyFont="1" applyFill="1" applyBorder="1" applyAlignment="1">
      <alignment vertical="center" wrapText="1"/>
    </xf>
    <xf numFmtId="0" fontId="177" fillId="0" borderId="66" xfId="0" applyFont="1" applyFill="1" applyBorder="1" applyAlignment="1">
      <alignment horizontal="center" vertical="center" wrapText="1"/>
    </xf>
    <xf numFmtId="0" fontId="195" fillId="0" borderId="80" xfId="0" applyFont="1" applyFill="1" applyBorder="1" applyAlignment="1">
      <alignment vertical="center" wrapText="1"/>
    </xf>
    <xf numFmtId="0" fontId="285" fillId="0" borderId="66" xfId="0" applyFont="1" applyFill="1" applyBorder="1" applyAlignment="1">
      <alignment horizontal="center" vertical="center" wrapText="1"/>
    </xf>
    <xf numFmtId="0" fontId="172" fillId="0" borderId="66" xfId="0" applyFont="1" applyFill="1" applyBorder="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 Id="rId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12</xdr:col>
      <xdr:colOff>133350</xdr:colOff>
      <xdr:row>27</xdr:row>
      <xdr:rowOff>65809</xdr:rowOff>
    </xdr:to>
    <xdr:pic>
      <xdr:nvPicPr>
        <xdr:cNvPr id="5632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15735300"/>
          <a:ext cx="8362950" cy="4561609"/>
        </a:xfrm>
        <a:prstGeom prst="rect">
          <a:avLst/>
        </a:prstGeom>
        <a:noFill/>
        <a:ln w="1">
          <a:noFill/>
          <a:miter lim="800000"/>
          <a:headEnd/>
          <a:tailEnd type="none" w="med" len="med"/>
        </a:ln>
        <a:effectLst/>
      </xdr:spPr>
    </xdr:pic>
    <xdr:clientData/>
  </xdr:twoCellAnchor>
  <xdr:twoCellAnchor editAs="oneCell">
    <xdr:from>
      <xdr:col>0</xdr:col>
      <xdr:colOff>85725</xdr:colOff>
      <xdr:row>42</xdr:row>
      <xdr:rowOff>85725</xdr:rowOff>
    </xdr:from>
    <xdr:to>
      <xdr:col>14</xdr:col>
      <xdr:colOff>672344</xdr:colOff>
      <xdr:row>80</xdr:row>
      <xdr:rowOff>0</xdr:rowOff>
    </xdr:to>
    <xdr:pic>
      <xdr:nvPicPr>
        <xdr:cNvPr id="56323"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85725" y="7286625"/>
          <a:ext cx="10187819" cy="6429375"/>
        </a:xfrm>
        <a:prstGeom prst="rect">
          <a:avLst/>
        </a:prstGeom>
        <a:noFill/>
        <a:ln w="1">
          <a:noFill/>
          <a:miter lim="800000"/>
          <a:headEnd/>
          <a:tailEnd type="none" w="med" len="med"/>
        </a:ln>
        <a:effectLst/>
      </xdr:spPr>
    </xdr:pic>
    <xdr:clientData/>
  </xdr:twoCellAnchor>
  <xdr:twoCellAnchor editAs="oneCell">
    <xdr:from>
      <xdr:col>0</xdr:col>
      <xdr:colOff>19050</xdr:colOff>
      <xdr:row>79</xdr:row>
      <xdr:rowOff>123826</xdr:rowOff>
    </xdr:from>
    <xdr:to>
      <xdr:col>14</xdr:col>
      <xdr:colOff>669555</xdr:colOff>
      <xdr:row>117</xdr:row>
      <xdr:rowOff>142876</xdr:rowOff>
    </xdr:to>
    <xdr:pic>
      <xdr:nvPicPr>
        <xdr:cNvPr id="56324"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19050" y="20354926"/>
          <a:ext cx="10251705" cy="6534150"/>
        </a:xfrm>
        <a:prstGeom prst="rect">
          <a:avLst/>
        </a:prstGeom>
        <a:noFill/>
        <a:ln w="1">
          <a:noFill/>
          <a:miter lim="800000"/>
          <a:headEnd/>
          <a:tailEnd type="none" w="med" len="med"/>
        </a:ln>
        <a:effectLst/>
      </xdr:spPr>
    </xdr:pic>
    <xdr:clientData/>
  </xdr:twoCellAnchor>
  <xdr:twoCellAnchor editAs="oneCell">
    <xdr:from>
      <xdr:col>0</xdr:col>
      <xdr:colOff>0</xdr:colOff>
      <xdr:row>122</xdr:row>
      <xdr:rowOff>57150</xdr:rowOff>
    </xdr:from>
    <xdr:to>
      <xdr:col>14</xdr:col>
      <xdr:colOff>625649</xdr:colOff>
      <xdr:row>160</xdr:row>
      <xdr:rowOff>66675</xdr:rowOff>
    </xdr:to>
    <xdr:pic>
      <xdr:nvPicPr>
        <xdr:cNvPr id="56325" name="Picture 5"/>
        <xdr:cNvPicPr>
          <a:picLocks noChangeAspect="1" noChangeArrowheads="1"/>
        </xdr:cNvPicPr>
      </xdr:nvPicPr>
      <xdr:blipFill>
        <a:blip xmlns:r="http://schemas.openxmlformats.org/officeDocument/2006/relationships" r:embed="rId4" cstate="print"/>
        <a:srcRect/>
        <a:stretch>
          <a:fillRect/>
        </a:stretch>
      </xdr:blipFill>
      <xdr:spPr bwMode="auto">
        <a:xfrm>
          <a:off x="0" y="27660600"/>
          <a:ext cx="10226849" cy="6524625"/>
        </a:xfrm>
        <a:prstGeom prst="rect">
          <a:avLst/>
        </a:prstGeom>
        <a:noFill/>
        <a:ln w="1">
          <a:noFill/>
          <a:miter lim="800000"/>
          <a:headEnd/>
          <a:tailEnd type="none" w="med" len="med"/>
        </a:ln>
        <a:effectLst/>
      </xdr:spPr>
    </xdr:pic>
    <xdr:clientData/>
  </xdr:twoCellAnchor>
  <xdr:twoCellAnchor editAs="oneCell">
    <xdr:from>
      <xdr:col>12</xdr:col>
      <xdr:colOff>142875</xdr:colOff>
      <xdr:row>1</xdr:row>
      <xdr:rowOff>57150</xdr:rowOff>
    </xdr:from>
    <xdr:to>
      <xdr:col>21</xdr:col>
      <xdr:colOff>571500</xdr:colOff>
      <xdr:row>34</xdr:row>
      <xdr:rowOff>160020</xdr:rowOff>
    </xdr:to>
    <xdr:pic>
      <xdr:nvPicPr>
        <xdr:cNvPr id="54273" name="Picture 1"/>
        <xdr:cNvPicPr>
          <a:picLocks noChangeAspect="1" noChangeArrowheads="1"/>
        </xdr:cNvPicPr>
      </xdr:nvPicPr>
      <xdr:blipFill>
        <a:blip xmlns:r="http://schemas.openxmlformats.org/officeDocument/2006/relationships" r:embed="rId5" cstate="print"/>
        <a:srcRect/>
        <a:stretch>
          <a:fillRect/>
        </a:stretch>
      </xdr:blipFill>
      <xdr:spPr bwMode="auto">
        <a:xfrm>
          <a:off x="8372475" y="6915150"/>
          <a:ext cx="6600825" cy="5760720"/>
        </a:xfrm>
        <a:prstGeom prst="rect">
          <a:avLst/>
        </a:prstGeom>
        <a:noFill/>
        <a:ln w="1">
          <a:noFill/>
          <a:miter lim="800000"/>
          <a:headEnd/>
          <a:tailEnd type="none" w="med" len="med"/>
        </a:ln>
        <a:effectLst/>
      </xdr:spPr>
    </xdr:pic>
    <xdr:clientData/>
  </xdr:twoCellAnchor>
  <xdr:twoCellAnchor editAs="oneCell">
    <xdr:from>
      <xdr:col>21</xdr:col>
      <xdr:colOff>466725</xdr:colOff>
      <xdr:row>2</xdr:row>
      <xdr:rowOff>28575</xdr:rowOff>
    </xdr:from>
    <xdr:to>
      <xdr:col>37</xdr:col>
      <xdr:colOff>581025</xdr:colOff>
      <xdr:row>24</xdr:row>
      <xdr:rowOff>123825</xdr:rowOff>
    </xdr:to>
    <xdr:pic>
      <xdr:nvPicPr>
        <xdr:cNvPr id="54274" name="Picture 2"/>
        <xdr:cNvPicPr>
          <a:picLocks noChangeAspect="1" noChangeArrowheads="1"/>
        </xdr:cNvPicPr>
      </xdr:nvPicPr>
      <xdr:blipFill>
        <a:blip xmlns:r="http://schemas.openxmlformats.org/officeDocument/2006/relationships" r:embed="rId6" cstate="print"/>
        <a:srcRect/>
        <a:stretch>
          <a:fillRect/>
        </a:stretch>
      </xdr:blipFill>
      <xdr:spPr bwMode="auto">
        <a:xfrm>
          <a:off x="14868525" y="7058025"/>
          <a:ext cx="11087100" cy="3867150"/>
        </a:xfrm>
        <a:prstGeom prst="rect">
          <a:avLst/>
        </a:prstGeom>
        <a:noFill/>
        <a:ln w="1">
          <a:noFill/>
          <a:miter lim="800000"/>
          <a:headEnd/>
          <a:tailEnd type="none" w="med" len="med"/>
        </a:ln>
        <a:effectLst/>
      </xdr:spPr>
    </xdr:pic>
    <xdr:clientData/>
  </xdr:twoCellAnchor>
  <xdr:twoCellAnchor editAs="oneCell">
    <xdr:from>
      <xdr:col>15</xdr:col>
      <xdr:colOff>14097</xdr:colOff>
      <xdr:row>39</xdr:row>
      <xdr:rowOff>152400</xdr:rowOff>
    </xdr:from>
    <xdr:to>
      <xdr:col>25</xdr:col>
      <xdr:colOff>47625</xdr:colOff>
      <xdr:row>77</xdr:row>
      <xdr:rowOff>114300</xdr:rowOff>
    </xdr:to>
    <xdr:pic>
      <xdr:nvPicPr>
        <xdr:cNvPr id="54275"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10301097" y="13525500"/>
          <a:ext cx="6891528" cy="6477000"/>
        </a:xfrm>
        <a:prstGeom prst="rect">
          <a:avLst/>
        </a:prstGeom>
        <a:noFill/>
        <a:ln w="1">
          <a:noFill/>
          <a:miter lim="800000"/>
          <a:headEnd/>
          <a:tailEnd type="none" w="med" len="med"/>
        </a:ln>
        <a:effectLst/>
      </xdr:spPr>
    </xdr:pic>
    <xdr:clientData/>
  </xdr:twoCellAnchor>
  <xdr:twoCellAnchor editAs="oneCell">
    <xdr:from>
      <xdr:col>25</xdr:col>
      <xdr:colOff>0</xdr:colOff>
      <xdr:row>42</xdr:row>
      <xdr:rowOff>9524</xdr:rowOff>
    </xdr:from>
    <xdr:to>
      <xdr:col>36</xdr:col>
      <xdr:colOff>492177</xdr:colOff>
      <xdr:row>70</xdr:row>
      <xdr:rowOff>57149</xdr:rowOff>
    </xdr:to>
    <xdr:pic>
      <xdr:nvPicPr>
        <xdr:cNvPr id="54276" name="Picture 4"/>
        <xdr:cNvPicPr>
          <a:picLocks noChangeAspect="1" noChangeArrowheads="1"/>
        </xdr:cNvPicPr>
      </xdr:nvPicPr>
      <xdr:blipFill>
        <a:blip xmlns:r="http://schemas.openxmlformats.org/officeDocument/2006/relationships" r:embed="rId8" cstate="print"/>
        <a:srcRect/>
        <a:stretch>
          <a:fillRect/>
        </a:stretch>
      </xdr:blipFill>
      <xdr:spPr bwMode="auto">
        <a:xfrm>
          <a:off x="17145000" y="13896974"/>
          <a:ext cx="8035977" cy="4848225"/>
        </a:xfrm>
        <a:prstGeom prst="rect">
          <a:avLst/>
        </a:prstGeom>
        <a:noFill/>
        <a:ln w="1">
          <a:noFill/>
          <a:miter lim="800000"/>
          <a:headEnd/>
          <a:tailEnd type="none" w="med" len="med"/>
        </a:ln>
        <a:effectLst/>
      </xdr:spPr>
    </xdr:pic>
    <xdr:clientData/>
  </xdr:twoCellAnchor>
  <xdr:twoCellAnchor editAs="oneCell">
    <xdr:from>
      <xdr:col>19</xdr:col>
      <xdr:colOff>542925</xdr:colOff>
      <xdr:row>70</xdr:row>
      <xdr:rowOff>123825</xdr:rowOff>
    </xdr:from>
    <xdr:to>
      <xdr:col>35</xdr:col>
      <xdr:colOff>676275</xdr:colOff>
      <xdr:row>79</xdr:row>
      <xdr:rowOff>19050</xdr:rowOff>
    </xdr:to>
    <xdr:pic>
      <xdr:nvPicPr>
        <xdr:cNvPr id="54277" name="Picture 5"/>
        <xdr:cNvPicPr>
          <a:picLocks noChangeAspect="1" noChangeArrowheads="1"/>
        </xdr:cNvPicPr>
      </xdr:nvPicPr>
      <xdr:blipFill>
        <a:blip xmlns:r="http://schemas.openxmlformats.org/officeDocument/2006/relationships" r:embed="rId9" cstate="print"/>
        <a:srcRect/>
        <a:stretch>
          <a:fillRect/>
        </a:stretch>
      </xdr:blipFill>
      <xdr:spPr bwMode="auto">
        <a:xfrm>
          <a:off x="13573125" y="18811875"/>
          <a:ext cx="11106150" cy="1438275"/>
        </a:xfrm>
        <a:prstGeom prst="rect">
          <a:avLst/>
        </a:prstGeom>
        <a:noFill/>
        <a:ln w="1">
          <a:noFill/>
          <a:miter lim="800000"/>
          <a:headEnd/>
          <a:tailEnd type="none" w="med" len="med"/>
        </a:ln>
        <a:effectLst/>
      </xdr:spPr>
    </xdr:pic>
    <xdr:clientData/>
  </xdr:twoCellAnchor>
  <xdr:twoCellAnchor editAs="oneCell">
    <xdr:from>
      <xdr:col>14</xdr:col>
      <xdr:colOff>200025</xdr:colOff>
      <xdr:row>81</xdr:row>
      <xdr:rowOff>38218</xdr:rowOff>
    </xdr:from>
    <xdr:to>
      <xdr:col>24</xdr:col>
      <xdr:colOff>447675</xdr:colOff>
      <xdr:row>119</xdr:row>
      <xdr:rowOff>57150</xdr:rowOff>
    </xdr:to>
    <xdr:pic>
      <xdr:nvPicPr>
        <xdr:cNvPr id="54278" name="Picture 6"/>
        <xdr:cNvPicPr>
          <a:picLocks noChangeAspect="1" noChangeArrowheads="1"/>
        </xdr:cNvPicPr>
      </xdr:nvPicPr>
      <xdr:blipFill>
        <a:blip xmlns:r="http://schemas.openxmlformats.org/officeDocument/2006/relationships" r:embed="rId10" cstate="print"/>
        <a:srcRect/>
        <a:stretch>
          <a:fillRect/>
        </a:stretch>
      </xdr:blipFill>
      <xdr:spPr bwMode="auto">
        <a:xfrm>
          <a:off x="9801225" y="20612218"/>
          <a:ext cx="7105650" cy="6534032"/>
        </a:xfrm>
        <a:prstGeom prst="rect">
          <a:avLst/>
        </a:prstGeom>
        <a:noFill/>
        <a:ln w="1">
          <a:noFill/>
          <a:miter lim="800000"/>
          <a:headEnd/>
          <a:tailEnd type="none" w="med" len="med"/>
        </a:ln>
        <a:effectLst/>
      </xdr:spPr>
    </xdr:pic>
    <xdr:clientData/>
  </xdr:twoCellAnchor>
  <xdr:twoCellAnchor editAs="oneCell">
    <xdr:from>
      <xdr:col>24</xdr:col>
      <xdr:colOff>552450</xdr:colOff>
      <xdr:row>80</xdr:row>
      <xdr:rowOff>161925</xdr:rowOff>
    </xdr:from>
    <xdr:to>
      <xdr:col>30</xdr:col>
      <xdr:colOff>581025</xdr:colOff>
      <xdr:row>111</xdr:row>
      <xdr:rowOff>66675</xdr:rowOff>
    </xdr:to>
    <xdr:pic>
      <xdr:nvPicPr>
        <xdr:cNvPr id="54279" name="Picture 7"/>
        <xdr:cNvPicPr>
          <a:picLocks noChangeAspect="1" noChangeArrowheads="1"/>
        </xdr:cNvPicPr>
      </xdr:nvPicPr>
      <xdr:blipFill>
        <a:blip xmlns:r="http://schemas.openxmlformats.org/officeDocument/2006/relationships" r:embed="rId11" cstate="print"/>
        <a:srcRect/>
        <a:stretch>
          <a:fillRect/>
        </a:stretch>
      </xdr:blipFill>
      <xdr:spPr bwMode="auto">
        <a:xfrm>
          <a:off x="17011650" y="20564475"/>
          <a:ext cx="4143375" cy="5219700"/>
        </a:xfrm>
        <a:prstGeom prst="rect">
          <a:avLst/>
        </a:prstGeom>
        <a:noFill/>
        <a:ln w="1">
          <a:noFill/>
          <a:miter lim="800000"/>
          <a:headEnd/>
          <a:tailEnd type="none" w="med" len="med"/>
        </a:ln>
        <a:effectLst/>
      </xdr:spPr>
    </xdr:pic>
    <xdr:clientData/>
  </xdr:twoCellAnchor>
  <xdr:twoCellAnchor editAs="oneCell">
    <xdr:from>
      <xdr:col>14</xdr:col>
      <xdr:colOff>628649</xdr:colOff>
      <xdr:row>122</xdr:row>
      <xdr:rowOff>109811</xdr:rowOff>
    </xdr:from>
    <xdr:to>
      <xdr:col>25</xdr:col>
      <xdr:colOff>9524</xdr:colOff>
      <xdr:row>160</xdr:row>
      <xdr:rowOff>95250</xdr:rowOff>
    </xdr:to>
    <xdr:pic>
      <xdr:nvPicPr>
        <xdr:cNvPr id="54280" name="Picture 8"/>
        <xdr:cNvPicPr>
          <a:picLocks noChangeAspect="1" noChangeArrowheads="1"/>
        </xdr:cNvPicPr>
      </xdr:nvPicPr>
      <xdr:blipFill>
        <a:blip xmlns:r="http://schemas.openxmlformats.org/officeDocument/2006/relationships" r:embed="rId12" cstate="print"/>
        <a:srcRect/>
        <a:stretch>
          <a:fillRect/>
        </a:stretch>
      </xdr:blipFill>
      <xdr:spPr bwMode="auto">
        <a:xfrm>
          <a:off x="10229849" y="27713261"/>
          <a:ext cx="6924675" cy="6500539"/>
        </a:xfrm>
        <a:prstGeom prst="rect">
          <a:avLst/>
        </a:prstGeom>
        <a:noFill/>
        <a:ln w="1">
          <a:noFill/>
          <a:miter lim="800000"/>
          <a:headEnd/>
          <a:tailEnd type="none" w="med" len="med"/>
        </a:ln>
        <a:effectLst/>
      </xdr:spPr>
    </xdr:pic>
    <xdr:clientData/>
  </xdr:twoCellAnchor>
  <xdr:twoCellAnchor editAs="oneCell">
    <xdr:from>
      <xdr:col>25</xdr:col>
      <xdr:colOff>0</xdr:colOff>
      <xdr:row>123</xdr:row>
      <xdr:rowOff>0</xdr:rowOff>
    </xdr:from>
    <xdr:to>
      <xdr:col>37</xdr:col>
      <xdr:colOff>333375</xdr:colOff>
      <xdr:row>148</xdr:row>
      <xdr:rowOff>95250</xdr:rowOff>
    </xdr:to>
    <xdr:pic>
      <xdr:nvPicPr>
        <xdr:cNvPr id="54281" name="Picture 9"/>
        <xdr:cNvPicPr>
          <a:picLocks noChangeAspect="1" noChangeArrowheads="1"/>
        </xdr:cNvPicPr>
      </xdr:nvPicPr>
      <xdr:blipFill>
        <a:blip xmlns:r="http://schemas.openxmlformats.org/officeDocument/2006/relationships" r:embed="rId13" cstate="print"/>
        <a:srcRect/>
        <a:stretch>
          <a:fillRect/>
        </a:stretch>
      </xdr:blipFill>
      <xdr:spPr bwMode="auto">
        <a:xfrm>
          <a:off x="17145000" y="27774900"/>
          <a:ext cx="8562975" cy="43815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561975</xdr:colOff>
      <xdr:row>37</xdr:row>
      <xdr:rowOff>161925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105775" cy="6505575"/>
        </a:xfrm>
        <a:prstGeom prst="rect">
          <a:avLst/>
        </a:prstGeom>
        <a:noFill/>
        <a:ln w="1">
          <a:noFill/>
          <a:miter lim="800000"/>
          <a:headEnd/>
          <a:tailEnd type="none" w="med" len="med"/>
        </a:ln>
        <a:effectLst/>
      </xdr:spPr>
    </xdr:pic>
    <xdr:clientData/>
  </xdr:twoCellAnchor>
  <xdr:twoCellAnchor editAs="oneCell">
    <xdr:from>
      <xdr:col>12</xdr:col>
      <xdr:colOff>264947</xdr:colOff>
      <xdr:row>11</xdr:row>
      <xdr:rowOff>76202</xdr:rowOff>
    </xdr:from>
    <xdr:to>
      <xdr:col>15</xdr:col>
      <xdr:colOff>47625</xdr:colOff>
      <xdr:row>21</xdr:row>
      <xdr:rowOff>142875</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494547" y="1962152"/>
          <a:ext cx="1840078" cy="1781173"/>
        </a:xfrm>
        <a:prstGeom prst="rect">
          <a:avLst/>
        </a:prstGeom>
        <a:noFill/>
        <a:ln w="1">
          <a:noFill/>
          <a:miter lim="800000"/>
          <a:headEnd/>
          <a:tailEnd type="none" w="med" len="med"/>
        </a:ln>
        <a:effectLst/>
      </xdr:spPr>
    </xdr:pic>
    <xdr:clientData/>
  </xdr:twoCellAnchor>
  <xdr:twoCellAnchor editAs="oneCell">
    <xdr:from>
      <xdr:col>12</xdr:col>
      <xdr:colOff>19050</xdr:colOff>
      <xdr:row>23</xdr:row>
      <xdr:rowOff>1</xdr:rowOff>
    </xdr:from>
    <xdr:to>
      <xdr:col>15</xdr:col>
      <xdr:colOff>419100</xdr:colOff>
      <xdr:row>33</xdr:row>
      <xdr:rowOff>16535</xdr:rowOff>
    </xdr:to>
    <xdr:pic>
      <xdr:nvPicPr>
        <xdr:cNvPr id="5427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8248650" y="3943351"/>
          <a:ext cx="2457450" cy="1731034"/>
        </a:xfrm>
        <a:prstGeom prst="rect">
          <a:avLst/>
        </a:prstGeom>
        <a:noFill/>
        <a:ln w="1">
          <a:noFill/>
          <a:miter lim="800000"/>
          <a:headEnd/>
          <a:tailEnd type="none" w="med" len="med"/>
        </a:ln>
        <a:effectLst/>
      </xdr:spPr>
    </xdr:pic>
    <xdr:clientData/>
  </xdr:twoCellAnchor>
  <xdr:twoCellAnchor>
    <xdr:from>
      <xdr:col>12</xdr:col>
      <xdr:colOff>57150</xdr:colOff>
      <xdr:row>0</xdr:row>
      <xdr:rowOff>0</xdr:rowOff>
    </xdr:from>
    <xdr:to>
      <xdr:col>14</xdr:col>
      <xdr:colOff>628650</xdr:colOff>
      <xdr:row>10</xdr:row>
      <xdr:rowOff>57150</xdr:rowOff>
    </xdr:to>
    <xdr:pic>
      <xdr:nvPicPr>
        <xdr:cNvPr id="54276" name="图片 1"/>
        <xdr:cNvPicPr>
          <a:picLocks noChangeAspect="1" noChangeArrowheads="1"/>
        </xdr:cNvPicPr>
      </xdr:nvPicPr>
      <xdr:blipFill>
        <a:blip xmlns:r="http://schemas.openxmlformats.org/officeDocument/2006/relationships" r:embed="rId4" cstate="print"/>
        <a:srcRect/>
        <a:stretch>
          <a:fillRect/>
        </a:stretch>
      </xdr:blipFill>
      <xdr:spPr bwMode="auto">
        <a:xfrm>
          <a:off x="8286750" y="0"/>
          <a:ext cx="1943100" cy="17716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133350</xdr:rowOff>
    </xdr:from>
    <xdr:to>
      <xdr:col>13</xdr:col>
      <xdr:colOff>542925</xdr:colOff>
      <xdr:row>30</xdr:row>
      <xdr:rowOff>17103</xdr:rowOff>
    </xdr:to>
    <xdr:pic>
      <xdr:nvPicPr>
        <xdr:cNvPr id="542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3562350"/>
          <a:ext cx="9458325" cy="5027253"/>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76200</xdr:rowOff>
    </xdr:from>
    <xdr:to>
      <xdr:col>14</xdr:col>
      <xdr:colOff>488633</xdr:colOff>
      <xdr:row>69</xdr:row>
      <xdr:rowOff>161925</xdr:rowOff>
    </xdr:to>
    <xdr:pic>
      <xdr:nvPicPr>
        <xdr:cNvPr id="5427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0" y="16192500"/>
          <a:ext cx="10089833" cy="6429375"/>
        </a:xfrm>
        <a:prstGeom prst="rect">
          <a:avLst/>
        </a:prstGeom>
        <a:noFill/>
        <a:ln w="1">
          <a:noFill/>
          <a:miter lim="800000"/>
          <a:headEnd/>
          <a:tailEnd type="none" w="med" len="med"/>
        </a:ln>
        <a:effectLst/>
      </xdr:spPr>
    </xdr:pic>
    <xdr:clientData/>
  </xdr:twoCellAnchor>
  <xdr:twoCellAnchor editAs="oneCell">
    <xdr:from>
      <xdr:col>0</xdr:col>
      <xdr:colOff>0</xdr:colOff>
      <xdr:row>73</xdr:row>
      <xdr:rowOff>0</xdr:rowOff>
    </xdr:from>
    <xdr:to>
      <xdr:col>16</xdr:col>
      <xdr:colOff>314325</xdr:colOff>
      <xdr:row>105</xdr:row>
      <xdr:rowOff>66675</xdr:rowOff>
    </xdr:to>
    <xdr:pic>
      <xdr:nvPicPr>
        <xdr:cNvPr id="54278" name="Picture 6"/>
        <xdr:cNvPicPr>
          <a:picLocks noChangeAspect="1" noChangeArrowheads="1"/>
        </xdr:cNvPicPr>
      </xdr:nvPicPr>
      <xdr:blipFill>
        <a:blip xmlns:r="http://schemas.openxmlformats.org/officeDocument/2006/relationships" r:embed="rId3" cstate="print"/>
        <a:srcRect/>
        <a:stretch>
          <a:fillRect/>
        </a:stretch>
      </xdr:blipFill>
      <xdr:spPr bwMode="auto">
        <a:xfrm>
          <a:off x="0" y="12515850"/>
          <a:ext cx="11287125" cy="5553075"/>
        </a:xfrm>
        <a:prstGeom prst="rect">
          <a:avLst/>
        </a:prstGeom>
        <a:noFill/>
        <a:ln w="1">
          <a:noFill/>
          <a:miter lim="800000"/>
          <a:headEnd/>
          <a:tailEnd type="none" w="med" len="med"/>
        </a:ln>
        <a:effectLst/>
      </xdr:spPr>
    </xdr:pic>
    <xdr:clientData/>
  </xdr:twoCellAnchor>
  <xdr:twoCellAnchor editAs="oneCell">
    <xdr:from>
      <xdr:col>0</xdr:col>
      <xdr:colOff>0</xdr:colOff>
      <xdr:row>107</xdr:row>
      <xdr:rowOff>104775</xdr:rowOff>
    </xdr:from>
    <xdr:to>
      <xdr:col>15</xdr:col>
      <xdr:colOff>58536</xdr:colOff>
      <xdr:row>145</xdr:row>
      <xdr:rowOff>161925</xdr:rowOff>
    </xdr:to>
    <xdr:pic>
      <xdr:nvPicPr>
        <xdr:cNvPr id="542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18449925"/>
          <a:ext cx="10345536" cy="6572250"/>
        </a:xfrm>
        <a:prstGeom prst="rect">
          <a:avLst/>
        </a:prstGeom>
        <a:noFill/>
        <a:ln w="1">
          <a:noFill/>
          <a:miter lim="800000"/>
          <a:headEnd/>
          <a:tailEnd type="none" w="med" len="med"/>
        </a:ln>
        <a:effectLst/>
      </xdr:spPr>
    </xdr:pic>
    <xdr:clientData/>
  </xdr:twoCellAnchor>
  <xdr:twoCellAnchor editAs="oneCell">
    <xdr:from>
      <xdr:col>0</xdr:col>
      <xdr:colOff>0</xdr:colOff>
      <xdr:row>148</xdr:row>
      <xdr:rowOff>0</xdr:rowOff>
    </xdr:from>
    <xdr:to>
      <xdr:col>12</xdr:col>
      <xdr:colOff>569324</xdr:colOff>
      <xdr:row>180</xdr:row>
      <xdr:rowOff>152400</xdr:rowOff>
    </xdr:to>
    <xdr:pic>
      <xdr:nvPicPr>
        <xdr:cNvPr id="9" name="Picture 4"/>
        <xdr:cNvPicPr>
          <a:picLocks noChangeAspect="1" noChangeArrowheads="1"/>
        </xdr:cNvPicPr>
      </xdr:nvPicPr>
      <xdr:blipFill>
        <a:blip xmlns:r="http://schemas.openxmlformats.org/officeDocument/2006/relationships" r:embed="rId5" cstate="print"/>
        <a:srcRect/>
        <a:stretch>
          <a:fillRect/>
        </a:stretch>
      </xdr:blipFill>
      <xdr:spPr bwMode="auto">
        <a:xfrm>
          <a:off x="0" y="25374600"/>
          <a:ext cx="8798924" cy="5638800"/>
        </a:xfrm>
        <a:prstGeom prst="rect">
          <a:avLst/>
        </a:prstGeom>
        <a:noFill/>
        <a:ln w="1">
          <a:noFill/>
          <a:miter lim="800000"/>
          <a:headEnd/>
          <a:tailEnd type="none" w="med" len="med"/>
        </a:ln>
        <a:effectLst/>
      </xdr:spPr>
    </xdr:pic>
    <xdr:clientData/>
  </xdr:twoCellAnchor>
  <xdr:twoCellAnchor editAs="oneCell">
    <xdr:from>
      <xdr:col>0</xdr:col>
      <xdr:colOff>0</xdr:colOff>
      <xdr:row>182</xdr:row>
      <xdr:rowOff>0</xdr:rowOff>
    </xdr:from>
    <xdr:to>
      <xdr:col>9</xdr:col>
      <xdr:colOff>542925</xdr:colOff>
      <xdr:row>190</xdr:row>
      <xdr:rowOff>86496</xdr:rowOff>
    </xdr:to>
    <xdr:pic>
      <xdr:nvPicPr>
        <xdr:cNvPr id="10" name="Picture 1"/>
        <xdr:cNvPicPr>
          <a:picLocks noChangeAspect="1" noChangeArrowheads="1"/>
        </xdr:cNvPicPr>
      </xdr:nvPicPr>
      <xdr:blipFill>
        <a:blip xmlns:r="http://schemas.openxmlformats.org/officeDocument/2006/relationships" r:embed="rId6" cstate="print"/>
        <a:srcRect/>
        <a:stretch>
          <a:fillRect/>
        </a:stretch>
      </xdr:blipFill>
      <xdr:spPr bwMode="auto">
        <a:xfrm>
          <a:off x="0" y="31203900"/>
          <a:ext cx="6715125" cy="1458096"/>
        </a:xfrm>
        <a:prstGeom prst="rect">
          <a:avLst/>
        </a:prstGeom>
        <a:noFill/>
        <a:ln w="1">
          <a:noFill/>
          <a:miter lim="800000"/>
          <a:headEnd/>
          <a:tailEnd type="none" w="med" len="med"/>
        </a:ln>
        <a:effectLst/>
      </xdr:spPr>
    </xdr:pic>
    <xdr:clientData/>
  </xdr:twoCellAnchor>
  <xdr:twoCellAnchor editAs="oneCell">
    <xdr:from>
      <xdr:col>0</xdr:col>
      <xdr:colOff>0</xdr:colOff>
      <xdr:row>191</xdr:row>
      <xdr:rowOff>0</xdr:rowOff>
    </xdr:from>
    <xdr:to>
      <xdr:col>16</xdr:col>
      <xdr:colOff>209550</xdr:colOff>
      <xdr:row>196</xdr:row>
      <xdr:rowOff>152400</xdr:rowOff>
    </xdr:to>
    <xdr:pic>
      <xdr:nvPicPr>
        <xdr:cNvPr id="11" name="Picture 2"/>
        <xdr:cNvPicPr>
          <a:picLocks noChangeAspect="1" noChangeArrowheads="1"/>
        </xdr:cNvPicPr>
      </xdr:nvPicPr>
      <xdr:blipFill>
        <a:blip xmlns:r="http://schemas.openxmlformats.org/officeDocument/2006/relationships" r:embed="rId7" cstate="print"/>
        <a:srcRect/>
        <a:stretch>
          <a:fillRect/>
        </a:stretch>
      </xdr:blipFill>
      <xdr:spPr bwMode="auto">
        <a:xfrm>
          <a:off x="0" y="32746950"/>
          <a:ext cx="11182350" cy="1009650"/>
        </a:xfrm>
        <a:prstGeom prst="rect">
          <a:avLst/>
        </a:prstGeom>
        <a:noFill/>
        <a:ln w="1">
          <a:noFill/>
          <a:miter lim="800000"/>
          <a:headEnd/>
          <a:tailEnd type="none" w="med" len="med"/>
        </a:ln>
        <a:effectLst/>
      </xdr:spPr>
    </xdr:pic>
    <xdr:clientData/>
  </xdr:twoCellAnchor>
  <xdr:twoCellAnchor editAs="oneCell">
    <xdr:from>
      <xdr:col>0</xdr:col>
      <xdr:colOff>0</xdr:colOff>
      <xdr:row>200</xdr:row>
      <xdr:rowOff>0</xdr:rowOff>
    </xdr:from>
    <xdr:to>
      <xdr:col>13</xdr:col>
      <xdr:colOff>523465</xdr:colOff>
      <xdr:row>234</xdr:row>
      <xdr:rowOff>152400</xdr:rowOff>
    </xdr:to>
    <xdr:pic>
      <xdr:nvPicPr>
        <xdr:cNvPr id="12"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0" y="34290000"/>
          <a:ext cx="9438865" cy="5981700"/>
        </a:xfrm>
        <a:prstGeom prst="rect">
          <a:avLst/>
        </a:prstGeom>
        <a:noFill/>
        <a:ln w="1">
          <a:noFill/>
          <a:miter lim="800000"/>
          <a:headEnd/>
          <a:tailEnd type="none" w="med" len="me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11</xdr:col>
      <xdr:colOff>9525</xdr:colOff>
      <xdr:row>37</xdr:row>
      <xdr:rowOff>19050</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71450"/>
          <a:ext cx="7553325" cy="6191250"/>
        </a:xfrm>
        <a:prstGeom prst="rect">
          <a:avLst/>
        </a:prstGeom>
        <a:noFill/>
        <a:ln w="1">
          <a:noFill/>
          <a:miter lim="800000"/>
          <a:headEnd/>
          <a:tailEnd type="none" w="med" len="med"/>
        </a:ln>
        <a:effectLst/>
      </xdr:spPr>
    </xdr:pic>
    <xdr:clientData/>
  </xdr:twoCellAnchor>
  <xdr:twoCellAnchor editAs="oneCell">
    <xdr:from>
      <xdr:col>0</xdr:col>
      <xdr:colOff>0</xdr:colOff>
      <xdr:row>37</xdr:row>
      <xdr:rowOff>0</xdr:rowOff>
    </xdr:from>
    <xdr:to>
      <xdr:col>10</xdr:col>
      <xdr:colOff>438150</xdr:colOff>
      <xdr:row>72</xdr:row>
      <xdr:rowOff>95250</xdr:rowOff>
    </xdr:to>
    <xdr:pic>
      <xdr:nvPicPr>
        <xdr:cNvPr id="5427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6343650"/>
          <a:ext cx="7296150" cy="609600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02&#21518;&#24125;&#32993;&#21516;&#27979;&#31639;F02(40&#24180;&#21830;&#19994;&#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02&#21518;&#24125;&#32993;&#21516;&#27979;&#31639;(40.07&#24180;&#21150;&#20844;&#20179;&#20648;&#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02&#21518;&#24125;&#32993;&#21516;&#27979;&#31639;(40.07&#24180;&#21150;&#20844;&#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表二"/>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出售案例"/>
      <sheetName val="地图"/>
      <sheetName val="未使用案例"/>
      <sheetName val="Sheet1"/>
      <sheetName val="Sheet2"/>
      <sheetName val="商业案例"/>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8">
          <cell r="C18">
            <v>0.4</v>
          </cell>
          <cell r="D18">
            <v>0.6</v>
          </cell>
        </row>
        <row r="20">
          <cell r="C20">
            <v>41084</v>
          </cell>
          <cell r="D20">
            <v>42180</v>
          </cell>
        </row>
      </sheetData>
      <sheetData sheetId="17"/>
      <sheetData sheetId="18"/>
      <sheetData sheetId="19"/>
      <sheetData sheetId="20"/>
      <sheetData sheetId="21"/>
      <sheetData sheetId="22">
        <row r="33">
          <cell r="C33">
            <v>30676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表二"/>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出售案例"/>
      <sheetName val="地图"/>
      <sheetName val="未使用案例"/>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0">
          <cell r="C20">
            <v>29571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结果表二"/>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出售案例"/>
      <sheetName val="地图"/>
      <sheetName val="未使用案例"/>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0">
          <cell r="C20">
            <v>29571</v>
          </cell>
        </row>
      </sheetData>
      <sheetData sheetId="17" refreshError="1"/>
      <sheetData sheetId="18" refreshError="1"/>
      <sheetData sheetId="19" refreshError="1"/>
      <sheetData sheetId="20" refreshError="1"/>
      <sheetData sheetId="21" refreshError="1"/>
      <sheetData sheetId="22">
        <row r="38">
          <cell r="C38">
            <v>10165</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2660</v>
      </c>
      <c r="B1" s="2913" t="s">
        <v>2757</v>
      </c>
    </row>
    <row r="2" spans="1:55" s="2917" customFormat="1" ht="15" thickTop="1">
      <c r="A2" s="2915" t="s">
        <v>2664</v>
      </c>
      <c r="B2" s="2916" t="str">
        <f>'预评函-封皮'!B37</f>
        <v>北京市出让国有建设用地使用权市场价格预评估</v>
      </c>
      <c r="AX2" s="2918"/>
      <c r="AZ2" s="2918"/>
      <c r="BA2" s="2919"/>
      <c r="BC2" s="2919"/>
    </row>
    <row r="3" spans="1:55" s="2920" customFormat="1">
      <c r="A3" s="2899" t="s">
        <v>2665</v>
      </c>
      <c r="B3" s="2902">
        <f>'预评函-封皮'!B40</f>
        <v>0</v>
      </c>
    </row>
    <row r="4" spans="1:55" s="2901" customFormat="1">
      <c r="A4" s="2899" t="s">
        <v>2666</v>
      </c>
      <c r="B4" s="2900" t="str">
        <f>'预评函-封皮'!B46</f>
        <v>陈颖、杨红英</v>
      </c>
      <c r="N4" s="2901" t="str">
        <f>'预评函-1'!A28</f>
        <v>——</v>
      </c>
    </row>
    <row r="5" spans="1:55" s="2914" customFormat="1" ht="15" thickBot="1">
      <c r="A5" s="2921" t="s">
        <v>2667</v>
      </c>
      <c r="B5" s="2922" t="str">
        <f>'预评函-封皮'!B49</f>
        <v>康正预评字号</v>
      </c>
    </row>
    <row r="6" spans="1:55" s="2923" customFormat="1" ht="15" thickTop="1">
      <c r="A6" s="2915" t="s">
        <v>2709</v>
      </c>
      <c r="B6" s="2916" t="str">
        <f>'预评函-1'!A4</f>
        <v>受贵公司委托，我公司对北京市出让国有建设用地使用权市场价格进行了预评估。</v>
      </c>
      <c r="AM6" s="2924"/>
    </row>
    <row r="7" spans="1:55" s="2898" customFormat="1">
      <c r="A7" s="2899" t="s">
        <v>2661</v>
      </c>
      <c r="B7" s="2900" t="str">
        <f>'预评函-1'!A6</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8" spans="1:55" s="2898" customFormat="1">
      <c r="A8" s="2899" t="s">
        <v>2662</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2712</v>
      </c>
      <c r="B9" s="2900" t="str">
        <f>'预评函-1'!A9</f>
        <v>本次评估为委托估价方了解标的物之市场价格提供参考依据而评估出让国有建设用地使用权市场价格。</v>
      </c>
    </row>
    <row r="10" spans="1:55" s="2898" customFormat="1">
      <c r="A10" s="2899" t="s">
        <v>2663</v>
      </c>
      <c r="B10" s="2900" t="str">
        <f>'预评函-1'!A11</f>
        <v>2018年5月10日</v>
      </c>
    </row>
    <row r="11" spans="1:55" s="2898" customFormat="1">
      <c r="A11" s="2899" t="s">
        <v>2669</v>
      </c>
      <c r="B11" s="2900" t="str">
        <f>'预评函-1'!A14</f>
        <v>根据《国有土地使用证》[]，本次评估估价对象证载（地类）用途为。</v>
      </c>
    </row>
    <row r="12" spans="1:55" s="2898" customFormat="1">
      <c r="A12" s="2899" t="s">
        <v>2670</v>
      </c>
      <c r="B12" s="2900" t="str">
        <f>'预评函-1'!A15</f>
        <v>本次评估设定用途即为证载用途。</v>
      </c>
    </row>
    <row r="13" spans="1:55" s="2898" customFormat="1">
      <c r="A13" s="2899" t="s">
        <v>2671</v>
      </c>
      <c r="B13" s="2900" t="str">
        <f>'预评函-1'!A17</f>
        <v>根据委托估价方介绍及评估专业人员现场勘查，本次评估估价对象实际土地开发程度为红线外市政基础设施达“七通”（即通路、通电、通讯、通上水、通下水、通热、燃气）、宗地红线内场地平整。</v>
      </c>
    </row>
    <row r="14" spans="1:55" s="2898" customFormat="1">
      <c r="A14" s="2899" t="s">
        <v>2672</v>
      </c>
      <c r="B14" s="2900" t="str">
        <f>'预评函-1'!A18</f>
        <v>。本次评估设定土地开发程度为红线外市政基础设施达“七通”、宗地红线内场地平整。</v>
      </c>
    </row>
    <row r="15" spans="1:55" s="2898" customFormat="1">
      <c r="A15" s="2899" t="s">
        <v>2668</v>
      </c>
      <c r="B15" s="2900" t="str">
        <f>'预评函-1'!A20</f>
        <v>根据《国有土地使用证》[]，估价对象（分摊）出让国有建设用地使用权面积为2079.07平方米。根据《建设工程规划许可证》[]、《出让合同》[]，估价对象规划建筑面积为10000平方米。</v>
      </c>
    </row>
    <row r="16" spans="1:55" s="2898" customFormat="1">
      <c r="A16" s="2899" t="s">
        <v>2673</v>
      </c>
      <c r="B16" s="290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2080年1月1日地下仓储2080年1月1日。截至估价期日，出让国有建设用地使用权剩余土地使用年限为。</v>
      </c>
    </row>
    <row r="17" spans="1:48" s="2898" customFormat="1">
      <c r="A17" s="2899" t="s">
        <v>2674</v>
      </c>
      <c r="B17" s="2900" t="str">
        <f>'预评函-1'!A23</f>
        <v>本次评估设定估价对象剩余土地使用年限为。</v>
      </c>
    </row>
    <row r="18" spans="1:48" s="2898" customFormat="1">
      <c r="A18" s="2899" t="s">
        <v>2675</v>
      </c>
      <c r="B18" s="2900" t="str">
        <f>'预评函-1'!A25</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19" spans="1:48" s="2898" customFormat="1">
      <c r="A19" s="2899" t="s">
        <v>2676</v>
      </c>
      <c r="B19" s="2900" t="str">
        <f>'预评函-1'!A26</f>
        <v>——</v>
      </c>
    </row>
    <row r="20" spans="1:48" s="2898" customFormat="1">
      <c r="A20" s="2899" t="s">
        <v>2677</v>
      </c>
      <c r="B20" s="2900" t="str">
        <f>'预评函-1'!A27</f>
        <v>——</v>
      </c>
    </row>
    <row r="21" spans="1:48" s="2914" customFormat="1" ht="15" thickBot="1">
      <c r="A21" s="2921" t="s">
        <v>2678</v>
      </c>
      <c r="B21" s="2922" t="str">
        <f>'预评函-1'!A28</f>
        <v>——</v>
      </c>
    </row>
    <row r="22" spans="1:48" ht="15" thickTop="1">
      <c r="A22" s="2910" t="s">
        <v>2679</v>
      </c>
      <c r="B22" s="2911"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99" t="s">
        <v>2680</v>
      </c>
      <c r="B23" s="2900" t="str">
        <f>'预评函-2'!K2</f>
        <v>估价期日：2018年5月10日</v>
      </c>
    </row>
    <row r="24" spans="1:48">
      <c r="A24" s="2899" t="s">
        <v>2681</v>
      </c>
      <c r="B24" s="2900" t="str">
        <f>'预评函-2'!R2</f>
        <v>估价期日的国有建设用地使用权性质：出让</v>
      </c>
    </row>
    <row r="25" spans="1:48">
      <c r="A25" s="2899" t="s">
        <v>2737</v>
      </c>
      <c r="B25" s="2900" t="str">
        <f>'预评函-2'!A3</f>
        <v>估价期日土地使用者</v>
      </c>
    </row>
    <row r="26" spans="1:48">
      <c r="A26" s="2899" t="s">
        <v>2713</v>
      </c>
      <c r="B26" s="2900" t="str">
        <f>'预评函-2'!A5</f>
        <v>中信开发</v>
      </c>
    </row>
    <row r="27" spans="1:48">
      <c r="A27" s="2899" t="s">
        <v>2738</v>
      </c>
      <c r="B27" s="2900" t="str">
        <f>'预评函-2'!B3</f>
        <v>宗地编号/不动产单元号</v>
      </c>
    </row>
    <row r="28" spans="1:48">
      <c r="A28" s="2899" t="s">
        <v>2714</v>
      </c>
      <c r="B28" s="2900" t="str">
        <f>'预评函-2'!B5</f>
        <v>11111111111</v>
      </c>
    </row>
    <row r="29" spans="1:48">
      <c r="A29" s="2899" t="s">
        <v>2740</v>
      </c>
      <c r="B29" s="2900">
        <f>'预评函-2'!C5</f>
        <v>22</v>
      </c>
    </row>
    <row r="30" spans="1:48">
      <c r="A30" s="2899" t="s">
        <v>2741</v>
      </c>
      <c r="B30" s="2900" t="str">
        <f>'预评函-2'!D3</f>
        <v>土地使用证编号/不动产权证书编号</v>
      </c>
    </row>
    <row r="31" spans="1:48">
      <c r="A31" s="2899" t="s">
        <v>2715</v>
      </c>
      <c r="B31" s="2900" t="str">
        <f>'预评函-2'!D5</f>
        <v>京国土字第111号</v>
      </c>
    </row>
    <row r="32" spans="1:48">
      <c r="A32" s="2899" t="s">
        <v>2716</v>
      </c>
      <c r="B32" s="2900">
        <f>'预评函-2'!E5</f>
        <v>0</v>
      </c>
      <c r="AV32" s="2904"/>
    </row>
    <row r="33" spans="1:2">
      <c r="A33" s="2899" t="s">
        <v>2717</v>
      </c>
      <c r="B33" s="2900">
        <f>'预评函-2'!F5</f>
        <v>258</v>
      </c>
    </row>
    <row r="34" spans="1:2">
      <c r="A34" s="2899" t="s">
        <v>2718</v>
      </c>
      <c r="B34" s="2900">
        <f>'预评函-2'!G5</f>
        <v>0</v>
      </c>
    </row>
    <row r="35" spans="1:2">
      <c r="A35" s="2899" t="s">
        <v>2719</v>
      </c>
      <c r="B35" s="2900">
        <f>'预评函-2'!H5</f>
        <v>1.5</v>
      </c>
    </row>
    <row r="36" spans="1:2">
      <c r="A36" s="2899" t="s">
        <v>2720</v>
      </c>
      <c r="B36" s="2900">
        <f>'预评函-2'!I5</f>
        <v>1.5</v>
      </c>
    </row>
    <row r="37" spans="1:2">
      <c r="A37" s="2899" t="s">
        <v>2721</v>
      </c>
      <c r="B37" s="2900">
        <f>'预评函-2'!J5</f>
        <v>1.5</v>
      </c>
    </row>
    <row r="38" spans="1:2">
      <c r="A38" s="2899" t="s">
        <v>2722</v>
      </c>
      <c r="B38" s="2900" t="str">
        <f>'预评函-2'!K5</f>
        <v>红线外七通、宗地红线内</v>
      </c>
    </row>
    <row r="39" spans="1:2">
      <c r="A39" s="2899" t="s">
        <v>2723</v>
      </c>
      <c r="B39" s="2900" t="str">
        <f>'预评函-2'!L5</f>
        <v>红线外七通、宗地红线内场地</v>
      </c>
    </row>
    <row r="40" spans="1:2">
      <c r="A40" s="2899" t="s">
        <v>2742</v>
      </c>
      <c r="B40" s="2900" t="str">
        <f>'预评函-2'!M3</f>
        <v>（剩余）土地使用年限/年</v>
      </c>
    </row>
    <row r="41" spans="1:2">
      <c r="A41" s="2899" t="s">
        <v>2724</v>
      </c>
      <c r="B41" s="2900">
        <f>'预评函-2'!M5</f>
        <v>0</v>
      </c>
    </row>
    <row r="42" spans="1:2">
      <c r="A42" s="2899" t="s">
        <v>2743</v>
      </c>
      <c r="B42" s="2900" t="str">
        <f>'预评函-2'!N3</f>
        <v>（分摊）出让国有建设用地使用权面积/㎡</v>
      </c>
    </row>
    <row r="43" spans="1:2">
      <c r="A43" s="2899" t="s">
        <v>2725</v>
      </c>
      <c r="B43" s="2900">
        <f>'预评函-2'!N5</f>
        <v>2079.0700000000002</v>
      </c>
    </row>
    <row r="44" spans="1:2">
      <c r="A44" s="2899" t="s">
        <v>2744</v>
      </c>
      <c r="B44" s="2900" t="str">
        <f>'预评函-2'!O3</f>
        <v>规划建筑面积/㎡</v>
      </c>
    </row>
    <row r="45" spans="1:2">
      <c r="A45" s="2899" t="s">
        <v>2726</v>
      </c>
      <c r="B45" s="2900">
        <f>'预评函-2'!O5</f>
        <v>10000</v>
      </c>
    </row>
    <row r="46" spans="1:2">
      <c r="A46" s="2899" t="s">
        <v>2727</v>
      </c>
      <c r="B46" s="2900">
        <f ca="1">'预评函-2'!P5</f>
        <v>160504</v>
      </c>
    </row>
    <row r="47" spans="1:2">
      <c r="A47" s="2899" t="s">
        <v>2728</v>
      </c>
      <c r="B47" s="2900">
        <f ca="1">'预评函-2'!Q5</f>
        <v>33370</v>
      </c>
    </row>
    <row r="48" spans="1:2">
      <c r="A48" s="2899" t="s">
        <v>2729</v>
      </c>
      <c r="B48" s="2900">
        <f ca="1">'预评函-2'!R5</f>
        <v>33370</v>
      </c>
    </row>
    <row r="49" spans="1:2">
      <c r="A49" s="2899" t="s">
        <v>2745</v>
      </c>
      <c r="B49" s="2900" t="str">
        <f>'预评函-2'!A6</f>
        <v>——</v>
      </c>
    </row>
    <row r="50" spans="1:2">
      <c r="A50" s="2899" t="s">
        <v>2730</v>
      </c>
      <c r="B50" s="2900" t="str">
        <f>'预评函-2'!R6</f>
        <v>——</v>
      </c>
    </row>
    <row r="51" spans="1:2">
      <c r="A51" s="2899" t="s">
        <v>2746</v>
      </c>
      <c r="B51" s="2900" t="str">
        <f>'预评函-2'!A7</f>
        <v>——</v>
      </c>
    </row>
    <row r="52" spans="1:2">
      <c r="A52" s="2899" t="s">
        <v>2731</v>
      </c>
      <c r="B52" s="2900" t="str">
        <f>'预评函-2'!R7</f>
        <v>——</v>
      </c>
    </row>
    <row r="53" spans="1:2">
      <c r="A53" s="2899" t="s">
        <v>2747</v>
      </c>
      <c r="B53" s="2900" t="str">
        <f>'预评函-2'!A8</f>
        <v>——</v>
      </c>
    </row>
    <row r="54" spans="1:2" s="2914" customFormat="1" ht="15" thickBot="1">
      <c r="A54" s="2921" t="s">
        <v>2732</v>
      </c>
      <c r="B54" s="2922" t="str">
        <f>'预评函-2'!R8</f>
        <v>——</v>
      </c>
    </row>
    <row r="55" spans="1:2" ht="15" thickTop="1">
      <c r="A55" s="2910" t="s">
        <v>2682</v>
      </c>
      <c r="B55" s="2911" t="str">
        <f>'预评函-3'!A2</f>
        <v>1.权利限制：根据估价对象《不动产权证书》原件、《国有土地使用权》复印件，截至估价期日，估价对象抵押权未见登记。未设定租赁等其他他项权利。</v>
      </c>
    </row>
    <row r="56" spans="1:2">
      <c r="A56" s="2899" t="s">
        <v>2683</v>
      </c>
      <c r="B56" s="2900" t="str">
        <f>'预评函-3'!A3</f>
        <v>2.基础设施条件：估价对象实际开发程度为红线外七通、宗地红线内；本次评估设定开发程度为红线外七通、宗地红线内场地。</v>
      </c>
    </row>
    <row r="57" spans="1:2">
      <c r="A57" s="2899" t="s">
        <v>2684</v>
      </c>
      <c r="B57" s="2900" t="str">
        <f>'预评函-3'!A4</f>
        <v>3.估价规划限制条件：详见《建设工程规划许可证》[]、《出让合同》[]。</v>
      </c>
    </row>
    <row r="58" spans="1:2" s="2914" customFormat="1" ht="15" thickBot="1">
      <c r="A58" s="2921" t="s">
        <v>2733</v>
      </c>
      <c r="B58" s="2922" t="str">
        <f>'预评函-3'!A5</f>
        <v>4.影响价格的其他限定条件：无。</v>
      </c>
    </row>
    <row r="59" spans="1:2" ht="15" thickTop="1">
      <c r="A59" s="2910" t="s">
        <v>2685</v>
      </c>
      <c r="B59" s="2911" t="str">
        <f>'预评函-3'!A8</f>
        <v>2.本次评估设定估价对象宗地权属无争议，未被查封或者以其他形式限制其房地产权利，未设定抵押权等他项权利，不涉及第三方权利义务。</v>
      </c>
    </row>
    <row r="60" spans="1:2">
      <c r="A60" s="2899" t="s">
        <v>2686</v>
      </c>
      <c r="B60" s="2900" t="str">
        <f>'预评函-3'!A9</f>
        <v>——</v>
      </c>
    </row>
    <row r="61" spans="1:2">
      <c r="A61" s="2899" t="s">
        <v>2688</v>
      </c>
      <c r="B61" s="2900" t="str">
        <f>'预评函-3'!A10</f>
        <v>——</v>
      </c>
    </row>
    <row r="62" spans="1:2">
      <c r="A62" s="2899" t="s">
        <v>2687</v>
      </c>
      <c r="B62" s="2900" t="str">
        <f>'预评函-3'!A11</f>
        <v>——</v>
      </c>
    </row>
    <row r="63" spans="1:2">
      <c r="A63" s="2899" t="s">
        <v>2689</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2690</v>
      </c>
      <c r="B64" s="2905" t="str">
        <f>'预评函-3'!A13</f>
        <v>（3）。</v>
      </c>
    </row>
    <row r="65" spans="1:2">
      <c r="A65" s="2899" t="s">
        <v>2691</v>
      </c>
      <c r="B65" s="2906" t="str">
        <f>'预评函-3'!A14</f>
        <v>——</v>
      </c>
    </row>
    <row r="66" spans="1:2">
      <c r="A66" s="2899" t="s">
        <v>2692</v>
      </c>
      <c r="B66" s="290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2693</v>
      </c>
      <c r="B67" s="290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2696</v>
      </c>
      <c r="B68" s="2925">
        <f>'预评函-3'!D30</f>
        <v>42558</v>
      </c>
    </row>
    <row r="69" spans="1:2" ht="15" thickTop="1">
      <c r="A69" s="2910" t="s">
        <v>2694</v>
      </c>
      <c r="B69" s="2911" t="str">
        <f>'预评函-3'!A20</f>
        <v>陈颖</v>
      </c>
    </row>
    <row r="70" spans="1:2">
      <c r="A70" s="2899" t="s">
        <v>2694</v>
      </c>
      <c r="B70" s="2906">
        <f ca="1">'预评函-3'!B20</f>
        <v>2004110096</v>
      </c>
    </row>
    <row r="71" spans="1:2">
      <c r="A71" s="2899" t="s">
        <v>2695</v>
      </c>
      <c r="B71" s="2900" t="str">
        <f>'预评函-3'!A21</f>
        <v>杨红英</v>
      </c>
    </row>
    <row r="72" spans="1:2" s="2914" customFormat="1" ht="15" thickBot="1">
      <c r="A72" s="2921" t="s">
        <v>2695</v>
      </c>
      <c r="B72" s="2927">
        <f>'预评函-3'!B21</f>
        <v>2004110128</v>
      </c>
    </row>
    <row r="73" spans="1:2" ht="15" thickTop="1">
      <c r="A73" s="2910" t="s">
        <v>2754</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2755</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2756</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2790</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topLeftCell="A10" zoomScale="90" zoomScaleNormal="100" zoomScaleSheetLayoutView="90" workbookViewId="0">
      <selection activeCell="H17" sqref="H17"/>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1940</v>
      </c>
      <c r="B1" s="3309" t="str">
        <f>IF(B10="北京市","北京市",C10)&amp;F10&amp;B16&amp;"国有建设用地使用权"&amp;B9&amp;"预评估"</f>
        <v>北京市出让国有建设用地使用权市场价格预评估</v>
      </c>
      <c r="C1" s="3310"/>
      <c r="D1" s="3310"/>
      <c r="E1" s="3310"/>
      <c r="F1" s="3310"/>
      <c r="G1" s="3310"/>
      <c r="H1" s="3310"/>
      <c r="I1" s="3311"/>
      <c r="J1" s="1692"/>
      <c r="K1" s="2476" t="str">
        <f>IF(B10="北京市","北京市",C10)&amp;F10&amp;B16&amp;"国有建设用地使用权"&amp;B9</f>
        <v>北京市出让国有建设用地使用权市场价格</v>
      </c>
      <c r="L1" s="1721"/>
      <c r="M1" s="1721"/>
      <c r="N1" s="1692"/>
      <c r="O1" s="1693"/>
      <c r="P1" s="1692"/>
      <c r="Q1" s="1692"/>
      <c r="R1" s="1692"/>
      <c r="S1" s="1692"/>
      <c r="T1" s="1692"/>
      <c r="U1" s="1692"/>
    </row>
    <row r="2" spans="1:21">
      <c r="A2" s="1658" t="s">
        <v>1941</v>
      </c>
      <c r="B2" s="1840"/>
      <c r="D2" s="1692"/>
      <c r="E2" s="1692"/>
      <c r="F2" s="1692"/>
      <c r="G2" s="1692"/>
      <c r="H2" s="1658"/>
      <c r="I2" s="1693"/>
      <c r="J2" s="1692"/>
      <c r="K2" s="2476" t="str">
        <f>IF(B10="北京市","北京市",C10)&amp;F10&amp;B16&amp;"国有建设用地使用权"</f>
        <v>北京市出让国有建设用地使用权</v>
      </c>
      <c r="L2" s="1721"/>
      <c r="M2" s="1721"/>
      <c r="N2" s="1692"/>
      <c r="O2" s="1693"/>
      <c r="P2" s="1692"/>
      <c r="Q2" s="1692"/>
      <c r="R2" s="1692"/>
      <c r="S2" s="1692"/>
      <c r="T2" s="1692"/>
      <c r="U2" s="1692"/>
    </row>
    <row r="3" spans="1:21">
      <c r="A3" s="1659" t="s">
        <v>1942</v>
      </c>
      <c r="B3" s="1660">
        <v>43257</v>
      </c>
      <c r="C3" s="1661" t="s">
        <v>1998</v>
      </c>
      <c r="D3" s="1660">
        <v>43230</v>
      </c>
      <c r="E3" s="1692"/>
      <c r="F3" s="1692"/>
      <c r="G3" s="1692"/>
      <c r="H3" s="1658"/>
      <c r="I3" s="1693"/>
      <c r="J3" s="1692"/>
      <c r="K3" s="1772"/>
      <c r="L3" s="1721"/>
      <c r="M3" s="1721"/>
      <c r="N3" s="1692"/>
      <c r="O3" s="1693"/>
      <c r="P3" s="1692"/>
      <c r="Q3" s="1692"/>
      <c r="R3" s="1692"/>
      <c r="S3" s="1692"/>
      <c r="T3" s="1692"/>
      <c r="U3" s="1692"/>
    </row>
    <row r="4" spans="1:21" ht="15" thickBot="1">
      <c r="A4" s="1662" t="s">
        <v>1943</v>
      </c>
      <c r="B4" s="1841" t="s">
        <v>2981</v>
      </c>
      <c r="C4" s="1844">
        <f ca="1">SUMIF(土地估价师,B4,估价师及机构信息!E3:E24)</f>
        <v>2004110096</v>
      </c>
      <c r="D4" s="1841" t="s">
        <v>2982</v>
      </c>
      <c r="E4" s="1844">
        <f>SUMIF(土地估价师,D4,估价师及机构信息!E3:E24)</f>
        <v>2004110128</v>
      </c>
      <c r="F4" s="1841" t="s">
        <v>952</v>
      </c>
      <c r="G4" s="1844">
        <f>SUMIF(土地估价师,F4,估价师及机构信息!E3:E24)</f>
        <v>0</v>
      </c>
      <c r="H4" s="1841" t="s">
        <v>952</v>
      </c>
      <c r="I4" s="1844">
        <f>SUMIF(土地估价师,H4,估价师及机构信息!E3:E24)</f>
        <v>0</v>
      </c>
      <c r="J4" s="1692"/>
      <c r="K4" s="2476" t="str">
        <f>IF(AND(F4="——",H4="——"),B4&amp;"、"&amp;D4,IF(AND(F4&lt;&gt;"——",H4="——"),B4&amp;"、"&amp;D4&amp;"、"&amp;F4,B4&amp;"、"&amp;D4&amp;"、"&amp;F4&amp;"、"&amp;H4))</f>
        <v>陈颖、杨红英</v>
      </c>
      <c r="L4" s="1721"/>
      <c r="M4" s="1721"/>
      <c r="N4" s="1692"/>
      <c r="O4" s="1693"/>
      <c r="P4" s="1692"/>
      <c r="Q4" s="1692"/>
      <c r="R4" s="1692"/>
      <c r="S4" s="1692"/>
      <c r="T4" s="1692"/>
      <c r="U4" s="1692"/>
    </row>
    <row r="5" spans="1:21" ht="15" thickTop="1">
      <c r="A5" s="1663" t="s">
        <v>1944</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2710</v>
      </c>
      <c r="B6" s="1787"/>
      <c r="C6" s="1759"/>
      <c r="D6" s="1666"/>
      <c r="E6" s="1692"/>
      <c r="F6" s="1692"/>
      <c r="G6" s="1692"/>
      <c r="H6" s="1658"/>
      <c r="I6" s="1693"/>
      <c r="J6" s="1692"/>
      <c r="K6" s="3077" t="str">
        <f>IF(COUNTIF(B6,"*上海银行*"),"上海银行","")</f>
        <v/>
      </c>
      <c r="L6" s="1721"/>
      <c r="M6" s="1721"/>
      <c r="N6" s="1692"/>
      <c r="O6" s="1693"/>
      <c r="P6" s="1692"/>
      <c r="Q6" s="1692"/>
      <c r="R6" s="1692"/>
      <c r="S6" s="1692"/>
      <c r="T6" s="1692"/>
      <c r="U6" s="1692"/>
    </row>
    <row r="7" spans="1:21">
      <c r="A7" s="1667" t="s">
        <v>2711</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1945</v>
      </c>
      <c r="B8" s="1668" t="s">
        <v>2983</v>
      </c>
      <c r="C8" s="1669"/>
      <c r="D8" s="3315" t="s">
        <v>1947</v>
      </c>
      <c r="E8" s="1842"/>
      <c r="F8" s="1670"/>
      <c r="G8" s="1658"/>
      <c r="H8" s="1658"/>
      <c r="I8" s="1705"/>
      <c r="J8" s="1692"/>
      <c r="K8" s="1772"/>
      <c r="L8" s="1721"/>
      <c r="M8" s="1721"/>
      <c r="N8" s="1692"/>
      <c r="O8" s="1693"/>
      <c r="P8" s="1692"/>
      <c r="Q8" s="1692"/>
      <c r="R8" s="1692"/>
      <c r="S8" s="1692"/>
      <c r="T8" s="1692"/>
      <c r="U8" s="1692"/>
    </row>
    <row r="9" spans="1:21" ht="15" thickBot="1">
      <c r="A9" s="1671" t="s">
        <v>1946</v>
      </c>
      <c r="B9" s="1672" t="s">
        <v>2984</v>
      </c>
      <c r="C9" s="1673"/>
      <c r="D9" s="3316"/>
      <c r="E9" s="1672"/>
      <c r="F9" s="1745"/>
      <c r="G9" s="1740"/>
      <c r="H9" s="1740"/>
      <c r="I9" s="1741"/>
      <c r="J9" s="1692"/>
      <c r="K9" s="1772"/>
      <c r="L9" s="1721"/>
      <c r="M9" s="1721"/>
      <c r="N9" s="1692"/>
      <c r="O9" s="1693"/>
      <c r="P9" s="1692"/>
      <c r="Q9" s="1692"/>
      <c r="R9" s="1692"/>
      <c r="S9" s="1692"/>
      <c r="T9" s="1692"/>
      <c r="U9" s="1692"/>
    </row>
    <row r="10" spans="1:21" ht="15" thickTop="1">
      <c r="A10" s="1742" t="s">
        <v>2002</v>
      </c>
      <c r="B10" s="3179" t="s">
        <v>1948</v>
      </c>
      <c r="C10" s="1674"/>
      <c r="D10" s="1665"/>
      <c r="E10" s="1675" t="s">
        <v>1949</v>
      </c>
      <c r="F10" s="1676"/>
      <c r="G10" s="1743"/>
      <c r="H10" s="1744"/>
      <c r="I10" s="1665"/>
      <c r="J10" s="1692"/>
      <c r="K10" s="1772"/>
      <c r="L10" s="1721"/>
      <c r="M10" s="1721"/>
      <c r="N10" s="1692"/>
      <c r="O10" s="1693"/>
      <c r="P10" s="1692"/>
      <c r="Q10" s="1692"/>
      <c r="R10" s="1692"/>
      <c r="S10" s="1692"/>
      <c r="T10" s="1692"/>
      <c r="U10" s="1692"/>
    </row>
    <row r="11" spans="1:21">
      <c r="A11" s="1695" t="s">
        <v>2003</v>
      </c>
      <c r="B11" s="1696" t="s">
        <v>2985</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2061</v>
      </c>
      <c r="B12" s="3312"/>
      <c r="C12" s="3313"/>
      <c r="D12" s="3314"/>
      <c r="E12" s="1697" t="s">
        <v>2064</v>
      </c>
      <c r="F12" s="3330" t="s">
        <v>2891</v>
      </c>
      <c r="G12" s="3331"/>
      <c r="H12" s="3331"/>
      <c r="I12" s="3332"/>
      <c r="J12" s="1692"/>
      <c r="K12" s="1772"/>
      <c r="L12" s="1721"/>
      <c r="M12" s="1721"/>
      <c r="N12" s="1692"/>
      <c r="O12" s="1693"/>
      <c r="P12" s="1692"/>
      <c r="Q12" s="1692"/>
      <c r="R12" s="1692"/>
      <c r="S12" s="1692"/>
      <c r="T12" s="1692"/>
      <c r="U12" s="1692"/>
    </row>
    <row r="13" spans="1:21">
      <c r="A13" s="1685" t="s">
        <v>2062</v>
      </c>
      <c r="B13" s="3312"/>
      <c r="C13" s="3313"/>
      <c r="D13" s="3314"/>
      <c r="E13" s="1697" t="s">
        <v>2064</v>
      </c>
      <c r="F13" s="3330" t="s">
        <v>2892</v>
      </c>
      <c r="G13" s="3331"/>
      <c r="H13" s="3331"/>
      <c r="I13" s="3332"/>
      <c r="J13" s="1692"/>
      <c r="K13" s="1772"/>
      <c r="L13" s="1721"/>
      <c r="M13" s="1721"/>
      <c r="N13" s="1692"/>
      <c r="O13" s="1693"/>
      <c r="P13" s="1692"/>
      <c r="Q13" s="1692"/>
      <c r="R13" s="1692"/>
      <c r="S13" s="1692"/>
      <c r="T13" s="1692"/>
      <c r="U13" s="1692"/>
    </row>
    <row r="14" spans="1:21">
      <c r="A14" s="1659" t="s">
        <v>2065</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6"/>
      <c r="B15" s="1661"/>
      <c r="C15" s="1661"/>
      <c r="D15" s="1764" t="s">
        <v>1952</v>
      </c>
      <c r="E15" s="1764" t="s">
        <v>1953</v>
      </c>
      <c r="F15" s="1764" t="s">
        <v>1954</v>
      </c>
      <c r="G15" s="1684" t="s">
        <v>1955</v>
      </c>
      <c r="H15" s="1684" t="s">
        <v>1956</v>
      </c>
      <c r="I15" s="1684" t="s">
        <v>1957</v>
      </c>
      <c r="J15" s="1692"/>
      <c r="K15" s="1772"/>
      <c r="L15" s="1721"/>
      <c r="M15" s="1721"/>
      <c r="N15" s="1692"/>
      <c r="O15" s="1693"/>
      <c r="P15" s="1692"/>
      <c r="Q15" s="1692"/>
      <c r="R15" s="1692"/>
      <c r="S15" s="1692"/>
      <c r="T15" s="1692"/>
      <c r="U15" s="1692"/>
    </row>
    <row r="16" spans="1:21" ht="42.75">
      <c r="A16" s="1678" t="s">
        <v>1950</v>
      </c>
      <c r="B16" s="1679" t="s">
        <v>2986</v>
      </c>
      <c r="C16" s="1697" t="s">
        <v>1951</v>
      </c>
      <c r="D16" s="2667" t="s">
        <v>1952</v>
      </c>
      <c r="E16" s="1720"/>
      <c r="F16" s="1720" t="s">
        <v>2987</v>
      </c>
      <c r="G16" s="1720"/>
      <c r="H16" s="1720" t="s">
        <v>2988</v>
      </c>
      <c r="I16" s="1684" t="s">
        <v>1957</v>
      </c>
      <c r="J16" s="1692"/>
      <c r="K16" s="2477" t="str">
        <f>IF(D17="","",D16&amp;TEXT(D17,"yyyy年m月d日;;"))</f>
        <v/>
      </c>
      <c r="L16" s="1697" t="str">
        <f>IF(OR(K16="",M16=""),"","、")</f>
        <v/>
      </c>
      <c r="M16" s="2477" t="str">
        <f>IF(E17="","",E16&amp;TEXT(E17,"yyyy年m月d日;;"))</f>
        <v/>
      </c>
      <c r="N16" s="1697" t="str">
        <f>IF(OR(M16="",O16=""),"","、")</f>
        <v/>
      </c>
      <c r="O16" s="2477" t="str">
        <f>IF(F17="","",F16&amp;TEXT(F17,"yyyy年m月d日;;"))</f>
        <v>地上办公2080年1月1日</v>
      </c>
      <c r="P16" s="1697" t="str">
        <f>IF(OR(O16="",Q16=""),"","、")</f>
        <v/>
      </c>
      <c r="Q16" s="2477" t="str">
        <f>IF(G17="","",G16&amp;TEXT(G17,"yyyy年m月d日;;"))</f>
        <v/>
      </c>
      <c r="R16" s="1697" t="str">
        <f>IF(OR(Q16="",S16=""),"","、")</f>
        <v/>
      </c>
      <c r="S16" s="2477" t="str">
        <f>IF(H17="","",H16&amp;TEXT(H17,"yyyy年m月d日;;"))</f>
        <v>地下仓储2080年1月1日</v>
      </c>
      <c r="T16" s="1697" t="str">
        <f>IF(OR(S16="",U16=""),"","、")</f>
        <v/>
      </c>
      <c r="U16" s="2477" t="str">
        <f>IF(I17="","",I16&amp;TEXT(I17,"yyyy年m月d日;;"))</f>
        <v/>
      </c>
    </row>
    <row r="17" spans="1:21">
      <c r="A17" s="1761"/>
      <c r="B17" s="1680"/>
      <c r="C17" s="1681" t="s">
        <v>1958</v>
      </c>
      <c r="D17" s="1698"/>
      <c r="E17" s="1698"/>
      <c r="F17" s="1698">
        <v>65746</v>
      </c>
      <c r="G17" s="1698"/>
      <c r="H17" s="1698">
        <v>65746</v>
      </c>
      <c r="I17" s="1698"/>
      <c r="J17" s="1692"/>
      <c r="K17" s="2476" t="str">
        <f>CONCATENATE(K16,L16,M16,N16,O16,P16,Q16,R16,S16,T16,,U16)</f>
        <v>地上办公2080年1月1日地下仓储2080年1月1日</v>
      </c>
      <c r="L17" s="1721"/>
      <c r="M17" s="1721"/>
      <c r="N17" s="1692"/>
      <c r="O17" s="1693"/>
      <c r="P17" s="1692"/>
      <c r="Q17" s="1692"/>
      <c r="R17" s="1692"/>
      <c r="S17" s="1692"/>
      <c r="T17" s="1692"/>
      <c r="U17" s="1692"/>
    </row>
    <row r="18" spans="1:21">
      <c r="A18" s="1761"/>
      <c r="B18" s="1680"/>
      <c r="C18" s="1681" t="s">
        <v>1959</v>
      </c>
      <c r="D18" s="1682"/>
      <c r="E18" s="1682"/>
      <c r="F18" s="1682">
        <v>50</v>
      </c>
      <c r="G18" s="1682"/>
      <c r="H18" s="1682">
        <v>50</v>
      </c>
      <c r="I18" s="1682"/>
      <c r="J18" s="1692"/>
      <c r="K18" s="1772"/>
      <c r="L18" s="1721"/>
      <c r="M18" s="1721"/>
      <c r="N18" s="1692"/>
      <c r="O18" s="1693"/>
      <c r="P18" s="1692"/>
      <c r="Q18" s="1692"/>
      <c r="R18" s="1692"/>
      <c r="S18" s="1692"/>
      <c r="T18" s="1692"/>
      <c r="U18" s="1692"/>
    </row>
    <row r="19" spans="1:21">
      <c r="A19" s="1761"/>
      <c r="B19" s="1680"/>
      <c r="C19" s="1658" t="s">
        <v>1960</v>
      </c>
      <c r="D19" s="1756" t="str">
        <f>IF(B16="出让",IF(D17="","",ROUNDDOWN(MIN((D17-$D$3)/365,D18),2)),D18)</f>
        <v/>
      </c>
      <c r="E19" s="1683" t="str">
        <f>IF(B16="出让",IF(E17="","",ROUNDDOWN(MIN((E17-$D$3)/365,E18),2)),E18)</f>
        <v/>
      </c>
      <c r="F19" s="1683">
        <f>IF(B16="出让",IF(F17="","",ROUNDDOWN(MIN((F17-$D$3)/365,F18),2)),F18)</f>
        <v>50</v>
      </c>
      <c r="G19" s="1683" t="str">
        <f>IF(B16="出让",IF(G17="","",ROUNDDOWN(MIN((G17-$D$3)/365,G18),2)),G18)</f>
        <v/>
      </c>
      <c r="H19" s="1683">
        <f>IF(B16="出让",IF(H17="","",ROUNDDOWN(MIN((H17-$D$3)/365,H18),2)),H18)</f>
        <v>50</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327"/>
      <c r="E20" s="3328"/>
      <c r="F20" s="3328"/>
      <c r="G20" s="3328"/>
      <c r="H20" s="3328"/>
      <c r="I20" s="3329"/>
      <c r="J20" s="1692"/>
      <c r="K20" s="1772"/>
      <c r="L20" s="1721"/>
      <c r="M20" s="1721"/>
      <c r="N20" s="1692"/>
      <c r="O20" s="1693"/>
      <c r="P20" s="1692"/>
      <c r="Q20" s="1692"/>
      <c r="R20" s="1692"/>
      <c r="S20" s="1692"/>
      <c r="T20" s="1692"/>
      <c r="U20" s="1692"/>
    </row>
    <row r="21" spans="1:21">
      <c r="A21" s="1761" t="s">
        <v>1961</v>
      </c>
      <c r="B21" s="1762" t="s">
        <v>1962</v>
      </c>
      <c r="C21" s="1757">
        <f>'数据-汇总表'!E3</f>
        <v>10000</v>
      </c>
      <c r="D21" s="1758" t="s">
        <v>1963</v>
      </c>
      <c r="E21" s="3317" t="s">
        <v>2001</v>
      </c>
      <c r="F21" s="3318"/>
      <c r="G21" s="3318"/>
      <c r="H21" s="3318"/>
      <c r="I21" s="3319"/>
      <c r="J21" s="1692"/>
      <c r="K21" s="1772"/>
      <c r="L21" s="1721"/>
      <c r="M21" s="1721"/>
      <c r="N21" s="1692"/>
      <c r="O21" s="1693"/>
      <c r="P21" s="1692"/>
      <c r="Q21" s="1692"/>
      <c r="R21" s="1692"/>
      <c r="S21" s="1692"/>
      <c r="T21" s="1692"/>
      <c r="U21" s="1692"/>
    </row>
    <row r="22" spans="1:21">
      <c r="A22" s="3176" t="s">
        <v>952</v>
      </c>
      <c r="B22" s="1659" t="s">
        <v>1964</v>
      </c>
      <c r="C22" s="1684">
        <f>'数据-汇总表'!D3</f>
        <v>2079.0700000000002</v>
      </c>
      <c r="D22" s="1685" t="s">
        <v>1963</v>
      </c>
      <c r="E22" s="3317" t="s">
        <v>2893</v>
      </c>
      <c r="F22" s="3318"/>
      <c r="G22" s="3318"/>
      <c r="H22" s="3318"/>
      <c r="I22" s="3319"/>
      <c r="J22" s="1692"/>
      <c r="K22" s="1772"/>
      <c r="L22" s="1721"/>
      <c r="M22" s="1721"/>
      <c r="N22" s="1692"/>
      <c r="O22" s="1693"/>
      <c r="P22" s="1692"/>
      <c r="Q22" s="1692"/>
      <c r="R22" s="1692"/>
      <c r="S22" s="1692"/>
      <c r="T22" s="1692"/>
      <c r="U22" s="1692"/>
    </row>
    <row r="23" spans="1:21" ht="43.5" thickBot="1">
      <c r="A23" s="1763" t="s">
        <v>1965</v>
      </c>
      <c r="B23" s="1699" t="s">
        <v>1966</v>
      </c>
      <c r="C23" s="1700"/>
      <c r="D23" s="1701" t="s">
        <v>1967</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1968</v>
      </c>
      <c r="B24" s="3320" t="s">
        <v>1969</v>
      </c>
      <c r="C24" s="3321"/>
      <c r="D24" s="3322" t="s">
        <v>1970</v>
      </c>
      <c r="E24" s="3323"/>
      <c r="F24" s="1706" t="s">
        <v>1971</v>
      </c>
      <c r="G24" s="1692"/>
      <c r="H24" s="1692"/>
      <c r="I24" s="1705"/>
      <c r="J24" s="1692"/>
      <c r="K24" s="3308" t="s">
        <v>1972</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2328</v>
      </c>
      <c r="C25" s="1707" t="s">
        <v>1973</v>
      </c>
      <c r="D25" s="1708"/>
      <c r="E25" s="1709" t="s">
        <v>952</v>
      </c>
      <c r="F25" s="1710"/>
      <c r="G25" s="1692"/>
      <c r="H25" s="1692"/>
      <c r="I25" s="1705"/>
      <c r="J25" s="1692"/>
      <c r="K25" s="3308"/>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1974</v>
      </c>
      <c r="C26" s="1707" t="s">
        <v>2329</v>
      </c>
      <c r="D26" s="1658"/>
      <c r="E26" s="1658"/>
      <c r="F26" s="1686"/>
      <c r="G26" s="1692"/>
      <c r="H26" s="1692"/>
      <c r="I26" s="1705"/>
      <c r="J26" s="1692"/>
      <c r="K26" s="3308"/>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72"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73"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73" t="s">
        <v>1978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1979</v>
      </c>
      <c r="C30" s="1715"/>
      <c r="D30" s="2674" t="s">
        <v>1979</v>
      </c>
      <c r="E30" s="1716"/>
      <c r="F30" s="1687"/>
      <c r="G30" s="1740"/>
      <c r="H30" s="1740"/>
      <c r="I30" s="1741"/>
      <c r="J30" s="1692"/>
      <c r="K30" s="1772"/>
      <c r="L30" s="1721"/>
      <c r="M30" s="1721"/>
      <c r="N30" s="1692"/>
      <c r="O30" s="1693"/>
      <c r="P30" s="1692"/>
      <c r="Q30" s="1692"/>
      <c r="R30" s="1692"/>
      <c r="S30" s="1692"/>
      <c r="T30" s="1692"/>
      <c r="U30" s="1692"/>
    </row>
    <row r="31" spans="1:21" ht="15" thickTop="1">
      <c r="A31" s="3294" t="s">
        <v>2004</v>
      </c>
      <c r="B31" s="1762" t="s">
        <v>2005</v>
      </c>
      <c r="C31" s="3333" t="s">
        <v>3008</v>
      </c>
      <c r="D31" s="3334"/>
      <c r="E31" s="1692"/>
      <c r="F31" s="1692"/>
      <c r="G31" s="1692"/>
      <c r="H31" s="1692"/>
      <c r="I31" s="1705"/>
      <c r="J31" s="1692"/>
      <c r="K31" s="2479"/>
      <c r="L31" s="1692"/>
      <c r="M31" s="1692"/>
      <c r="N31" s="1692"/>
      <c r="O31" s="1692"/>
      <c r="P31" s="1692"/>
      <c r="Q31" s="1692"/>
      <c r="R31" s="1692"/>
      <c r="S31" s="1692"/>
      <c r="T31" s="1692"/>
      <c r="U31" s="1692"/>
    </row>
    <row r="32" spans="1:21">
      <c r="A32" s="3294"/>
      <c r="B32" s="1659" t="s">
        <v>2006</v>
      </c>
      <c r="C32" s="1717"/>
      <c r="D32" s="1718"/>
      <c r="E32" s="1692"/>
      <c r="F32" s="1692"/>
      <c r="G32" s="1692"/>
      <c r="H32" s="1692"/>
      <c r="I32" s="1705"/>
      <c r="J32" s="1692"/>
      <c r="K32" s="2479"/>
      <c r="L32" s="1692"/>
      <c r="M32" s="1692"/>
      <c r="N32" s="1692"/>
      <c r="O32" s="1692"/>
      <c r="P32" s="1692"/>
      <c r="Q32" s="1692"/>
      <c r="R32" s="1692"/>
      <c r="S32" s="1692"/>
      <c r="T32" s="1692"/>
      <c r="U32" s="1692"/>
    </row>
    <row r="33" spans="1:21">
      <c r="A33" s="3294"/>
      <c r="B33" s="1659" t="s">
        <v>2007</v>
      </c>
      <c r="C33" s="1719"/>
      <c r="D33" s="1836"/>
      <c r="E33" s="1692"/>
      <c r="F33" s="1692"/>
      <c r="G33" s="1692"/>
      <c r="H33" s="1692"/>
      <c r="I33" s="1705"/>
      <c r="J33" s="1692"/>
      <c r="K33" s="2479"/>
      <c r="L33" s="1692"/>
      <c r="M33" s="1692"/>
      <c r="N33" s="1692"/>
      <c r="O33" s="1692"/>
      <c r="P33" s="1692"/>
      <c r="Q33" s="1692"/>
      <c r="R33" s="1692"/>
      <c r="S33" s="1692"/>
      <c r="T33" s="1692"/>
      <c r="U33" s="1692"/>
    </row>
    <row r="34" spans="1:21">
      <c r="A34" s="3295"/>
      <c r="B34" s="1659" t="s">
        <v>2008</v>
      </c>
      <c r="C34" s="3296"/>
      <c r="D34" s="3297"/>
      <c r="E34" s="1692"/>
      <c r="F34" s="1692"/>
      <c r="G34" s="1692"/>
      <c r="H34" s="1692"/>
      <c r="I34" s="1705"/>
      <c r="J34" s="1692"/>
      <c r="K34" s="2479"/>
      <c r="L34" s="1692"/>
      <c r="M34" s="1692"/>
      <c r="N34" s="1692"/>
      <c r="O34" s="1692"/>
      <c r="P34" s="1692"/>
      <c r="Q34" s="1692"/>
      <c r="R34" s="1692"/>
      <c r="S34" s="1692"/>
      <c r="T34" s="1692"/>
      <c r="U34" s="1692"/>
    </row>
    <row r="35" spans="1:21">
      <c r="A35" s="3298" t="s">
        <v>847</v>
      </c>
      <c r="B35" s="1720"/>
      <c r="C35" s="1774" t="str">
        <f>IF(B35="场地平整","——","具体情况：")</f>
        <v>具体情况：</v>
      </c>
      <c r="D35" s="3300"/>
      <c r="E35" s="3301"/>
      <c r="F35" s="3301"/>
      <c r="G35" s="3301"/>
      <c r="H35" s="3301"/>
      <c r="I35" s="3302"/>
      <c r="J35" s="1692"/>
      <c r="K35" s="1773"/>
      <c r="L35" s="1721"/>
      <c r="M35" s="1721"/>
      <c r="N35" s="1692"/>
      <c r="O35" s="1693"/>
      <c r="P35" s="1692"/>
      <c r="Q35" s="1692"/>
      <c r="R35" s="1692"/>
      <c r="S35" s="1692"/>
      <c r="T35" s="1692"/>
      <c r="U35" s="1692"/>
    </row>
    <row r="36" spans="1:21">
      <c r="A36" s="3294"/>
      <c r="B36" s="3303" t="s">
        <v>2057</v>
      </c>
      <c r="C36" s="3304"/>
      <c r="D36" s="1790"/>
      <c r="E36" s="3305"/>
      <c r="F36" s="3305"/>
      <c r="G36" s="1685" t="str">
        <f>IF(B35="场地未平整","估价结果处理","")</f>
        <v/>
      </c>
      <c r="H36" s="3306"/>
      <c r="I36" s="3306"/>
      <c r="J36" s="1692"/>
      <c r="K36" s="1773"/>
      <c r="L36" s="1721"/>
      <c r="M36" s="1721"/>
      <c r="N36" s="1692"/>
      <c r="O36" s="1693"/>
      <c r="P36" s="1692"/>
      <c r="Q36" s="1692"/>
      <c r="R36" s="1692"/>
      <c r="S36" s="1692"/>
      <c r="T36" s="1692"/>
      <c r="U36" s="1692"/>
    </row>
    <row r="37" spans="1:21" ht="28.5">
      <c r="A37" s="3294"/>
      <c r="B37" s="3324"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94"/>
      <c r="B38" s="3325"/>
      <c r="C38" s="1667" t="s">
        <v>850</v>
      </c>
      <c r="D38" s="1789">
        <f>ROUNDDOWN(MIN(('数据-取费表'!$B$2-D37)/365,D34),1)</f>
        <v>118.4</v>
      </c>
      <c r="E38" s="1725" t="s">
        <v>851</v>
      </c>
      <c r="F38" s="1692"/>
      <c r="G38" s="1692"/>
      <c r="H38" s="1692"/>
      <c r="I38" s="1705"/>
      <c r="J38" s="1692"/>
      <c r="K38" s="1773"/>
      <c r="L38" s="1692"/>
      <c r="M38" s="1692"/>
      <c r="N38" s="1692"/>
      <c r="O38" s="1692"/>
      <c r="P38" s="1692"/>
      <c r="Q38" s="1692"/>
      <c r="R38" s="1692"/>
      <c r="S38" s="1692"/>
      <c r="T38" s="1692"/>
      <c r="U38" s="1692"/>
    </row>
    <row r="39" spans="1:21">
      <c r="A39" s="3295"/>
      <c r="B39" s="332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t="s">
        <v>3012</v>
      </c>
      <c r="C40" s="1688" t="s">
        <v>3013</v>
      </c>
      <c r="D40" s="1688" t="s">
        <v>3014</v>
      </c>
      <c r="E40" s="1688" t="s">
        <v>3015</v>
      </c>
      <c r="F40" s="1688" t="s">
        <v>3016</v>
      </c>
      <c r="G40" s="1688" t="s">
        <v>3017</v>
      </c>
      <c r="H40" s="1688" t="s">
        <v>3018</v>
      </c>
      <c r="I40" s="1705"/>
      <c r="J40" s="1692"/>
      <c r="K40" s="1728">
        <f>COUNTIF(B40:H40,"——")</f>
        <v>0</v>
      </c>
      <c r="L40" s="1697" t="s">
        <v>1981</v>
      </c>
      <c r="M40" s="1694" t="s">
        <v>1982</v>
      </c>
      <c r="N40" s="1694" t="s">
        <v>1983</v>
      </c>
      <c r="O40" s="1694" t="s">
        <v>1984</v>
      </c>
      <c r="P40" s="1694" t="s">
        <v>1985</v>
      </c>
      <c r="Q40" s="1694" t="s">
        <v>1986</v>
      </c>
      <c r="R40" s="1694" t="s">
        <v>1987</v>
      </c>
      <c r="S40" s="3307" t="s">
        <v>1988</v>
      </c>
      <c r="T40" s="1729" t="str">
        <f>NUMBERSTRING(7-K40,1)&amp;"通"</f>
        <v>七通</v>
      </c>
      <c r="U40" s="1692"/>
    </row>
    <row r="41" spans="1:21">
      <c r="A41" s="1661"/>
      <c r="B41" s="3299" t="s">
        <v>1722</v>
      </c>
      <c r="C41" s="3299"/>
      <c r="D41" s="3299"/>
      <c r="E41" s="3299"/>
      <c r="F41" s="1730">
        <f>C10</f>
        <v>0</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通路、通电、通讯、通上水、通下水、通热</v>
      </c>
      <c r="R41" s="1732" t="str">
        <f>B40&amp;"、"&amp;C40&amp;"、"&amp;D40&amp;"、"&amp;E40&amp;"、"&amp;F40&amp;"、"&amp;G40&amp;"、"&amp;H40</f>
        <v>通路、通电、通讯、通上水、通下水、通热、燃气</v>
      </c>
      <c r="S41" s="3307"/>
      <c r="T41" s="1731" t="str">
        <f>IF(T40="一通",L41,IF(T40="二通",M41,IF(T40="三通",N41,IF(T40="四通",O41,IF(T40="五通",P41,IF(T40="六通",Q41,R41))))))</f>
        <v>通路、通电、通讯、通上水、通下水、通热、燃气</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t="s">
        <v>1156</v>
      </c>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t="s">
        <v>3009</v>
      </c>
      <c r="D44" s="1736"/>
      <c r="E44" s="1790"/>
      <c r="F44" s="1737"/>
      <c r="G44" s="1692"/>
      <c r="H44" s="1692"/>
      <c r="I44" s="1705"/>
      <c r="J44" s="1692"/>
      <c r="K44" s="1772"/>
      <c r="L44" s="1721"/>
      <c r="M44" s="1721"/>
      <c r="N44" s="1692"/>
      <c r="O44" s="1693"/>
      <c r="P44" s="1692"/>
      <c r="Q44" s="1692"/>
      <c r="R44" s="1692"/>
      <c r="S44" s="1692"/>
      <c r="T44" s="1692"/>
      <c r="U44" s="1692"/>
    </row>
    <row r="45" spans="1:21" s="3094" customFormat="1" ht="21" thickBot="1">
      <c r="A45" s="3095" t="s">
        <v>2894</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BJ13" activePane="bottomRight" state="frozen"/>
      <selection pane="topRight" activeCell="E1" sqref="E1"/>
      <selection pane="bottomLeft" activeCell="A12" sqref="A12"/>
      <selection pane="bottomRight" activeCell="BW13" sqref="BW13"/>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1191"/>
      <c r="E2" s="1001"/>
      <c r="F2" s="40"/>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167</v>
      </c>
      <c r="AZ2" s="2359" t="s">
        <v>2336</v>
      </c>
      <c r="BA2" s="2360" t="s">
        <v>2335</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2.75">
      <c r="A3" s="20">
        <v>2079.0700000000002</v>
      </c>
      <c r="B3" s="21">
        <f>IF(C3="否",G5-AT5,G5)</f>
        <v>10000</v>
      </c>
      <c r="C3" s="22" t="s">
        <v>1679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3180">
        <f>A3</f>
        <v>2079.0700000000002</v>
      </c>
      <c r="AZ3" s="20">
        <f>B3</f>
        <v>10000</v>
      </c>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3"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2.75">
      <c r="A5" s="24" t="s">
        <v>168</v>
      </c>
      <c r="B5" s="987"/>
      <c r="C5" s="987"/>
      <c r="D5" s="994"/>
      <c r="E5" s="25" t="s">
        <v>1</v>
      </c>
      <c r="F5" s="25">
        <f>SUM(F13:F572)</f>
        <v>2079.0700000000002</v>
      </c>
      <c r="G5" s="25">
        <f>SUM(G13:G572)</f>
        <v>10000</v>
      </c>
      <c r="H5" s="25">
        <f t="shared" ref="H5:AT5" si="0">SUM(H13:H641)</f>
        <v>10000</v>
      </c>
      <c r="I5" s="25">
        <f t="shared" si="0"/>
        <v>10000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86"/>
      <c r="AV5" s="24" t="s">
        <v>168</v>
      </c>
      <c r="AW5" s="987"/>
      <c r="AX5" s="987"/>
      <c r="AY5" s="26" t="s">
        <v>3</v>
      </c>
      <c r="AZ5" s="27">
        <f t="shared" ref="AZ5:BT5" si="1">SUM(AZ13:AZ641)</f>
        <v>10000</v>
      </c>
      <c r="BA5" s="27">
        <f t="shared" si="1"/>
        <v>10000</v>
      </c>
      <c r="BB5" s="27">
        <f t="shared" si="1"/>
        <v>10000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f>H6+AC6+AT6</f>
        <v>2079.0700000000002</v>
      </c>
      <c r="F6" s="25" t="s">
        <v>1</v>
      </c>
      <c r="G6" s="25" t="s">
        <v>2</v>
      </c>
      <c r="H6" s="31">
        <f>SUMIF(I$12:AB$12,"总值",I6:AB6)</f>
        <v>2079.0700000000002</v>
      </c>
      <c r="I6" s="25">
        <f t="shared" ref="I6:AB6" si="2">ROUND($A$3*I5/$B$3,2)</f>
        <v>2079.0700000000002</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2079.0700000000002</v>
      </c>
      <c r="AZ6" s="25" t="s">
        <v>3</v>
      </c>
      <c r="BA6" s="25">
        <f>ROUND($AY$6*BA5/$AZ$5,2)</f>
        <v>2079.0700000000002</v>
      </c>
      <c r="BB6" s="25">
        <f>ROUND($AY$6*BB5/$AZ$5,2)</f>
        <v>2079.0700000000002</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4"/>
      <c r="AU7" s="38" t="s">
        <v>177</v>
      </c>
      <c r="AV7" s="39" t="s">
        <v>178</v>
      </c>
      <c r="AW7" s="40" t="s">
        <v>179</v>
      </c>
      <c r="AX7" s="39" t="s">
        <v>180</v>
      </c>
      <c r="AY7" s="98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9"/>
      <c r="K8" s="999"/>
      <c r="L8" s="999"/>
      <c r="M8" s="999"/>
      <c r="N8" s="999"/>
      <c r="O8" s="999"/>
      <c r="P8" s="999"/>
      <c r="Q8" s="999"/>
      <c r="R8" s="999"/>
      <c r="S8" s="999"/>
      <c r="T8" s="999"/>
      <c r="U8" s="999"/>
      <c r="V8" s="47"/>
      <c r="W8" s="999"/>
      <c r="X8" s="999"/>
      <c r="Y8" s="999"/>
      <c r="Z8" s="999"/>
      <c r="AA8" s="47"/>
      <c r="AB8" s="48"/>
      <c r="AC8" s="49" t="s">
        <v>184</v>
      </c>
      <c r="AD8" s="50"/>
      <c r="AE8" s="41"/>
      <c r="AF8" s="999"/>
      <c r="AG8" s="999"/>
      <c r="AH8" s="999"/>
      <c r="AI8" s="999"/>
      <c r="AJ8" s="999"/>
      <c r="AK8" s="999"/>
      <c r="AL8" s="999"/>
      <c r="AM8" s="999"/>
      <c r="AN8" s="999"/>
      <c r="AO8" s="999"/>
      <c r="AP8" s="999"/>
      <c r="AQ8" s="999"/>
      <c r="AR8" s="999"/>
      <c r="AS8" s="2296"/>
      <c r="AT8" s="2327" t="s">
        <v>855</v>
      </c>
      <c r="AU8" s="43" t="s">
        <v>185</v>
      </c>
      <c r="AV8" s="53"/>
      <c r="AW8" s="1001"/>
      <c r="AX8" s="53"/>
      <c r="AY8" s="40" t="s">
        <v>186</v>
      </c>
      <c r="AZ8" s="998" t="s">
        <v>187</v>
      </c>
      <c r="BA8" s="999"/>
      <c r="BB8" s="999"/>
      <c r="BC8" s="999"/>
      <c r="BD8" s="999"/>
      <c r="BE8" s="999"/>
      <c r="BF8" s="999"/>
      <c r="BG8" s="999"/>
      <c r="BH8" s="999"/>
      <c r="BI8" s="999"/>
      <c r="BJ8" s="999"/>
      <c r="BK8" s="999"/>
      <c r="BL8" s="999"/>
      <c r="BM8" s="999"/>
      <c r="BN8" s="999"/>
      <c r="BO8" s="999"/>
      <c r="BP8" s="999"/>
      <c r="BQ8" s="999"/>
      <c r="BR8" s="999"/>
      <c r="BS8" s="999"/>
      <c r="BT8" s="54"/>
    </row>
    <row r="9" spans="1:72" s="55" customFormat="1" ht="12.75">
      <c r="A9" s="43"/>
      <c r="B9" s="43"/>
      <c r="C9" s="43"/>
      <c r="D9" s="43"/>
      <c r="E9" s="43"/>
      <c r="F9" s="43"/>
      <c r="G9" s="53"/>
      <c r="H9" s="56" t="s">
        <v>188</v>
      </c>
      <c r="I9" s="3040" t="s">
        <v>2990</v>
      </c>
      <c r="J9" s="49"/>
      <c r="K9" s="3040"/>
      <c r="L9" s="49"/>
      <c r="M9" s="3040"/>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5" t="s">
        <v>191</v>
      </c>
      <c r="AQ9" s="1187"/>
      <c r="AR9" s="1185" t="s">
        <v>192</v>
      </c>
      <c r="AS9" s="2328"/>
      <c r="AT9" s="43"/>
      <c r="AU9" s="43" t="s">
        <v>194</v>
      </c>
      <c r="AV9" s="53"/>
      <c r="AW9" s="1001"/>
      <c r="AX9" s="53"/>
      <c r="AY9" s="60"/>
      <c r="AZ9" s="60" t="s">
        <v>195</v>
      </c>
      <c r="BA9" s="61" t="s">
        <v>196</v>
      </c>
      <c r="BB9" s="62"/>
      <c r="BC9" s="993"/>
      <c r="BD9" s="993"/>
      <c r="BE9" s="993"/>
      <c r="BF9" s="993"/>
      <c r="BG9" s="993"/>
      <c r="BH9" s="993"/>
      <c r="BI9" s="993"/>
      <c r="BJ9" s="993"/>
      <c r="BK9" s="63"/>
      <c r="BL9" s="24" t="s">
        <v>197</v>
      </c>
      <c r="BM9" s="999"/>
      <c r="BN9" s="46"/>
      <c r="BO9" s="999"/>
      <c r="BP9" s="999"/>
      <c r="BQ9" s="999"/>
      <c r="BR9" s="999"/>
      <c r="BS9" s="999"/>
      <c r="BT9" s="54"/>
    </row>
    <row r="10" spans="1:72" s="55" customFormat="1" ht="12.75">
      <c r="A10" s="43"/>
      <c r="B10" s="43"/>
      <c r="C10" s="43"/>
      <c r="D10" s="43"/>
      <c r="E10" s="43"/>
      <c r="F10" s="43"/>
      <c r="G10" s="53"/>
      <c r="H10" s="60"/>
      <c r="I10" s="3040" t="s">
        <v>1678</v>
      </c>
      <c r="J10" s="49"/>
      <c r="K10" s="3042"/>
      <c r="L10" s="49"/>
      <c r="M10" s="3042"/>
      <c r="N10" s="49"/>
      <c r="O10" s="64"/>
      <c r="P10" s="49"/>
      <c r="Q10" s="64"/>
      <c r="R10" s="49"/>
      <c r="S10" s="64"/>
      <c r="T10" s="49"/>
      <c r="U10" s="64"/>
      <c r="V10" s="49"/>
      <c r="W10" s="64"/>
      <c r="X10" s="49"/>
      <c r="Y10" s="64"/>
      <c r="Z10" s="49"/>
      <c r="AA10" s="64"/>
      <c r="AB10" s="49"/>
      <c r="AC10" s="53"/>
      <c r="AD10" s="2313" t="s">
        <v>2320</v>
      </c>
      <c r="AE10" s="2335"/>
      <c r="AF10" s="2313" t="s">
        <v>2320</v>
      </c>
      <c r="AG10" s="2335"/>
      <c r="AH10" s="2313" t="s">
        <v>2321</v>
      </c>
      <c r="AI10" s="2335"/>
      <c r="AJ10" s="24" t="s">
        <v>2334</v>
      </c>
      <c r="AK10" s="2332"/>
      <c r="AL10" s="2313" t="s">
        <v>2322</v>
      </c>
      <c r="AM10" s="2314"/>
      <c r="AN10" s="24" t="s">
        <v>198</v>
      </c>
      <c r="AO10" s="59"/>
      <c r="AP10" s="1185" t="s">
        <v>199</v>
      </c>
      <c r="AQ10" s="1187"/>
      <c r="AR10" s="1185" t="s">
        <v>199</v>
      </c>
      <c r="AS10" s="1187"/>
      <c r="AT10" s="43"/>
      <c r="AU10" s="43"/>
      <c r="AV10" s="53"/>
      <c r="AW10" s="10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98" t="str">
        <f>AD9</f>
        <v>地上</v>
      </c>
      <c r="BN10" s="67" t="str">
        <f>AF9</f>
        <v>地下</v>
      </c>
      <c r="BO10" s="998" t="str">
        <f>AH9</f>
        <v>地上</v>
      </c>
      <c r="BP10" s="67" t="str">
        <f>AJ9</f>
        <v>地下</v>
      </c>
      <c r="BQ10" s="998" t="str">
        <f>AL9</f>
        <v>地上</v>
      </c>
      <c r="BR10" s="67" t="str">
        <f>AN9</f>
        <v>地下</v>
      </c>
      <c r="BS10" s="998" t="str">
        <f>AP9</f>
        <v>地上</v>
      </c>
      <c r="BT10" s="996" t="str">
        <f>AR9</f>
        <v>地下</v>
      </c>
    </row>
    <row r="11" spans="1:72" s="55" customFormat="1" ht="12.75">
      <c r="A11" s="43"/>
      <c r="B11" s="43"/>
      <c r="C11" s="43"/>
      <c r="D11" s="43"/>
      <c r="E11" s="43"/>
      <c r="F11" s="43"/>
      <c r="G11" s="53"/>
      <c r="H11" s="65"/>
      <c r="I11" s="3041"/>
      <c r="J11" s="69"/>
      <c r="K11" s="3041"/>
      <c r="L11" s="69"/>
      <c r="M11" s="68"/>
      <c r="N11" s="69"/>
      <c r="O11" s="68"/>
      <c r="P11" s="69"/>
      <c r="Q11" s="68"/>
      <c r="R11" s="69"/>
      <c r="S11" s="68"/>
      <c r="T11" s="69"/>
      <c r="U11" s="68"/>
      <c r="V11" s="69"/>
      <c r="W11" s="68"/>
      <c r="X11" s="69"/>
      <c r="Y11" s="68"/>
      <c r="Z11" s="69"/>
      <c r="AA11" s="68"/>
      <c r="AB11" s="69"/>
      <c r="AC11" s="53"/>
      <c r="AD11" s="2333" t="s">
        <v>2333</v>
      </c>
      <c r="AE11" s="1000"/>
      <c r="AF11" s="2333" t="s">
        <v>2333</v>
      </c>
      <c r="AG11" s="1000"/>
      <c r="AH11" s="2333" t="s">
        <v>2332</v>
      </c>
      <c r="AI11" s="2334"/>
      <c r="AJ11" s="2333" t="s">
        <v>2332</v>
      </c>
      <c r="AK11" s="2332"/>
      <c r="AL11" s="998"/>
      <c r="AM11" s="1000"/>
      <c r="AN11" s="998"/>
      <c r="AO11" s="1000"/>
      <c r="AP11" s="1186"/>
      <c r="AQ11" s="1188"/>
      <c r="AR11" s="1186"/>
      <c r="AS11" s="1188"/>
      <c r="AT11" s="1001"/>
      <c r="AU11" s="43"/>
      <c r="AV11" s="53"/>
      <c r="AW11" s="1001"/>
      <c r="AX11" s="53"/>
      <c r="AY11" s="60"/>
      <c r="AZ11" s="60"/>
      <c r="BA11" s="60"/>
      <c r="BB11" s="48" t="str">
        <f>I10</f>
        <v>办公</v>
      </c>
      <c r="BC11" s="48">
        <f>K10</f>
        <v>0</v>
      </c>
      <c r="BD11" s="48">
        <f>M10</f>
        <v>0</v>
      </c>
      <c r="BE11" s="48">
        <f>O10</f>
        <v>0</v>
      </c>
      <c r="BF11" s="48">
        <f>Q10</f>
        <v>0</v>
      </c>
      <c r="BG11" s="48">
        <f>S10</f>
        <v>0</v>
      </c>
      <c r="BH11" s="48">
        <f>U10</f>
        <v>0</v>
      </c>
      <c r="BI11" s="48">
        <f>W10</f>
        <v>0</v>
      </c>
      <c r="BJ11" s="48">
        <f>Y10</f>
        <v>0</v>
      </c>
      <c r="BK11" s="48">
        <f>AA10</f>
        <v>0</v>
      </c>
      <c r="BL11" s="53"/>
      <c r="BM11" s="998" t="str">
        <f>AD10</f>
        <v>公共配套设施</v>
      </c>
      <c r="BN11" s="998" t="str">
        <f>AF10</f>
        <v>公共配套设施</v>
      </c>
      <c r="BO11" s="51" t="str">
        <f>AH10</f>
        <v>物业管理用房</v>
      </c>
      <c r="BP11" s="51" t="str">
        <f>AJ10</f>
        <v>物业管理用房</v>
      </c>
      <c r="BQ11" s="51" t="str">
        <f>AL10</f>
        <v>设备及其他</v>
      </c>
      <c r="BR11" s="51" t="str">
        <f>AN10</f>
        <v>设备及其他</v>
      </c>
      <c r="BS11" s="52" t="str">
        <f>AP10</f>
        <v>未注明</v>
      </c>
      <c r="BT11" s="995" t="str">
        <f>AR10</f>
        <v>未注明</v>
      </c>
    </row>
    <row r="12" spans="1:72" s="17" customFormat="1" ht="12.75">
      <c r="A12" s="70"/>
      <c r="B12" s="70"/>
      <c r="C12" s="70"/>
      <c r="D12" s="70"/>
      <c r="E12" s="70"/>
      <c r="F12" s="70"/>
      <c r="G12" s="71"/>
      <c r="H12" s="72"/>
      <c r="I12" s="994"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86" t="s">
        <v>201</v>
      </c>
      <c r="W12" s="16" t="s">
        <v>200</v>
      </c>
      <c r="X12" s="16" t="s">
        <v>201</v>
      </c>
      <c r="Y12" s="16" t="s">
        <v>200</v>
      </c>
      <c r="Z12" s="16" t="s">
        <v>201</v>
      </c>
      <c r="AA12" s="16" t="s">
        <v>200</v>
      </c>
      <c r="AB12" s="16" t="s">
        <v>201</v>
      </c>
      <c r="AC12" s="73"/>
      <c r="AD12" s="994" t="s">
        <v>200</v>
      </c>
      <c r="AE12" s="16" t="s">
        <v>201</v>
      </c>
      <c r="AF12" s="16" t="s">
        <v>200</v>
      </c>
      <c r="AG12" s="16" t="s">
        <v>201</v>
      </c>
      <c r="AH12" s="16" t="s">
        <v>200</v>
      </c>
      <c r="AI12" s="16" t="s">
        <v>201</v>
      </c>
      <c r="AJ12" s="16" t="s">
        <v>200</v>
      </c>
      <c r="AK12" s="16" t="s">
        <v>201</v>
      </c>
      <c r="AL12" s="16" t="s">
        <v>200</v>
      </c>
      <c r="AM12" s="16" t="s">
        <v>201</v>
      </c>
      <c r="AN12" s="16" t="s">
        <v>200</v>
      </c>
      <c r="AO12" s="16" t="s">
        <v>201</v>
      </c>
      <c r="AP12" s="1184" t="s">
        <v>200</v>
      </c>
      <c r="AQ12" s="1184" t="s">
        <v>201</v>
      </c>
      <c r="AR12" s="1190" t="s">
        <v>200</v>
      </c>
      <c r="AS12" s="1189"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98" t="str">
        <f>AD11</f>
        <v>（住宅）</v>
      </c>
      <c r="BN12" s="998" t="str">
        <f>AF11</f>
        <v>（住宅）</v>
      </c>
      <c r="BO12" s="51" t="str">
        <f>AH11</f>
        <v>（住宅、计出让金）</v>
      </c>
      <c r="BP12" s="51" t="str">
        <f>AJ11</f>
        <v>（住宅、计出让金）</v>
      </c>
      <c r="BQ12" s="51">
        <f>AL11</f>
        <v>0</v>
      </c>
      <c r="BR12" s="51">
        <f>AN11</f>
        <v>0</v>
      </c>
      <c r="BS12" s="52">
        <f>AP11</f>
        <v>0</v>
      </c>
      <c r="BT12" s="995">
        <f>AR11</f>
        <v>0</v>
      </c>
    </row>
    <row r="13" spans="1:72" s="17" customFormat="1" ht="38.25">
      <c r="A13" s="3035" t="s">
        <v>2989</v>
      </c>
      <c r="B13" s="3035"/>
      <c r="C13" s="3035"/>
      <c r="D13" s="3036" t="s">
        <v>1679</v>
      </c>
      <c r="E13" s="25">
        <f t="shared" ref="E13:E20" si="6">IF($C$3="是",ROUND($A$3*G13/$B$3,2),ROUND($A$3*(G13-AT13)/$B$3,2))</f>
        <v>2079.0700000000002</v>
      </c>
      <c r="F13" s="79">
        <v>2079.0700000000002</v>
      </c>
      <c r="G13" s="80">
        <f t="shared" ref="G13:G20" si="7">H13+AC13+AT13</f>
        <v>10000</v>
      </c>
      <c r="H13" s="31">
        <f t="shared" ref="H13:H20" si="8">SUMIF(I$12:AB$12,"总值",I13:AB13)</f>
        <v>10000</v>
      </c>
      <c r="I13" s="3039">
        <v>10000</v>
      </c>
      <c r="J13" s="3039"/>
      <c r="K13" s="3039"/>
      <c r="L13" s="3039"/>
      <c r="M13" s="3039"/>
      <c r="N13" s="81"/>
      <c r="O13" s="81"/>
      <c r="P13" s="81"/>
      <c r="Q13" s="81"/>
      <c r="R13" s="81"/>
      <c r="S13" s="81"/>
      <c r="T13" s="81"/>
      <c r="U13" s="81"/>
      <c r="V13" s="81"/>
      <c r="W13" s="81"/>
      <c r="X13" s="81"/>
      <c r="Y13" s="81"/>
      <c r="Z13" s="81"/>
      <c r="AA13" s="81"/>
      <c r="AB13" s="81"/>
      <c r="AC13" s="25">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6" t="str">
        <f t="shared" ref="AV13:AX20" si="10">A13</f>
        <v>京西国用（2009出）第20610号</v>
      </c>
      <c r="AW13" s="16">
        <f t="shared" si="10"/>
        <v>0</v>
      </c>
      <c r="AX13" s="16">
        <f t="shared" si="10"/>
        <v>0</v>
      </c>
      <c r="AY13" s="994">
        <f t="shared" ref="AY13:AY20" si="11">ROUND($AY$6*AZ13/$AZ$5,2)</f>
        <v>2079.0700000000002</v>
      </c>
      <c r="AZ13" s="25">
        <f t="shared" ref="AZ13:AZ20" si="12">BA13+BL13</f>
        <v>10000</v>
      </c>
      <c r="BA13" s="25">
        <f t="shared" ref="BA13:BA20" si="13">SUM(BB13:BK13)</f>
        <v>10000</v>
      </c>
      <c r="BB13" s="25">
        <f t="shared" ref="BB13:BB20" si="14">IF($D13="是",I13-J13,0)</f>
        <v>10000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3035"/>
      <c r="B14" s="3035"/>
      <c r="C14" s="3037"/>
      <c r="D14" s="3036"/>
      <c r="E14" s="25">
        <f t="shared" si="6"/>
        <v>0</v>
      </c>
      <c r="F14" s="79"/>
      <c r="G14" s="80">
        <f t="shared" si="7"/>
        <v>0</v>
      </c>
      <c r="H14" s="31">
        <f t="shared" si="8"/>
        <v>0</v>
      </c>
      <c r="I14" s="3039"/>
      <c r="J14" s="3039"/>
      <c r="K14" s="3039"/>
      <c r="L14" s="3039"/>
      <c r="M14" s="3039"/>
      <c r="N14" s="81"/>
      <c r="O14" s="81"/>
      <c r="P14" s="81"/>
      <c r="Q14" s="81"/>
      <c r="R14" s="81"/>
      <c r="S14" s="81"/>
      <c r="T14" s="81"/>
      <c r="U14" s="81"/>
      <c r="V14" s="81"/>
      <c r="W14" s="81"/>
      <c r="X14" s="81"/>
      <c r="Y14" s="81"/>
      <c r="Z14" s="81"/>
      <c r="AA14" s="81"/>
      <c r="AB14" s="81"/>
      <c r="AC14" s="25">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6">
        <f t="shared" si="10"/>
        <v>0</v>
      </c>
      <c r="AW14" s="16">
        <f t="shared" si="10"/>
        <v>0</v>
      </c>
      <c r="AX14" s="16">
        <f t="shared" si="10"/>
        <v>0</v>
      </c>
      <c r="AY14" s="994">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3035"/>
      <c r="B15" s="3035"/>
      <c r="C15" s="3037"/>
      <c r="D15" s="3036"/>
      <c r="E15" s="25">
        <f t="shared" si="6"/>
        <v>0</v>
      </c>
      <c r="F15" s="79"/>
      <c r="G15" s="80">
        <f t="shared" si="7"/>
        <v>0</v>
      </c>
      <c r="H15" s="31">
        <f t="shared" si="8"/>
        <v>0</v>
      </c>
      <c r="I15" s="3039"/>
      <c r="J15" s="3039"/>
      <c r="K15" s="3039"/>
      <c r="L15" s="3039"/>
      <c r="M15" s="3039"/>
      <c r="N15" s="81"/>
      <c r="O15" s="81"/>
      <c r="P15" s="81"/>
      <c r="Q15" s="81"/>
      <c r="R15" s="81"/>
      <c r="S15" s="81"/>
      <c r="T15" s="81"/>
      <c r="U15" s="81"/>
      <c r="V15" s="81"/>
      <c r="W15" s="81"/>
      <c r="X15" s="81"/>
      <c r="Y15" s="81"/>
      <c r="Z15" s="81"/>
      <c r="AA15" s="81"/>
      <c r="AB15" s="81"/>
      <c r="AC15" s="25">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6">
        <f t="shared" si="10"/>
        <v>0</v>
      </c>
      <c r="AW15" s="16">
        <f t="shared" si="10"/>
        <v>0</v>
      </c>
      <c r="AX15" s="16">
        <f t="shared" si="10"/>
        <v>0</v>
      </c>
      <c r="AY15" s="994">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3035"/>
      <c r="B16" s="3035"/>
      <c r="C16" s="3037"/>
      <c r="D16" s="3036"/>
      <c r="E16" s="25">
        <f t="shared" si="6"/>
        <v>0</v>
      </c>
      <c r="F16" s="79"/>
      <c r="G16" s="80">
        <f t="shared" si="7"/>
        <v>0</v>
      </c>
      <c r="H16" s="31">
        <f t="shared" si="8"/>
        <v>0</v>
      </c>
      <c r="I16" s="3039"/>
      <c r="J16" s="3039"/>
      <c r="K16" s="3039"/>
      <c r="L16" s="3039"/>
      <c r="M16" s="3039"/>
      <c r="N16" s="81"/>
      <c r="O16" s="81"/>
      <c r="P16" s="81"/>
      <c r="Q16" s="81"/>
      <c r="R16" s="81"/>
      <c r="S16" s="81"/>
      <c r="T16" s="81"/>
      <c r="U16" s="81"/>
      <c r="V16" s="81"/>
      <c r="W16" s="81"/>
      <c r="X16" s="81"/>
      <c r="Y16" s="81"/>
      <c r="Z16" s="81"/>
      <c r="AA16" s="81"/>
      <c r="AB16" s="81"/>
      <c r="AC16" s="25">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6">
        <f t="shared" si="10"/>
        <v>0</v>
      </c>
      <c r="AW16" s="16">
        <f t="shared" si="10"/>
        <v>0</v>
      </c>
      <c r="AX16" s="16">
        <f t="shared" si="10"/>
        <v>0</v>
      </c>
      <c r="AY16" s="994">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3035"/>
      <c r="B17" s="3035"/>
      <c r="C17" s="3037"/>
      <c r="D17" s="3036"/>
      <c r="E17" s="25">
        <f t="shared" si="6"/>
        <v>0</v>
      </c>
      <c r="F17" s="79"/>
      <c r="G17" s="80">
        <f t="shared" si="7"/>
        <v>0</v>
      </c>
      <c r="H17" s="31">
        <f t="shared" si="8"/>
        <v>0</v>
      </c>
      <c r="I17" s="3039"/>
      <c r="J17" s="3039"/>
      <c r="K17" s="3039"/>
      <c r="L17" s="3039"/>
      <c r="M17" s="3039"/>
      <c r="N17" s="81"/>
      <c r="O17" s="81"/>
      <c r="P17" s="81"/>
      <c r="Q17" s="81"/>
      <c r="R17" s="81"/>
      <c r="S17" s="81"/>
      <c r="T17" s="81"/>
      <c r="U17" s="81"/>
      <c r="V17" s="81"/>
      <c r="W17" s="81"/>
      <c r="X17" s="81"/>
      <c r="Y17" s="81"/>
      <c r="Z17" s="81"/>
      <c r="AA17" s="81"/>
      <c r="AB17" s="81"/>
      <c r="AC17" s="25">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6">
        <f t="shared" si="10"/>
        <v>0</v>
      </c>
      <c r="AW17" s="16">
        <f t="shared" si="10"/>
        <v>0</v>
      </c>
      <c r="AX17" s="16">
        <f t="shared" si="10"/>
        <v>0</v>
      </c>
      <c r="AY17" s="994">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3038"/>
      <c r="E18" s="85">
        <f t="shared" si="6"/>
        <v>0</v>
      </c>
      <c r="F18" s="86"/>
      <c r="G18" s="87">
        <f t="shared" si="7"/>
        <v>0</v>
      </c>
      <c r="H18" s="88">
        <f t="shared" si="8"/>
        <v>0</v>
      </c>
      <c r="I18" s="1393"/>
      <c r="J18" s="89"/>
      <c r="K18" s="1393"/>
      <c r="L18" s="89"/>
      <c r="M18" s="89"/>
      <c r="N18" s="89"/>
      <c r="O18" s="89"/>
      <c r="P18" s="89"/>
      <c r="Q18" s="89"/>
      <c r="R18" s="89"/>
      <c r="S18" s="89"/>
      <c r="T18" s="89"/>
      <c r="U18" s="89"/>
      <c r="V18" s="89"/>
      <c r="W18" s="89"/>
      <c r="X18" s="89"/>
      <c r="Y18" s="89"/>
      <c r="Z18" s="89"/>
      <c r="AA18" s="89"/>
      <c r="AB18" s="89"/>
      <c r="AC18" s="85">
        <f t="shared" si="9"/>
        <v>0</v>
      </c>
      <c r="AD18" s="90"/>
      <c r="AE18" s="90"/>
      <c r="AF18" s="1393"/>
      <c r="AG18" s="90"/>
      <c r="AH18" s="90"/>
      <c r="AI18" s="90"/>
      <c r="AJ18" s="90"/>
      <c r="AK18" s="90"/>
      <c r="AL18" s="1362"/>
      <c r="AM18" s="90"/>
      <c r="AN18" s="1393"/>
      <c r="AO18" s="90"/>
      <c r="AP18" s="90"/>
      <c r="AQ18" s="90"/>
      <c r="AR18" s="90"/>
      <c r="AS18" s="90"/>
      <c r="AT18" s="91"/>
      <c r="AU18" s="92"/>
      <c r="AV18" s="990">
        <f t="shared" si="10"/>
        <v>0</v>
      </c>
      <c r="AW18" s="990">
        <f t="shared" si="10"/>
        <v>0</v>
      </c>
      <c r="AX18" s="990">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7"/>
      <c r="C19" s="1393"/>
      <c r="D19" s="78"/>
      <c r="E19" s="85">
        <f t="shared" si="6"/>
        <v>0</v>
      </c>
      <c r="F19" s="86"/>
      <c r="G19" s="87">
        <f t="shared" si="7"/>
        <v>0</v>
      </c>
      <c r="H19" s="88">
        <f t="shared" si="8"/>
        <v>0</v>
      </c>
      <c r="I19" s="1393"/>
      <c r="J19" s="89"/>
      <c r="K19" s="1393"/>
      <c r="L19" s="89"/>
      <c r="M19" s="89"/>
      <c r="N19" s="89"/>
      <c r="O19" s="89"/>
      <c r="P19" s="89"/>
      <c r="Q19" s="89"/>
      <c r="R19" s="89"/>
      <c r="S19" s="89"/>
      <c r="T19" s="89"/>
      <c r="U19" s="89"/>
      <c r="V19" s="89"/>
      <c r="W19" s="89"/>
      <c r="X19" s="89"/>
      <c r="Y19" s="89"/>
      <c r="Z19" s="89"/>
      <c r="AA19" s="89"/>
      <c r="AB19" s="89"/>
      <c r="AC19" s="85">
        <f t="shared" si="9"/>
        <v>0</v>
      </c>
      <c r="AD19" s="90"/>
      <c r="AE19" s="90"/>
      <c r="AF19" s="1393"/>
      <c r="AG19" s="90"/>
      <c r="AH19" s="90"/>
      <c r="AI19" s="90"/>
      <c r="AJ19" s="90"/>
      <c r="AK19" s="90"/>
      <c r="AL19" s="90"/>
      <c r="AM19" s="90"/>
      <c r="AN19" s="1393"/>
      <c r="AO19" s="90"/>
      <c r="AP19" s="90"/>
      <c r="AQ19" s="90"/>
      <c r="AR19" s="90"/>
      <c r="AS19" s="90"/>
      <c r="AT19" s="91"/>
      <c r="AU19" s="92"/>
      <c r="AV19" s="990">
        <f t="shared" si="10"/>
        <v>0</v>
      </c>
      <c r="AW19" s="990">
        <f t="shared" si="10"/>
        <v>0</v>
      </c>
      <c r="AX19" s="990">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7"/>
      <c r="C20" s="1393"/>
      <c r="D20" s="78"/>
      <c r="E20" s="85">
        <f t="shared" si="6"/>
        <v>0</v>
      </c>
      <c r="F20" s="86"/>
      <c r="G20" s="87">
        <f t="shared" si="7"/>
        <v>0</v>
      </c>
      <c r="H20" s="88">
        <f t="shared" si="8"/>
        <v>0</v>
      </c>
      <c r="I20" s="1393"/>
      <c r="J20" s="89"/>
      <c r="K20" s="1393"/>
      <c r="L20" s="89"/>
      <c r="M20" s="89"/>
      <c r="N20" s="89"/>
      <c r="O20" s="89"/>
      <c r="P20" s="89"/>
      <c r="Q20" s="89"/>
      <c r="R20" s="89"/>
      <c r="S20" s="89"/>
      <c r="T20" s="89"/>
      <c r="U20" s="89"/>
      <c r="V20" s="89"/>
      <c r="W20" s="89"/>
      <c r="X20" s="89"/>
      <c r="Y20" s="89"/>
      <c r="Z20" s="89"/>
      <c r="AA20" s="89"/>
      <c r="AB20" s="89"/>
      <c r="AC20" s="85">
        <f t="shared" si="9"/>
        <v>0</v>
      </c>
      <c r="AD20" s="90"/>
      <c r="AE20" s="90"/>
      <c r="AF20" s="1393"/>
      <c r="AG20" s="90"/>
      <c r="AH20" s="90"/>
      <c r="AI20" s="90"/>
      <c r="AJ20" s="90"/>
      <c r="AK20" s="90"/>
      <c r="AL20" s="90"/>
      <c r="AM20" s="90"/>
      <c r="AN20" s="1393"/>
      <c r="AO20" s="90"/>
      <c r="AP20" s="90"/>
      <c r="AQ20" s="90"/>
      <c r="AR20" s="90"/>
      <c r="AS20" s="90"/>
      <c r="AT20" s="91"/>
      <c r="AU20" s="92"/>
      <c r="AV20" s="990">
        <f t="shared" si="10"/>
        <v>0</v>
      </c>
      <c r="AW20" s="990">
        <f t="shared" si="10"/>
        <v>0</v>
      </c>
      <c r="AX20" s="990">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92"/>
      <c r="C21" s="1393"/>
      <c r="D21" s="78"/>
      <c r="E21" s="85">
        <f t="shared" ref="E21:E112" si="33">IF($C$3="是",ROUND($A$3*G21/$B$3,2),ROUND($A$3*(G21-AT21)/$B$3,2))</f>
        <v>0</v>
      </c>
      <c r="F21" s="86"/>
      <c r="G21" s="87">
        <f t="shared" ref="G21:G109" si="34">H21+AC21+AT21</f>
        <v>0</v>
      </c>
      <c r="H21" s="88">
        <f t="shared" ref="H21:H109" si="35">SUMIF(I$12:AB$12,"总值",I21:AB21)</f>
        <v>0</v>
      </c>
      <c r="I21" s="1395"/>
      <c r="J21" s="89"/>
      <c r="K21" s="1395"/>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6"/>
      <c r="AG21" s="90"/>
      <c r="AH21" s="90"/>
      <c r="AI21" s="90"/>
      <c r="AJ21" s="90"/>
      <c r="AK21" s="90"/>
      <c r="AL21" s="90"/>
      <c r="AM21" s="90"/>
      <c r="AN21" s="1362"/>
      <c r="AO21" s="90"/>
      <c r="AP21" s="90"/>
      <c r="AQ21" s="90"/>
      <c r="AR21" s="90"/>
      <c r="AS21" s="90"/>
      <c r="AT21" s="91"/>
      <c r="AU21" s="92"/>
      <c r="AV21" s="1978">
        <f t="shared" ref="AV21:AV112" si="37">A21</f>
        <v>0</v>
      </c>
      <c r="AW21" s="1978">
        <f t="shared" ref="AW21:AW112" si="38">B21</f>
        <v>0</v>
      </c>
      <c r="AX21" s="1978">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92"/>
      <c r="C22" s="1393"/>
      <c r="D22" s="78"/>
      <c r="E22" s="85">
        <f t="shared" si="33"/>
        <v>0</v>
      </c>
      <c r="F22" s="86"/>
      <c r="G22" s="87">
        <f t="shared" si="34"/>
        <v>0</v>
      </c>
      <c r="H22" s="88">
        <f t="shared" si="35"/>
        <v>0</v>
      </c>
      <c r="I22" s="1395"/>
      <c r="J22" s="89"/>
      <c r="K22" s="1395"/>
      <c r="L22" s="89"/>
      <c r="M22" s="1362"/>
      <c r="N22" s="89"/>
      <c r="O22" s="89"/>
      <c r="P22" s="89"/>
      <c r="Q22" s="89"/>
      <c r="R22" s="89"/>
      <c r="S22" s="89"/>
      <c r="T22" s="89"/>
      <c r="U22" s="89"/>
      <c r="V22" s="89"/>
      <c r="W22" s="89"/>
      <c r="X22" s="89"/>
      <c r="Y22" s="89"/>
      <c r="Z22" s="89"/>
      <c r="AA22" s="89"/>
      <c r="AB22" s="89"/>
      <c r="AC22" s="85">
        <f t="shared" si="36"/>
        <v>0</v>
      </c>
      <c r="AD22" s="1362"/>
      <c r="AE22" s="90"/>
      <c r="AF22" s="1396"/>
      <c r="AG22" s="90"/>
      <c r="AH22" s="90"/>
      <c r="AI22" s="90"/>
      <c r="AJ22" s="90"/>
      <c r="AK22" s="90"/>
      <c r="AL22" s="1362"/>
      <c r="AM22" s="90"/>
      <c r="AN22" s="1362"/>
      <c r="AO22" s="90"/>
      <c r="AP22" s="90"/>
      <c r="AQ22" s="90"/>
      <c r="AR22" s="90"/>
      <c r="AS22" s="90"/>
      <c r="AT22" s="91"/>
      <c r="AU22" s="92"/>
      <c r="AV22" s="1978">
        <f t="shared" si="37"/>
        <v>0</v>
      </c>
      <c r="AW22" s="1978">
        <f t="shared" si="38"/>
        <v>0</v>
      </c>
      <c r="AX22" s="1978">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92"/>
      <c r="C23" s="1393"/>
      <c r="D23" s="78"/>
      <c r="E23" s="85">
        <f t="shared" si="33"/>
        <v>0</v>
      </c>
      <c r="F23" s="86"/>
      <c r="G23" s="87">
        <f t="shared" si="34"/>
        <v>0</v>
      </c>
      <c r="H23" s="88">
        <f t="shared" si="35"/>
        <v>0</v>
      </c>
      <c r="I23" s="1395"/>
      <c r="J23" s="89"/>
      <c r="K23" s="1395"/>
      <c r="L23" s="89"/>
      <c r="M23" s="1362"/>
      <c r="N23" s="89"/>
      <c r="O23" s="89"/>
      <c r="P23" s="89"/>
      <c r="Q23" s="89"/>
      <c r="R23" s="89"/>
      <c r="S23" s="89"/>
      <c r="T23" s="89"/>
      <c r="U23" s="89"/>
      <c r="V23" s="89"/>
      <c r="W23" s="89"/>
      <c r="X23" s="89"/>
      <c r="Y23" s="89"/>
      <c r="Z23" s="89"/>
      <c r="AA23" s="89"/>
      <c r="AB23" s="89"/>
      <c r="AC23" s="85">
        <f t="shared" si="36"/>
        <v>0</v>
      </c>
      <c r="AD23" s="90"/>
      <c r="AE23" s="90"/>
      <c r="AF23" s="1396"/>
      <c r="AG23" s="90"/>
      <c r="AH23" s="90"/>
      <c r="AI23" s="90"/>
      <c r="AJ23" s="90"/>
      <c r="AK23" s="90"/>
      <c r="AL23" s="1362"/>
      <c r="AM23" s="90"/>
      <c r="AN23" s="1362"/>
      <c r="AO23" s="90"/>
      <c r="AP23" s="90"/>
      <c r="AQ23" s="90"/>
      <c r="AR23" s="90"/>
      <c r="AS23" s="90"/>
      <c r="AT23" s="91"/>
      <c r="AU23" s="92"/>
      <c r="AV23" s="1978">
        <f t="shared" si="37"/>
        <v>0</v>
      </c>
      <c r="AW23" s="1978">
        <f t="shared" si="38"/>
        <v>0</v>
      </c>
      <c r="AX23" s="1978">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92"/>
      <c r="C24" s="1393"/>
      <c r="D24" s="78"/>
      <c r="E24" s="85">
        <f t="shared" si="33"/>
        <v>0</v>
      </c>
      <c r="F24" s="86"/>
      <c r="G24" s="87">
        <f t="shared" si="34"/>
        <v>0</v>
      </c>
      <c r="H24" s="88">
        <f t="shared" si="35"/>
        <v>0</v>
      </c>
      <c r="I24" s="1395"/>
      <c r="J24" s="89"/>
      <c r="K24" s="1395"/>
      <c r="L24" s="89"/>
      <c r="M24" s="89"/>
      <c r="N24" s="89"/>
      <c r="O24" s="1362"/>
      <c r="P24" s="89"/>
      <c r="Q24" s="89"/>
      <c r="R24" s="89"/>
      <c r="S24" s="89"/>
      <c r="T24" s="89"/>
      <c r="U24" s="89"/>
      <c r="V24" s="89"/>
      <c r="W24" s="89"/>
      <c r="X24" s="89"/>
      <c r="Y24" s="89"/>
      <c r="Z24" s="89"/>
      <c r="AA24" s="89"/>
      <c r="AB24" s="89"/>
      <c r="AC24" s="85">
        <f t="shared" si="36"/>
        <v>0</v>
      </c>
      <c r="AD24" s="90"/>
      <c r="AE24" s="90"/>
      <c r="AF24" s="1396"/>
      <c r="AG24" s="90"/>
      <c r="AH24" s="90"/>
      <c r="AI24" s="90"/>
      <c r="AJ24" s="90"/>
      <c r="AK24" s="90"/>
      <c r="AL24" s="90"/>
      <c r="AM24" s="90"/>
      <c r="AN24" s="1362"/>
      <c r="AO24" s="90"/>
      <c r="AP24" s="90"/>
      <c r="AQ24" s="90"/>
      <c r="AR24" s="90"/>
      <c r="AS24" s="90"/>
      <c r="AT24" s="91"/>
      <c r="AU24" s="92"/>
      <c r="AV24" s="1978">
        <f t="shared" si="37"/>
        <v>0</v>
      </c>
      <c r="AW24" s="1978">
        <f t="shared" si="38"/>
        <v>0</v>
      </c>
      <c r="AX24" s="1978">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92"/>
      <c r="C25" s="1393"/>
      <c r="D25" s="78"/>
      <c r="E25" s="85">
        <f t="shared" si="33"/>
        <v>0</v>
      </c>
      <c r="F25" s="86"/>
      <c r="G25" s="87">
        <f t="shared" si="34"/>
        <v>0</v>
      </c>
      <c r="H25" s="88">
        <f t="shared" si="35"/>
        <v>0</v>
      </c>
      <c r="I25" s="1395"/>
      <c r="J25" s="89"/>
      <c r="K25" s="1395"/>
      <c r="L25" s="89"/>
      <c r="M25" s="89"/>
      <c r="N25" s="89"/>
      <c r="O25" s="89"/>
      <c r="P25" s="89"/>
      <c r="Q25" s="89"/>
      <c r="R25" s="89"/>
      <c r="S25" s="89"/>
      <c r="T25" s="89"/>
      <c r="U25" s="89"/>
      <c r="V25" s="89"/>
      <c r="W25" s="89"/>
      <c r="X25" s="89"/>
      <c r="Y25" s="89"/>
      <c r="Z25" s="89"/>
      <c r="AA25" s="89"/>
      <c r="AB25" s="89"/>
      <c r="AC25" s="85">
        <f t="shared" si="36"/>
        <v>0</v>
      </c>
      <c r="AD25" s="90"/>
      <c r="AE25" s="90"/>
      <c r="AF25" s="1396"/>
      <c r="AG25" s="90"/>
      <c r="AH25" s="90"/>
      <c r="AI25" s="90"/>
      <c r="AJ25" s="90"/>
      <c r="AK25" s="90"/>
      <c r="AL25" s="90"/>
      <c r="AM25" s="90"/>
      <c r="AN25" s="90"/>
      <c r="AO25" s="90"/>
      <c r="AP25" s="90"/>
      <c r="AQ25" s="90"/>
      <c r="AR25" s="90"/>
      <c r="AS25" s="90"/>
      <c r="AT25" s="91"/>
      <c r="AU25" s="92"/>
      <c r="AV25" s="1978">
        <f t="shared" si="37"/>
        <v>0</v>
      </c>
      <c r="AW25" s="1978">
        <f t="shared" si="38"/>
        <v>0</v>
      </c>
      <c r="AX25" s="1978">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92"/>
      <c r="C26" s="1393"/>
      <c r="D26" s="78"/>
      <c r="E26" s="85">
        <f t="shared" si="33"/>
        <v>0</v>
      </c>
      <c r="F26" s="86"/>
      <c r="G26" s="87">
        <f t="shared" si="34"/>
        <v>0</v>
      </c>
      <c r="H26" s="88">
        <f t="shared" si="35"/>
        <v>0</v>
      </c>
      <c r="I26" s="1395"/>
      <c r="J26" s="89"/>
      <c r="K26" s="1395"/>
      <c r="L26" s="89"/>
      <c r="M26" s="89"/>
      <c r="N26" s="89"/>
      <c r="O26" s="89"/>
      <c r="P26" s="89"/>
      <c r="Q26" s="89"/>
      <c r="R26" s="89"/>
      <c r="S26" s="89"/>
      <c r="T26" s="89"/>
      <c r="U26" s="89"/>
      <c r="V26" s="89"/>
      <c r="W26" s="89"/>
      <c r="X26" s="89"/>
      <c r="Y26" s="89"/>
      <c r="Z26" s="89"/>
      <c r="AA26" s="89"/>
      <c r="AB26" s="89"/>
      <c r="AC26" s="85">
        <f t="shared" si="36"/>
        <v>0</v>
      </c>
      <c r="AD26" s="90"/>
      <c r="AE26" s="90"/>
      <c r="AF26" s="1396"/>
      <c r="AG26" s="90"/>
      <c r="AH26" s="90"/>
      <c r="AI26" s="90"/>
      <c r="AJ26" s="90"/>
      <c r="AK26" s="90"/>
      <c r="AL26" s="90"/>
      <c r="AM26" s="90"/>
      <c r="AN26" s="90"/>
      <c r="AO26" s="90"/>
      <c r="AP26" s="90"/>
      <c r="AQ26" s="90"/>
      <c r="AR26" s="90"/>
      <c r="AS26" s="90"/>
      <c r="AT26" s="91"/>
      <c r="AU26" s="92"/>
      <c r="AV26" s="1978">
        <f t="shared" si="37"/>
        <v>0</v>
      </c>
      <c r="AW26" s="1978">
        <f t="shared" si="38"/>
        <v>0</v>
      </c>
      <c r="AX26" s="1978">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92"/>
      <c r="C27" s="1393"/>
      <c r="D27" s="78"/>
      <c r="E27" s="85">
        <f t="shared" si="33"/>
        <v>0</v>
      </c>
      <c r="F27" s="86"/>
      <c r="G27" s="87">
        <f t="shared" si="34"/>
        <v>0</v>
      </c>
      <c r="H27" s="88">
        <f t="shared" si="35"/>
        <v>0</v>
      </c>
      <c r="I27" s="1395"/>
      <c r="J27" s="89"/>
      <c r="K27" s="1395"/>
      <c r="L27" s="89"/>
      <c r="M27" s="89"/>
      <c r="N27" s="89"/>
      <c r="O27" s="89"/>
      <c r="P27" s="89"/>
      <c r="Q27" s="89"/>
      <c r="R27" s="89"/>
      <c r="S27" s="89"/>
      <c r="T27" s="89"/>
      <c r="U27" s="89"/>
      <c r="V27" s="89"/>
      <c r="W27" s="89"/>
      <c r="X27" s="89"/>
      <c r="Y27" s="89"/>
      <c r="Z27" s="89"/>
      <c r="AA27" s="89"/>
      <c r="AB27" s="89"/>
      <c r="AC27" s="85">
        <f t="shared" si="36"/>
        <v>0</v>
      </c>
      <c r="AD27" s="90"/>
      <c r="AE27" s="90"/>
      <c r="AF27" s="1396"/>
      <c r="AG27" s="90"/>
      <c r="AH27" s="90"/>
      <c r="AI27" s="90"/>
      <c r="AJ27" s="90"/>
      <c r="AK27" s="90"/>
      <c r="AL27" s="90"/>
      <c r="AM27" s="90"/>
      <c r="AN27" s="90"/>
      <c r="AO27" s="90"/>
      <c r="AP27" s="90"/>
      <c r="AQ27" s="90"/>
      <c r="AR27" s="90"/>
      <c r="AS27" s="90"/>
      <c r="AT27" s="91"/>
      <c r="AU27" s="92"/>
      <c r="AV27" s="1978">
        <f t="shared" si="37"/>
        <v>0</v>
      </c>
      <c r="AW27" s="1978">
        <f t="shared" si="38"/>
        <v>0</v>
      </c>
      <c r="AX27" s="1978">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92"/>
      <c r="C28" s="1393"/>
      <c r="D28" s="78"/>
      <c r="E28" s="85">
        <f t="shared" si="33"/>
        <v>0</v>
      </c>
      <c r="F28" s="86"/>
      <c r="G28" s="87">
        <f t="shared" si="34"/>
        <v>0</v>
      </c>
      <c r="H28" s="88">
        <f t="shared" si="35"/>
        <v>0</v>
      </c>
      <c r="I28" s="1395"/>
      <c r="J28" s="89"/>
      <c r="K28" s="1395"/>
      <c r="L28" s="89"/>
      <c r="M28" s="89"/>
      <c r="N28" s="89"/>
      <c r="O28" s="89"/>
      <c r="P28" s="89"/>
      <c r="Q28" s="89"/>
      <c r="R28" s="89"/>
      <c r="S28" s="89"/>
      <c r="T28" s="89"/>
      <c r="U28" s="89"/>
      <c r="V28" s="89"/>
      <c r="W28" s="89"/>
      <c r="X28" s="89"/>
      <c r="Y28" s="89"/>
      <c r="Z28" s="89"/>
      <c r="AA28" s="89"/>
      <c r="AB28" s="89"/>
      <c r="AC28" s="85">
        <f t="shared" si="36"/>
        <v>0</v>
      </c>
      <c r="AD28" s="90"/>
      <c r="AE28" s="90"/>
      <c r="AF28" s="1395"/>
      <c r="AG28" s="90"/>
      <c r="AH28" s="90"/>
      <c r="AI28" s="90"/>
      <c r="AJ28" s="90"/>
      <c r="AK28" s="90"/>
      <c r="AL28" s="90"/>
      <c r="AM28" s="90"/>
      <c r="AN28" s="90"/>
      <c r="AO28" s="90"/>
      <c r="AP28" s="90"/>
      <c r="AQ28" s="90"/>
      <c r="AR28" s="90"/>
      <c r="AS28" s="90"/>
      <c r="AT28" s="91"/>
      <c r="AU28" s="92"/>
      <c r="AV28" s="1978">
        <f t="shared" si="37"/>
        <v>0</v>
      </c>
      <c r="AW28" s="1978">
        <f t="shared" si="38"/>
        <v>0</v>
      </c>
      <c r="AX28" s="1978">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4"/>
      <c r="C29" s="1395"/>
      <c r="D29" s="78"/>
      <c r="E29" s="85">
        <f t="shared" si="33"/>
        <v>0</v>
      </c>
      <c r="F29" s="86"/>
      <c r="G29" s="87">
        <f t="shared" si="34"/>
        <v>0</v>
      </c>
      <c r="H29" s="88">
        <f t="shared" si="35"/>
        <v>0</v>
      </c>
      <c r="I29" s="1395"/>
      <c r="J29" s="89"/>
      <c r="K29" s="1395"/>
      <c r="L29" s="89"/>
      <c r="M29" s="89"/>
      <c r="N29" s="89"/>
      <c r="O29" s="89"/>
      <c r="P29" s="89"/>
      <c r="Q29" s="89"/>
      <c r="R29" s="89"/>
      <c r="S29" s="89"/>
      <c r="T29" s="89"/>
      <c r="U29" s="89"/>
      <c r="V29" s="89"/>
      <c r="W29" s="89"/>
      <c r="X29" s="89"/>
      <c r="Y29" s="89"/>
      <c r="Z29" s="89"/>
      <c r="AA29" s="89"/>
      <c r="AB29" s="89"/>
      <c r="AC29" s="85">
        <f t="shared" si="36"/>
        <v>0</v>
      </c>
      <c r="AD29" s="90"/>
      <c r="AE29" s="90"/>
      <c r="AF29" s="1395"/>
      <c r="AG29" s="90"/>
      <c r="AH29" s="90"/>
      <c r="AI29" s="90"/>
      <c r="AJ29" s="90"/>
      <c r="AK29" s="90"/>
      <c r="AL29" s="90"/>
      <c r="AM29" s="90"/>
      <c r="AN29" s="90"/>
      <c r="AO29" s="90"/>
      <c r="AP29" s="90"/>
      <c r="AQ29" s="90"/>
      <c r="AR29" s="90"/>
      <c r="AS29" s="90"/>
      <c r="AT29" s="91"/>
      <c r="AU29" s="92"/>
      <c r="AV29" s="1978">
        <f t="shared" si="37"/>
        <v>0</v>
      </c>
      <c r="AW29" s="1978">
        <f t="shared" si="38"/>
        <v>0</v>
      </c>
      <c r="AX29" s="1978">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92"/>
      <c r="C30" s="1393"/>
      <c r="D30" s="78"/>
      <c r="E30" s="85">
        <f t="shared" si="33"/>
        <v>0</v>
      </c>
      <c r="F30" s="86"/>
      <c r="G30" s="87">
        <f t="shared" si="34"/>
        <v>0</v>
      </c>
      <c r="H30" s="88">
        <f t="shared" si="35"/>
        <v>0</v>
      </c>
      <c r="I30" s="1395"/>
      <c r="J30" s="89"/>
      <c r="K30" s="1395"/>
      <c r="L30" s="89"/>
      <c r="M30" s="89"/>
      <c r="N30" s="89"/>
      <c r="O30" s="89"/>
      <c r="P30" s="89"/>
      <c r="Q30" s="89"/>
      <c r="R30" s="89"/>
      <c r="S30" s="89"/>
      <c r="T30" s="89"/>
      <c r="U30" s="89"/>
      <c r="V30" s="89"/>
      <c r="W30" s="89"/>
      <c r="X30" s="89"/>
      <c r="Y30" s="89"/>
      <c r="Z30" s="89"/>
      <c r="AA30" s="89"/>
      <c r="AB30" s="89"/>
      <c r="AC30" s="85">
        <f t="shared" si="36"/>
        <v>0</v>
      </c>
      <c r="AD30" s="90"/>
      <c r="AE30" s="90"/>
      <c r="AF30" s="1395"/>
      <c r="AG30" s="90"/>
      <c r="AH30" s="90"/>
      <c r="AI30" s="90"/>
      <c r="AJ30" s="90"/>
      <c r="AK30" s="90"/>
      <c r="AL30" s="90"/>
      <c r="AM30" s="90"/>
      <c r="AN30" s="90"/>
      <c r="AO30" s="90"/>
      <c r="AP30" s="90"/>
      <c r="AQ30" s="90"/>
      <c r="AR30" s="90"/>
      <c r="AS30" s="90"/>
      <c r="AT30" s="91"/>
      <c r="AU30" s="92"/>
      <c r="AV30" s="1978">
        <f t="shared" si="37"/>
        <v>0</v>
      </c>
      <c r="AW30" s="1978">
        <f t="shared" si="38"/>
        <v>0</v>
      </c>
      <c r="AX30" s="1978">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92"/>
      <c r="C31" s="1393"/>
      <c r="D31" s="78"/>
      <c r="E31" s="85">
        <f t="shared" si="33"/>
        <v>0</v>
      </c>
      <c r="F31" s="86"/>
      <c r="G31" s="87">
        <f t="shared" si="34"/>
        <v>0</v>
      </c>
      <c r="H31" s="88">
        <f t="shared" si="35"/>
        <v>0</v>
      </c>
      <c r="I31" s="1395"/>
      <c r="J31" s="89"/>
      <c r="K31" s="1395"/>
      <c r="L31" s="89"/>
      <c r="M31" s="89"/>
      <c r="N31" s="89"/>
      <c r="O31" s="89"/>
      <c r="P31" s="89"/>
      <c r="Q31" s="89"/>
      <c r="R31" s="89"/>
      <c r="S31" s="89"/>
      <c r="T31" s="89"/>
      <c r="U31" s="89"/>
      <c r="V31" s="89"/>
      <c r="W31" s="89"/>
      <c r="X31" s="89"/>
      <c r="Y31" s="89"/>
      <c r="Z31" s="89"/>
      <c r="AA31" s="89"/>
      <c r="AB31" s="89"/>
      <c r="AC31" s="85">
        <f t="shared" si="36"/>
        <v>0</v>
      </c>
      <c r="AD31" s="90"/>
      <c r="AE31" s="90"/>
      <c r="AF31" s="1395"/>
      <c r="AG31" s="90"/>
      <c r="AH31" s="90"/>
      <c r="AI31" s="90"/>
      <c r="AJ31" s="90"/>
      <c r="AK31" s="90"/>
      <c r="AL31" s="90"/>
      <c r="AM31" s="90"/>
      <c r="AN31" s="90"/>
      <c r="AO31" s="90"/>
      <c r="AP31" s="90"/>
      <c r="AQ31" s="90"/>
      <c r="AR31" s="90"/>
      <c r="AS31" s="90"/>
      <c r="AT31" s="91"/>
      <c r="AU31" s="92"/>
      <c r="AV31" s="1978">
        <f t="shared" si="37"/>
        <v>0</v>
      </c>
      <c r="AW31" s="1978">
        <f t="shared" si="38"/>
        <v>0</v>
      </c>
      <c r="AX31" s="1978">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92"/>
      <c r="C32" s="1393"/>
      <c r="D32" s="78"/>
      <c r="E32" s="85">
        <f t="shared" si="33"/>
        <v>0</v>
      </c>
      <c r="F32" s="86"/>
      <c r="G32" s="87">
        <f t="shared" si="34"/>
        <v>0</v>
      </c>
      <c r="H32" s="88">
        <f t="shared" si="35"/>
        <v>0</v>
      </c>
      <c r="I32" s="1395"/>
      <c r="J32" s="89"/>
      <c r="K32" s="1395"/>
      <c r="L32" s="89"/>
      <c r="M32" s="89"/>
      <c r="N32" s="89"/>
      <c r="O32" s="89"/>
      <c r="P32" s="89"/>
      <c r="Q32" s="89"/>
      <c r="R32" s="89"/>
      <c r="S32" s="89"/>
      <c r="T32" s="89"/>
      <c r="U32" s="89"/>
      <c r="V32" s="89"/>
      <c r="W32" s="89"/>
      <c r="X32" s="89"/>
      <c r="Y32" s="89"/>
      <c r="Z32" s="89"/>
      <c r="AA32" s="89"/>
      <c r="AB32" s="89"/>
      <c r="AC32" s="85">
        <f t="shared" si="36"/>
        <v>0</v>
      </c>
      <c r="AD32" s="90"/>
      <c r="AE32" s="90"/>
      <c r="AF32" s="1395"/>
      <c r="AG32" s="90"/>
      <c r="AH32" s="90"/>
      <c r="AI32" s="90"/>
      <c r="AJ32" s="90"/>
      <c r="AK32" s="90"/>
      <c r="AL32" s="90"/>
      <c r="AM32" s="90"/>
      <c r="AN32" s="90"/>
      <c r="AO32" s="90"/>
      <c r="AP32" s="90"/>
      <c r="AQ32" s="90"/>
      <c r="AR32" s="90"/>
      <c r="AS32" s="90"/>
      <c r="AT32" s="91"/>
      <c r="AU32" s="92"/>
      <c r="AV32" s="1978">
        <f t="shared" si="37"/>
        <v>0</v>
      </c>
      <c r="AW32" s="1978">
        <f t="shared" si="38"/>
        <v>0</v>
      </c>
      <c r="AX32" s="1978">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92"/>
      <c r="C33" s="1393"/>
      <c r="D33" s="78"/>
      <c r="E33" s="85">
        <f t="shared" si="33"/>
        <v>0</v>
      </c>
      <c r="F33" s="86"/>
      <c r="G33" s="87">
        <f t="shared" si="34"/>
        <v>0</v>
      </c>
      <c r="H33" s="88">
        <f t="shared" si="35"/>
        <v>0</v>
      </c>
      <c r="I33" s="1395"/>
      <c r="J33" s="89"/>
      <c r="K33" s="1395"/>
      <c r="L33" s="89"/>
      <c r="M33" s="89"/>
      <c r="N33" s="89"/>
      <c r="O33" s="89"/>
      <c r="P33" s="89"/>
      <c r="Q33" s="89"/>
      <c r="R33" s="89"/>
      <c r="S33" s="89"/>
      <c r="T33" s="89"/>
      <c r="U33" s="89"/>
      <c r="V33" s="89"/>
      <c r="W33" s="89"/>
      <c r="X33" s="89"/>
      <c r="Y33" s="89"/>
      <c r="Z33" s="89"/>
      <c r="AA33" s="89"/>
      <c r="AB33" s="89"/>
      <c r="AC33" s="85">
        <f t="shared" si="36"/>
        <v>0</v>
      </c>
      <c r="AD33" s="90"/>
      <c r="AE33" s="90"/>
      <c r="AF33" s="1395"/>
      <c r="AG33" s="90"/>
      <c r="AH33" s="90"/>
      <c r="AI33" s="90"/>
      <c r="AJ33" s="90"/>
      <c r="AK33" s="90"/>
      <c r="AL33" s="90"/>
      <c r="AM33" s="90"/>
      <c r="AN33" s="90"/>
      <c r="AO33" s="90"/>
      <c r="AP33" s="90"/>
      <c r="AQ33" s="90"/>
      <c r="AR33" s="90"/>
      <c r="AS33" s="90"/>
      <c r="AT33" s="91"/>
      <c r="AU33" s="92"/>
      <c r="AV33" s="1978">
        <f t="shared" si="37"/>
        <v>0</v>
      </c>
      <c r="AW33" s="1978">
        <f t="shared" si="38"/>
        <v>0</v>
      </c>
      <c r="AX33" s="1978">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92"/>
      <c r="C34" s="1393"/>
      <c r="D34" s="78"/>
      <c r="E34" s="85">
        <f t="shared" si="33"/>
        <v>0</v>
      </c>
      <c r="F34" s="86"/>
      <c r="G34" s="87">
        <f t="shared" si="34"/>
        <v>0</v>
      </c>
      <c r="H34" s="88">
        <f t="shared" si="35"/>
        <v>0</v>
      </c>
      <c r="I34" s="1395"/>
      <c r="J34" s="89"/>
      <c r="K34" s="1395"/>
      <c r="L34" s="89"/>
      <c r="M34" s="89"/>
      <c r="N34" s="89"/>
      <c r="O34" s="89"/>
      <c r="P34" s="89"/>
      <c r="Q34" s="89"/>
      <c r="R34" s="89"/>
      <c r="S34" s="89"/>
      <c r="T34" s="89"/>
      <c r="U34" s="89"/>
      <c r="V34" s="89"/>
      <c r="W34" s="89"/>
      <c r="X34" s="89"/>
      <c r="Y34" s="89"/>
      <c r="Z34" s="89"/>
      <c r="AA34" s="89"/>
      <c r="AB34" s="89"/>
      <c r="AC34" s="85">
        <f t="shared" si="36"/>
        <v>0</v>
      </c>
      <c r="AD34" s="90"/>
      <c r="AE34" s="90"/>
      <c r="AF34" s="1395"/>
      <c r="AG34" s="90"/>
      <c r="AH34" s="90"/>
      <c r="AI34" s="90"/>
      <c r="AJ34" s="90"/>
      <c r="AK34" s="90"/>
      <c r="AL34" s="90"/>
      <c r="AM34" s="90"/>
      <c r="AN34" s="90"/>
      <c r="AO34" s="90"/>
      <c r="AP34" s="90"/>
      <c r="AQ34" s="90"/>
      <c r="AR34" s="90"/>
      <c r="AS34" s="90"/>
      <c r="AT34" s="91"/>
      <c r="AU34" s="92"/>
      <c r="AV34" s="1978">
        <f t="shared" si="37"/>
        <v>0</v>
      </c>
      <c r="AW34" s="1978">
        <f t="shared" si="38"/>
        <v>0</v>
      </c>
      <c r="AX34" s="1978">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92"/>
      <c r="C35" s="1393"/>
      <c r="D35" s="78"/>
      <c r="E35" s="85">
        <f t="shared" si="33"/>
        <v>0</v>
      </c>
      <c r="F35" s="86"/>
      <c r="G35" s="87">
        <f t="shared" si="34"/>
        <v>0</v>
      </c>
      <c r="H35" s="88">
        <f t="shared" si="35"/>
        <v>0</v>
      </c>
      <c r="I35" s="1395"/>
      <c r="J35" s="89"/>
      <c r="K35" s="1395"/>
      <c r="L35" s="89"/>
      <c r="M35" s="89"/>
      <c r="N35" s="89"/>
      <c r="O35" s="89"/>
      <c r="P35" s="89"/>
      <c r="Q35" s="89"/>
      <c r="R35" s="89"/>
      <c r="S35" s="89"/>
      <c r="T35" s="89"/>
      <c r="U35" s="89"/>
      <c r="V35" s="89"/>
      <c r="W35" s="89"/>
      <c r="X35" s="89"/>
      <c r="Y35" s="89"/>
      <c r="Z35" s="89"/>
      <c r="AA35" s="89"/>
      <c r="AB35" s="89"/>
      <c r="AC35" s="85">
        <f t="shared" si="36"/>
        <v>0</v>
      </c>
      <c r="AD35" s="90"/>
      <c r="AE35" s="90"/>
      <c r="AF35" s="1395"/>
      <c r="AG35" s="90"/>
      <c r="AH35" s="90"/>
      <c r="AI35" s="90"/>
      <c r="AJ35" s="90"/>
      <c r="AK35" s="90"/>
      <c r="AL35" s="90"/>
      <c r="AM35" s="90"/>
      <c r="AN35" s="90"/>
      <c r="AO35" s="90"/>
      <c r="AP35" s="90"/>
      <c r="AQ35" s="90"/>
      <c r="AR35" s="90"/>
      <c r="AS35" s="90"/>
      <c r="AT35" s="91"/>
      <c r="AU35" s="92"/>
      <c r="AV35" s="1978">
        <f t="shared" si="37"/>
        <v>0</v>
      </c>
      <c r="AW35" s="1978">
        <f t="shared" si="38"/>
        <v>0</v>
      </c>
      <c r="AX35" s="1978">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92"/>
      <c r="C36" s="1393"/>
      <c r="D36" s="78"/>
      <c r="E36" s="85">
        <f t="shared" si="33"/>
        <v>0</v>
      </c>
      <c r="F36" s="86"/>
      <c r="G36" s="87">
        <f t="shared" si="34"/>
        <v>0</v>
      </c>
      <c r="H36" s="88">
        <f t="shared" si="35"/>
        <v>0</v>
      </c>
      <c r="I36" s="1395"/>
      <c r="J36" s="89"/>
      <c r="K36" s="1395"/>
      <c r="L36" s="89"/>
      <c r="M36" s="89"/>
      <c r="N36" s="89"/>
      <c r="O36" s="89"/>
      <c r="P36" s="89"/>
      <c r="Q36" s="89"/>
      <c r="R36" s="89"/>
      <c r="S36" s="89"/>
      <c r="T36" s="89"/>
      <c r="U36" s="89"/>
      <c r="V36" s="89"/>
      <c r="W36" s="89"/>
      <c r="X36" s="89"/>
      <c r="Y36" s="89"/>
      <c r="Z36" s="89"/>
      <c r="AA36" s="89"/>
      <c r="AB36" s="89"/>
      <c r="AC36" s="85">
        <f t="shared" si="36"/>
        <v>0</v>
      </c>
      <c r="AD36" s="90"/>
      <c r="AE36" s="90"/>
      <c r="AF36" s="1395"/>
      <c r="AG36" s="90"/>
      <c r="AH36" s="90"/>
      <c r="AI36" s="90"/>
      <c r="AJ36" s="90"/>
      <c r="AK36" s="90"/>
      <c r="AL36" s="90"/>
      <c r="AM36" s="90"/>
      <c r="AN36" s="90"/>
      <c r="AO36" s="90"/>
      <c r="AP36" s="90"/>
      <c r="AQ36" s="90"/>
      <c r="AR36" s="90"/>
      <c r="AS36" s="90"/>
      <c r="AT36" s="91"/>
      <c r="AU36" s="92"/>
      <c r="AV36" s="1978">
        <f t="shared" si="37"/>
        <v>0</v>
      </c>
      <c r="AW36" s="1978">
        <f t="shared" si="38"/>
        <v>0</v>
      </c>
      <c r="AX36" s="1978">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92"/>
      <c r="C37" s="1393"/>
      <c r="D37" s="78"/>
      <c r="E37" s="85">
        <f t="shared" si="33"/>
        <v>0</v>
      </c>
      <c r="F37" s="86"/>
      <c r="G37" s="87">
        <f t="shared" si="34"/>
        <v>0</v>
      </c>
      <c r="H37" s="88">
        <f t="shared" si="35"/>
        <v>0</v>
      </c>
      <c r="I37" s="1395"/>
      <c r="J37" s="89"/>
      <c r="K37" s="1395"/>
      <c r="L37" s="89"/>
      <c r="M37" s="89"/>
      <c r="N37" s="89"/>
      <c r="O37" s="89"/>
      <c r="P37" s="89"/>
      <c r="Q37" s="89"/>
      <c r="R37" s="89"/>
      <c r="S37" s="89"/>
      <c r="T37" s="89"/>
      <c r="U37" s="89"/>
      <c r="V37" s="89"/>
      <c r="W37" s="89"/>
      <c r="X37" s="89"/>
      <c r="Y37" s="89"/>
      <c r="Z37" s="89"/>
      <c r="AA37" s="89"/>
      <c r="AB37" s="89"/>
      <c r="AC37" s="85">
        <f t="shared" si="36"/>
        <v>0</v>
      </c>
      <c r="AD37" s="90"/>
      <c r="AE37" s="90"/>
      <c r="AF37" s="1395"/>
      <c r="AG37" s="90"/>
      <c r="AH37" s="90"/>
      <c r="AI37" s="90"/>
      <c r="AJ37" s="90"/>
      <c r="AK37" s="90"/>
      <c r="AL37" s="90"/>
      <c r="AM37" s="90"/>
      <c r="AN37" s="90"/>
      <c r="AO37" s="90"/>
      <c r="AP37" s="90"/>
      <c r="AQ37" s="90"/>
      <c r="AR37" s="90"/>
      <c r="AS37" s="90"/>
      <c r="AT37" s="91"/>
      <c r="AU37" s="92"/>
      <c r="AV37" s="1978">
        <f t="shared" si="37"/>
        <v>0</v>
      </c>
      <c r="AW37" s="1978">
        <f t="shared" si="38"/>
        <v>0</v>
      </c>
      <c r="AX37" s="1978">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92"/>
      <c r="C38" s="1393"/>
      <c r="D38" s="78"/>
      <c r="E38" s="85">
        <f t="shared" si="33"/>
        <v>0</v>
      </c>
      <c r="F38" s="86"/>
      <c r="G38" s="87">
        <f t="shared" si="34"/>
        <v>0</v>
      </c>
      <c r="H38" s="88">
        <f t="shared" si="35"/>
        <v>0</v>
      </c>
      <c r="I38" s="1395"/>
      <c r="J38" s="89"/>
      <c r="K38" s="1395"/>
      <c r="L38" s="89"/>
      <c r="M38" s="89"/>
      <c r="N38" s="89"/>
      <c r="O38" s="89"/>
      <c r="P38" s="89"/>
      <c r="Q38" s="89"/>
      <c r="R38" s="89"/>
      <c r="S38" s="89"/>
      <c r="T38" s="89"/>
      <c r="U38" s="89"/>
      <c r="V38" s="89"/>
      <c r="W38" s="89"/>
      <c r="X38" s="89"/>
      <c r="Y38" s="89"/>
      <c r="Z38" s="89"/>
      <c r="AA38" s="89"/>
      <c r="AB38" s="89"/>
      <c r="AC38" s="85">
        <f t="shared" si="36"/>
        <v>0</v>
      </c>
      <c r="AD38" s="90"/>
      <c r="AE38" s="90"/>
      <c r="AF38" s="1395"/>
      <c r="AG38" s="90"/>
      <c r="AH38" s="90"/>
      <c r="AI38" s="90"/>
      <c r="AJ38" s="90"/>
      <c r="AK38" s="90"/>
      <c r="AL38" s="90"/>
      <c r="AM38" s="90"/>
      <c r="AN38" s="90"/>
      <c r="AO38" s="90"/>
      <c r="AP38" s="90"/>
      <c r="AQ38" s="90"/>
      <c r="AR38" s="90"/>
      <c r="AS38" s="90"/>
      <c r="AT38" s="91"/>
      <c r="AU38" s="92"/>
      <c r="AV38" s="1978">
        <f t="shared" si="37"/>
        <v>0</v>
      </c>
      <c r="AW38" s="1978">
        <f t="shared" si="38"/>
        <v>0</v>
      </c>
      <c r="AX38" s="1978">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92"/>
      <c r="C39" s="1393"/>
      <c r="D39" s="78"/>
      <c r="E39" s="85">
        <f t="shared" si="33"/>
        <v>0</v>
      </c>
      <c r="F39" s="86"/>
      <c r="G39" s="87">
        <f t="shared" si="34"/>
        <v>0</v>
      </c>
      <c r="H39" s="88">
        <f t="shared" si="35"/>
        <v>0</v>
      </c>
      <c r="I39" s="1395"/>
      <c r="J39" s="89"/>
      <c r="K39" s="1395"/>
      <c r="L39" s="89"/>
      <c r="M39" s="89"/>
      <c r="N39" s="89"/>
      <c r="O39" s="89"/>
      <c r="P39" s="89"/>
      <c r="Q39" s="89"/>
      <c r="R39" s="89"/>
      <c r="S39" s="89"/>
      <c r="T39" s="89"/>
      <c r="U39" s="89"/>
      <c r="V39" s="89"/>
      <c r="W39" s="89"/>
      <c r="X39" s="89"/>
      <c r="Y39" s="89"/>
      <c r="Z39" s="89"/>
      <c r="AA39" s="89"/>
      <c r="AB39" s="89"/>
      <c r="AC39" s="85">
        <f t="shared" si="36"/>
        <v>0</v>
      </c>
      <c r="AD39" s="90"/>
      <c r="AE39" s="90"/>
      <c r="AF39" s="1395"/>
      <c r="AG39" s="90"/>
      <c r="AH39" s="90"/>
      <c r="AI39" s="90"/>
      <c r="AJ39" s="90"/>
      <c r="AK39" s="90"/>
      <c r="AL39" s="90"/>
      <c r="AM39" s="90"/>
      <c r="AN39" s="90"/>
      <c r="AO39" s="90"/>
      <c r="AP39" s="90"/>
      <c r="AQ39" s="90"/>
      <c r="AR39" s="90"/>
      <c r="AS39" s="90"/>
      <c r="AT39" s="91"/>
      <c r="AU39" s="92"/>
      <c r="AV39" s="1978">
        <f t="shared" si="37"/>
        <v>0</v>
      </c>
      <c r="AW39" s="1978">
        <f t="shared" si="38"/>
        <v>0</v>
      </c>
      <c r="AX39" s="1978">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92"/>
      <c r="C40" s="1393"/>
      <c r="D40" s="78"/>
      <c r="E40" s="85">
        <f t="shared" si="33"/>
        <v>0</v>
      </c>
      <c r="F40" s="86"/>
      <c r="G40" s="87">
        <f t="shared" si="34"/>
        <v>0</v>
      </c>
      <c r="H40" s="88">
        <f t="shared" si="35"/>
        <v>0</v>
      </c>
      <c r="I40" s="1395"/>
      <c r="J40" s="89"/>
      <c r="K40" s="1395"/>
      <c r="L40" s="89"/>
      <c r="M40" s="89"/>
      <c r="N40" s="89"/>
      <c r="O40" s="89"/>
      <c r="P40" s="89"/>
      <c r="Q40" s="89"/>
      <c r="R40" s="89"/>
      <c r="S40" s="89"/>
      <c r="T40" s="89"/>
      <c r="U40" s="89"/>
      <c r="V40" s="89"/>
      <c r="W40" s="89"/>
      <c r="X40" s="89"/>
      <c r="Y40" s="89"/>
      <c r="Z40" s="89"/>
      <c r="AA40" s="89"/>
      <c r="AB40" s="89"/>
      <c r="AC40" s="85">
        <f t="shared" si="36"/>
        <v>0</v>
      </c>
      <c r="AD40" s="90"/>
      <c r="AE40" s="90"/>
      <c r="AF40" s="1395"/>
      <c r="AG40" s="90"/>
      <c r="AH40" s="90"/>
      <c r="AI40" s="90"/>
      <c r="AJ40" s="90"/>
      <c r="AK40" s="90"/>
      <c r="AL40" s="90"/>
      <c r="AM40" s="90"/>
      <c r="AN40" s="90"/>
      <c r="AO40" s="90"/>
      <c r="AP40" s="90"/>
      <c r="AQ40" s="90"/>
      <c r="AR40" s="90"/>
      <c r="AS40" s="90"/>
      <c r="AT40" s="91"/>
      <c r="AU40" s="92"/>
      <c r="AV40" s="1978">
        <f t="shared" si="37"/>
        <v>0</v>
      </c>
      <c r="AW40" s="1978">
        <f t="shared" si="38"/>
        <v>0</v>
      </c>
      <c r="AX40" s="1978">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92"/>
      <c r="C41" s="1393"/>
      <c r="D41" s="78"/>
      <c r="E41" s="85">
        <f t="shared" si="33"/>
        <v>0</v>
      </c>
      <c r="F41" s="86"/>
      <c r="G41" s="87">
        <f t="shared" si="34"/>
        <v>0</v>
      </c>
      <c r="H41" s="88">
        <f t="shared" si="35"/>
        <v>0</v>
      </c>
      <c r="I41" s="1395"/>
      <c r="J41" s="89"/>
      <c r="K41" s="1395"/>
      <c r="L41" s="89"/>
      <c r="M41" s="89"/>
      <c r="N41" s="89"/>
      <c r="O41" s="89"/>
      <c r="P41" s="89"/>
      <c r="Q41" s="89"/>
      <c r="R41" s="89"/>
      <c r="S41" s="89"/>
      <c r="T41" s="89"/>
      <c r="U41" s="89"/>
      <c r="V41" s="89"/>
      <c r="W41" s="89"/>
      <c r="X41" s="89"/>
      <c r="Y41" s="89"/>
      <c r="Z41" s="89"/>
      <c r="AA41" s="89"/>
      <c r="AB41" s="89"/>
      <c r="AC41" s="85">
        <f t="shared" si="36"/>
        <v>0</v>
      </c>
      <c r="AD41" s="90"/>
      <c r="AE41" s="90"/>
      <c r="AF41" s="1395"/>
      <c r="AG41" s="90"/>
      <c r="AH41" s="90"/>
      <c r="AI41" s="90"/>
      <c r="AJ41" s="90"/>
      <c r="AK41" s="90"/>
      <c r="AL41" s="90"/>
      <c r="AM41" s="90"/>
      <c r="AN41" s="90"/>
      <c r="AO41" s="90"/>
      <c r="AP41" s="90"/>
      <c r="AQ41" s="90"/>
      <c r="AR41" s="90"/>
      <c r="AS41" s="90"/>
      <c r="AT41" s="91"/>
      <c r="AU41" s="92"/>
      <c r="AV41" s="1978">
        <f t="shared" si="37"/>
        <v>0</v>
      </c>
      <c r="AW41" s="1978">
        <f t="shared" si="38"/>
        <v>0</v>
      </c>
      <c r="AX41" s="1978">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92"/>
      <c r="C42" s="1393"/>
      <c r="D42" s="78"/>
      <c r="E42" s="85">
        <f t="shared" si="33"/>
        <v>0</v>
      </c>
      <c r="F42" s="86"/>
      <c r="G42" s="87">
        <f t="shared" si="34"/>
        <v>0</v>
      </c>
      <c r="H42" s="88">
        <f t="shared" si="35"/>
        <v>0</v>
      </c>
      <c r="I42" s="1395"/>
      <c r="J42" s="89"/>
      <c r="K42" s="1395"/>
      <c r="L42" s="89"/>
      <c r="M42" s="89"/>
      <c r="N42" s="89"/>
      <c r="O42" s="89"/>
      <c r="P42" s="89"/>
      <c r="Q42" s="89"/>
      <c r="R42" s="89"/>
      <c r="S42" s="89"/>
      <c r="T42" s="89"/>
      <c r="U42" s="89"/>
      <c r="V42" s="89"/>
      <c r="W42" s="89"/>
      <c r="X42" s="89"/>
      <c r="Y42" s="89"/>
      <c r="Z42" s="89"/>
      <c r="AA42" s="89"/>
      <c r="AB42" s="89"/>
      <c r="AC42" s="85">
        <f t="shared" si="36"/>
        <v>0</v>
      </c>
      <c r="AD42" s="90"/>
      <c r="AE42" s="90"/>
      <c r="AF42" s="1395"/>
      <c r="AG42" s="90"/>
      <c r="AH42" s="90"/>
      <c r="AI42" s="90"/>
      <c r="AJ42" s="90"/>
      <c r="AK42" s="90"/>
      <c r="AL42" s="90"/>
      <c r="AM42" s="90"/>
      <c r="AN42" s="90"/>
      <c r="AO42" s="90"/>
      <c r="AP42" s="90"/>
      <c r="AQ42" s="90"/>
      <c r="AR42" s="90"/>
      <c r="AS42" s="90"/>
      <c r="AT42" s="91"/>
      <c r="AU42" s="92"/>
      <c r="AV42" s="1978">
        <f t="shared" si="37"/>
        <v>0</v>
      </c>
      <c r="AW42" s="1978">
        <f t="shared" si="38"/>
        <v>0</v>
      </c>
      <c r="AX42" s="1978">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92"/>
      <c r="C43" s="1393"/>
      <c r="D43" s="78"/>
      <c r="E43" s="85">
        <f t="shared" si="33"/>
        <v>0</v>
      </c>
      <c r="F43" s="86"/>
      <c r="G43" s="87">
        <f t="shared" si="34"/>
        <v>0</v>
      </c>
      <c r="H43" s="88">
        <f t="shared" si="35"/>
        <v>0</v>
      </c>
      <c r="I43" s="1395"/>
      <c r="J43" s="89"/>
      <c r="K43" s="1395"/>
      <c r="L43" s="89"/>
      <c r="M43" s="89"/>
      <c r="N43" s="89"/>
      <c r="O43" s="89"/>
      <c r="P43" s="89"/>
      <c r="Q43" s="89"/>
      <c r="R43" s="89"/>
      <c r="S43" s="89"/>
      <c r="T43" s="89"/>
      <c r="U43" s="89"/>
      <c r="V43" s="89"/>
      <c r="W43" s="89"/>
      <c r="X43" s="89"/>
      <c r="Y43" s="89"/>
      <c r="Z43" s="89"/>
      <c r="AA43" s="89"/>
      <c r="AB43" s="89"/>
      <c r="AC43" s="85">
        <f t="shared" si="36"/>
        <v>0</v>
      </c>
      <c r="AD43" s="90"/>
      <c r="AE43" s="90"/>
      <c r="AF43" s="1395"/>
      <c r="AG43" s="90"/>
      <c r="AH43" s="90"/>
      <c r="AI43" s="90"/>
      <c r="AJ43" s="90"/>
      <c r="AK43" s="90"/>
      <c r="AL43" s="90"/>
      <c r="AM43" s="90"/>
      <c r="AN43" s="90"/>
      <c r="AO43" s="90"/>
      <c r="AP43" s="90"/>
      <c r="AQ43" s="90"/>
      <c r="AR43" s="90"/>
      <c r="AS43" s="90"/>
      <c r="AT43" s="91"/>
      <c r="AU43" s="92"/>
      <c r="AV43" s="1978">
        <f t="shared" si="37"/>
        <v>0</v>
      </c>
      <c r="AW43" s="1978">
        <f t="shared" si="38"/>
        <v>0</v>
      </c>
      <c r="AX43" s="1978">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92"/>
      <c r="C44" s="1393"/>
      <c r="D44" s="78"/>
      <c r="E44" s="85">
        <f t="shared" si="33"/>
        <v>0</v>
      </c>
      <c r="F44" s="86"/>
      <c r="G44" s="87">
        <f t="shared" si="34"/>
        <v>0</v>
      </c>
      <c r="H44" s="88">
        <f t="shared" si="35"/>
        <v>0</v>
      </c>
      <c r="I44" s="1395"/>
      <c r="J44" s="89"/>
      <c r="K44" s="1395"/>
      <c r="L44" s="89"/>
      <c r="M44" s="89"/>
      <c r="N44" s="89"/>
      <c r="O44" s="89"/>
      <c r="P44" s="89"/>
      <c r="Q44" s="89"/>
      <c r="R44" s="89"/>
      <c r="S44" s="89"/>
      <c r="T44" s="89"/>
      <c r="U44" s="89"/>
      <c r="V44" s="89"/>
      <c r="W44" s="89"/>
      <c r="X44" s="89"/>
      <c r="Y44" s="89"/>
      <c r="Z44" s="89"/>
      <c r="AA44" s="89"/>
      <c r="AB44" s="89"/>
      <c r="AC44" s="85">
        <f t="shared" si="36"/>
        <v>0</v>
      </c>
      <c r="AD44" s="90"/>
      <c r="AE44" s="90"/>
      <c r="AF44" s="1395"/>
      <c r="AG44" s="90"/>
      <c r="AH44" s="90"/>
      <c r="AI44" s="90"/>
      <c r="AJ44" s="90"/>
      <c r="AK44" s="90"/>
      <c r="AL44" s="90"/>
      <c r="AM44" s="90"/>
      <c r="AN44" s="90"/>
      <c r="AO44" s="90"/>
      <c r="AP44" s="90"/>
      <c r="AQ44" s="90"/>
      <c r="AR44" s="90"/>
      <c r="AS44" s="90"/>
      <c r="AT44" s="91"/>
      <c r="AU44" s="92"/>
      <c r="AV44" s="1978">
        <f t="shared" si="37"/>
        <v>0</v>
      </c>
      <c r="AW44" s="1978">
        <f t="shared" si="38"/>
        <v>0</v>
      </c>
      <c r="AX44" s="1978">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92"/>
      <c r="C45" s="1393"/>
      <c r="D45" s="78"/>
      <c r="E45" s="85">
        <f t="shared" si="33"/>
        <v>0</v>
      </c>
      <c r="F45" s="86"/>
      <c r="G45" s="87">
        <f t="shared" si="34"/>
        <v>0</v>
      </c>
      <c r="H45" s="88">
        <f t="shared" si="35"/>
        <v>0</v>
      </c>
      <c r="I45" s="1395"/>
      <c r="J45" s="89"/>
      <c r="K45" s="1395"/>
      <c r="L45" s="89"/>
      <c r="M45" s="89"/>
      <c r="N45" s="89"/>
      <c r="O45" s="89"/>
      <c r="P45" s="89"/>
      <c r="Q45" s="89"/>
      <c r="R45" s="89"/>
      <c r="S45" s="89"/>
      <c r="T45" s="89"/>
      <c r="U45" s="89"/>
      <c r="V45" s="89"/>
      <c r="W45" s="89"/>
      <c r="X45" s="89"/>
      <c r="Y45" s="89"/>
      <c r="Z45" s="89"/>
      <c r="AA45" s="89"/>
      <c r="AB45" s="89"/>
      <c r="AC45" s="85">
        <f t="shared" si="36"/>
        <v>0</v>
      </c>
      <c r="AD45" s="90"/>
      <c r="AE45" s="90"/>
      <c r="AF45" s="1395"/>
      <c r="AG45" s="90"/>
      <c r="AH45" s="90"/>
      <c r="AI45" s="90"/>
      <c r="AJ45" s="90"/>
      <c r="AK45" s="90"/>
      <c r="AL45" s="90"/>
      <c r="AM45" s="90"/>
      <c r="AN45" s="90"/>
      <c r="AO45" s="90"/>
      <c r="AP45" s="90"/>
      <c r="AQ45" s="90"/>
      <c r="AR45" s="90"/>
      <c r="AS45" s="90"/>
      <c r="AT45" s="91"/>
      <c r="AU45" s="92"/>
      <c r="AV45" s="1978">
        <f t="shared" si="37"/>
        <v>0</v>
      </c>
      <c r="AW45" s="1978">
        <f t="shared" si="38"/>
        <v>0</v>
      </c>
      <c r="AX45" s="1978">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92"/>
      <c r="C46" s="1393"/>
      <c r="D46" s="78"/>
      <c r="E46" s="85">
        <f t="shared" si="33"/>
        <v>0</v>
      </c>
      <c r="F46" s="86"/>
      <c r="G46" s="87">
        <f t="shared" si="34"/>
        <v>0</v>
      </c>
      <c r="H46" s="88">
        <f t="shared" si="35"/>
        <v>0</v>
      </c>
      <c r="I46" s="1395"/>
      <c r="J46" s="89"/>
      <c r="K46" s="1395"/>
      <c r="L46" s="89"/>
      <c r="M46" s="89"/>
      <c r="N46" s="89"/>
      <c r="O46" s="89"/>
      <c r="P46" s="89"/>
      <c r="Q46" s="89"/>
      <c r="R46" s="89"/>
      <c r="S46" s="89"/>
      <c r="T46" s="89"/>
      <c r="U46" s="89"/>
      <c r="V46" s="89"/>
      <c r="W46" s="89"/>
      <c r="X46" s="89"/>
      <c r="Y46" s="89"/>
      <c r="Z46" s="89"/>
      <c r="AA46" s="89"/>
      <c r="AB46" s="89"/>
      <c r="AC46" s="85">
        <f t="shared" si="36"/>
        <v>0</v>
      </c>
      <c r="AD46" s="90"/>
      <c r="AE46" s="90"/>
      <c r="AF46" s="1395"/>
      <c r="AG46" s="90"/>
      <c r="AH46" s="90"/>
      <c r="AI46" s="90"/>
      <c r="AJ46" s="90"/>
      <c r="AK46" s="90"/>
      <c r="AL46" s="90"/>
      <c r="AM46" s="90"/>
      <c r="AN46" s="90"/>
      <c r="AO46" s="90"/>
      <c r="AP46" s="90"/>
      <c r="AQ46" s="90"/>
      <c r="AR46" s="90"/>
      <c r="AS46" s="90"/>
      <c r="AT46" s="91"/>
      <c r="AU46" s="92"/>
      <c r="AV46" s="1978">
        <f t="shared" si="37"/>
        <v>0</v>
      </c>
      <c r="AW46" s="1978">
        <f t="shared" si="38"/>
        <v>0</v>
      </c>
      <c r="AX46" s="1978">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92"/>
      <c r="C47" s="1393"/>
      <c r="D47" s="78"/>
      <c r="E47" s="85">
        <f t="shared" si="33"/>
        <v>0</v>
      </c>
      <c r="F47" s="86"/>
      <c r="G47" s="87">
        <f t="shared" si="34"/>
        <v>0</v>
      </c>
      <c r="H47" s="88">
        <f t="shared" si="35"/>
        <v>0</v>
      </c>
      <c r="I47" s="1395"/>
      <c r="J47" s="89"/>
      <c r="K47" s="1395"/>
      <c r="L47" s="89"/>
      <c r="M47" s="89"/>
      <c r="N47" s="89"/>
      <c r="O47" s="89"/>
      <c r="P47" s="89"/>
      <c r="Q47" s="89"/>
      <c r="R47" s="89"/>
      <c r="S47" s="89"/>
      <c r="T47" s="89"/>
      <c r="U47" s="89"/>
      <c r="V47" s="89"/>
      <c r="W47" s="89"/>
      <c r="X47" s="89"/>
      <c r="Y47" s="89"/>
      <c r="Z47" s="89"/>
      <c r="AA47" s="89"/>
      <c r="AB47" s="89"/>
      <c r="AC47" s="85">
        <f t="shared" si="36"/>
        <v>0</v>
      </c>
      <c r="AD47" s="90"/>
      <c r="AE47" s="90"/>
      <c r="AF47" s="1393"/>
      <c r="AG47" s="90"/>
      <c r="AH47" s="90"/>
      <c r="AI47" s="90"/>
      <c r="AJ47" s="90"/>
      <c r="AK47" s="90"/>
      <c r="AL47" s="90"/>
      <c r="AM47" s="90"/>
      <c r="AN47" s="90"/>
      <c r="AO47" s="90"/>
      <c r="AP47" s="90"/>
      <c r="AQ47" s="90"/>
      <c r="AR47" s="90"/>
      <c r="AS47" s="90"/>
      <c r="AT47" s="91"/>
      <c r="AU47" s="92"/>
      <c r="AV47" s="1978">
        <f t="shared" si="37"/>
        <v>0</v>
      </c>
      <c r="AW47" s="1978">
        <f t="shared" si="38"/>
        <v>0</v>
      </c>
      <c r="AX47" s="1978">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92"/>
      <c r="C48" s="1393"/>
      <c r="D48" s="78"/>
      <c r="E48" s="85">
        <f t="shared" si="33"/>
        <v>0</v>
      </c>
      <c r="F48" s="86"/>
      <c r="G48" s="87">
        <f t="shared" si="34"/>
        <v>0</v>
      </c>
      <c r="H48" s="88">
        <f t="shared" si="35"/>
        <v>0</v>
      </c>
      <c r="I48" s="1393"/>
      <c r="J48" s="89"/>
      <c r="K48" s="1393"/>
      <c r="L48" s="89"/>
      <c r="M48" s="89"/>
      <c r="N48" s="89"/>
      <c r="O48" s="89"/>
      <c r="P48" s="89"/>
      <c r="Q48" s="89"/>
      <c r="R48" s="89"/>
      <c r="S48" s="89"/>
      <c r="T48" s="89"/>
      <c r="U48" s="89"/>
      <c r="V48" s="89"/>
      <c r="W48" s="89"/>
      <c r="X48" s="89"/>
      <c r="Y48" s="89"/>
      <c r="Z48" s="89"/>
      <c r="AA48" s="89"/>
      <c r="AB48" s="89"/>
      <c r="AC48" s="85">
        <f t="shared" si="36"/>
        <v>0</v>
      </c>
      <c r="AD48" s="90"/>
      <c r="AE48" s="90"/>
      <c r="AF48" s="1393"/>
      <c r="AG48" s="90"/>
      <c r="AH48" s="90"/>
      <c r="AI48" s="90"/>
      <c r="AJ48" s="90"/>
      <c r="AK48" s="90"/>
      <c r="AL48" s="90"/>
      <c r="AM48" s="90"/>
      <c r="AN48" s="90"/>
      <c r="AO48" s="90"/>
      <c r="AP48" s="90"/>
      <c r="AQ48" s="90"/>
      <c r="AR48" s="90"/>
      <c r="AS48" s="90"/>
      <c r="AT48" s="91"/>
      <c r="AU48" s="92"/>
      <c r="AV48" s="1978">
        <f t="shared" si="37"/>
        <v>0</v>
      </c>
      <c r="AW48" s="1978">
        <f t="shared" si="38"/>
        <v>0</v>
      </c>
      <c r="AX48" s="1978">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92"/>
      <c r="C49" s="1393"/>
      <c r="D49" s="78"/>
      <c r="E49" s="85">
        <f t="shared" si="33"/>
        <v>0</v>
      </c>
      <c r="F49" s="86"/>
      <c r="G49" s="87">
        <f t="shared" si="34"/>
        <v>0</v>
      </c>
      <c r="H49" s="88">
        <f t="shared" si="35"/>
        <v>0</v>
      </c>
      <c r="I49" s="1393"/>
      <c r="J49" s="89"/>
      <c r="K49" s="1393"/>
      <c r="L49" s="89"/>
      <c r="M49" s="89"/>
      <c r="N49" s="89"/>
      <c r="O49" s="89"/>
      <c r="P49" s="89"/>
      <c r="Q49" s="89"/>
      <c r="R49" s="89"/>
      <c r="S49" s="89"/>
      <c r="T49" s="89"/>
      <c r="U49" s="89"/>
      <c r="V49" s="89"/>
      <c r="W49" s="89"/>
      <c r="X49" s="89"/>
      <c r="Y49" s="89"/>
      <c r="Z49" s="89"/>
      <c r="AA49" s="89"/>
      <c r="AB49" s="89"/>
      <c r="AC49" s="85">
        <f t="shared" si="36"/>
        <v>0</v>
      </c>
      <c r="AD49" s="90"/>
      <c r="AE49" s="90"/>
      <c r="AF49" s="1393"/>
      <c r="AG49" s="90"/>
      <c r="AH49" s="90"/>
      <c r="AI49" s="90"/>
      <c r="AJ49" s="90"/>
      <c r="AK49" s="90"/>
      <c r="AL49" s="90"/>
      <c r="AM49" s="90"/>
      <c r="AN49" s="90"/>
      <c r="AO49" s="90"/>
      <c r="AP49" s="90"/>
      <c r="AQ49" s="90"/>
      <c r="AR49" s="90"/>
      <c r="AS49" s="90"/>
      <c r="AT49" s="91"/>
      <c r="AU49" s="92"/>
      <c r="AV49" s="1978">
        <f t="shared" si="37"/>
        <v>0</v>
      </c>
      <c r="AW49" s="1978">
        <f t="shared" si="38"/>
        <v>0</v>
      </c>
      <c r="AX49" s="1978">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92"/>
      <c r="C50" s="1393"/>
      <c r="D50" s="78"/>
      <c r="E50" s="85">
        <f t="shared" si="33"/>
        <v>0</v>
      </c>
      <c r="F50" s="86"/>
      <c r="G50" s="87">
        <f t="shared" si="34"/>
        <v>0</v>
      </c>
      <c r="H50" s="88">
        <f t="shared" si="35"/>
        <v>0</v>
      </c>
      <c r="I50" s="1393"/>
      <c r="J50" s="89"/>
      <c r="K50" s="1393"/>
      <c r="L50" s="89"/>
      <c r="M50" s="89"/>
      <c r="N50" s="89"/>
      <c r="O50" s="89"/>
      <c r="P50" s="89"/>
      <c r="Q50" s="89"/>
      <c r="R50" s="89"/>
      <c r="S50" s="89"/>
      <c r="T50" s="89"/>
      <c r="U50" s="89"/>
      <c r="V50" s="89"/>
      <c r="W50" s="89"/>
      <c r="X50" s="89"/>
      <c r="Y50" s="89"/>
      <c r="Z50" s="89"/>
      <c r="AA50" s="89"/>
      <c r="AB50" s="89"/>
      <c r="AC50" s="85">
        <f t="shared" si="36"/>
        <v>0</v>
      </c>
      <c r="AD50" s="90"/>
      <c r="AE50" s="90"/>
      <c r="AF50" s="1393"/>
      <c r="AG50" s="90"/>
      <c r="AH50" s="90"/>
      <c r="AI50" s="90"/>
      <c r="AJ50" s="90"/>
      <c r="AK50" s="90"/>
      <c r="AL50" s="90"/>
      <c r="AM50" s="90"/>
      <c r="AN50" s="90"/>
      <c r="AO50" s="90"/>
      <c r="AP50" s="90"/>
      <c r="AQ50" s="90"/>
      <c r="AR50" s="90"/>
      <c r="AS50" s="90"/>
      <c r="AT50" s="91"/>
      <c r="AU50" s="92"/>
      <c r="AV50" s="1978">
        <f t="shared" si="37"/>
        <v>0</v>
      </c>
      <c r="AW50" s="1978">
        <f t="shared" si="38"/>
        <v>0</v>
      </c>
      <c r="AX50" s="1978">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92"/>
      <c r="C51" s="1393"/>
      <c r="D51" s="78"/>
      <c r="E51" s="85">
        <f t="shared" si="33"/>
        <v>0</v>
      </c>
      <c r="F51" s="86"/>
      <c r="G51" s="87">
        <f t="shared" si="34"/>
        <v>0</v>
      </c>
      <c r="H51" s="88">
        <f t="shared" si="35"/>
        <v>0</v>
      </c>
      <c r="I51" s="1393"/>
      <c r="J51" s="89"/>
      <c r="K51" s="1393"/>
      <c r="L51" s="89"/>
      <c r="M51" s="89"/>
      <c r="N51" s="89"/>
      <c r="O51" s="89"/>
      <c r="P51" s="89"/>
      <c r="Q51" s="89"/>
      <c r="R51" s="89"/>
      <c r="S51" s="89"/>
      <c r="T51" s="89"/>
      <c r="U51" s="89"/>
      <c r="V51" s="89"/>
      <c r="W51" s="89"/>
      <c r="X51" s="89"/>
      <c r="Y51" s="89"/>
      <c r="Z51" s="89"/>
      <c r="AA51" s="89"/>
      <c r="AB51" s="89"/>
      <c r="AC51" s="85">
        <f t="shared" si="36"/>
        <v>0</v>
      </c>
      <c r="AD51" s="90"/>
      <c r="AE51" s="90"/>
      <c r="AF51" s="1393"/>
      <c r="AG51" s="90"/>
      <c r="AH51" s="90"/>
      <c r="AI51" s="90"/>
      <c r="AJ51" s="90"/>
      <c r="AK51" s="90"/>
      <c r="AL51" s="90"/>
      <c r="AM51" s="90"/>
      <c r="AN51" s="90"/>
      <c r="AO51" s="90"/>
      <c r="AP51" s="90"/>
      <c r="AQ51" s="90"/>
      <c r="AR51" s="90"/>
      <c r="AS51" s="90"/>
      <c r="AT51" s="91"/>
      <c r="AU51" s="92"/>
      <c r="AV51" s="1978">
        <f t="shared" si="37"/>
        <v>0</v>
      </c>
      <c r="AW51" s="1978">
        <f t="shared" si="38"/>
        <v>0</v>
      </c>
      <c r="AX51" s="1978">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92"/>
      <c r="C52" s="1393"/>
      <c r="D52" s="78"/>
      <c r="E52" s="85">
        <f t="shared" si="33"/>
        <v>0</v>
      </c>
      <c r="F52" s="86"/>
      <c r="G52" s="87">
        <f t="shared" si="34"/>
        <v>0</v>
      </c>
      <c r="H52" s="88">
        <f t="shared" si="35"/>
        <v>0</v>
      </c>
      <c r="I52" s="1393"/>
      <c r="J52" s="89"/>
      <c r="K52" s="1393"/>
      <c r="L52" s="89"/>
      <c r="M52" s="89"/>
      <c r="N52" s="89"/>
      <c r="O52" s="89"/>
      <c r="P52" s="89"/>
      <c r="Q52" s="89"/>
      <c r="R52" s="89"/>
      <c r="S52" s="89"/>
      <c r="T52" s="89"/>
      <c r="U52" s="89"/>
      <c r="V52" s="89"/>
      <c r="W52" s="89"/>
      <c r="X52" s="89"/>
      <c r="Y52" s="89"/>
      <c r="Z52" s="89"/>
      <c r="AA52" s="89"/>
      <c r="AB52" s="89"/>
      <c r="AC52" s="85">
        <f t="shared" si="36"/>
        <v>0</v>
      </c>
      <c r="AD52" s="90"/>
      <c r="AE52" s="90"/>
      <c r="AF52" s="1393"/>
      <c r="AG52" s="90"/>
      <c r="AH52" s="90"/>
      <c r="AI52" s="90"/>
      <c r="AJ52" s="90"/>
      <c r="AK52" s="90"/>
      <c r="AL52" s="90"/>
      <c r="AM52" s="90"/>
      <c r="AN52" s="90"/>
      <c r="AO52" s="90"/>
      <c r="AP52" s="90"/>
      <c r="AQ52" s="90"/>
      <c r="AR52" s="90"/>
      <c r="AS52" s="90"/>
      <c r="AT52" s="91"/>
      <c r="AU52" s="92"/>
      <c r="AV52" s="1978">
        <f t="shared" si="37"/>
        <v>0</v>
      </c>
      <c r="AW52" s="1978">
        <f t="shared" si="38"/>
        <v>0</v>
      </c>
      <c r="AX52" s="1978">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92"/>
      <c r="C53" s="1393"/>
      <c r="D53" s="78"/>
      <c r="E53" s="85">
        <f t="shared" si="33"/>
        <v>0</v>
      </c>
      <c r="F53" s="86"/>
      <c r="G53" s="87">
        <f t="shared" si="34"/>
        <v>0</v>
      </c>
      <c r="H53" s="88">
        <f t="shared" si="35"/>
        <v>0</v>
      </c>
      <c r="I53" s="1393"/>
      <c r="J53" s="89"/>
      <c r="K53" s="1393"/>
      <c r="L53" s="89"/>
      <c r="M53" s="89"/>
      <c r="N53" s="89"/>
      <c r="O53" s="89"/>
      <c r="P53" s="89"/>
      <c r="Q53" s="89"/>
      <c r="R53" s="89"/>
      <c r="S53" s="89"/>
      <c r="T53" s="89"/>
      <c r="U53" s="89"/>
      <c r="V53" s="89"/>
      <c r="W53" s="89"/>
      <c r="X53" s="89"/>
      <c r="Y53" s="89"/>
      <c r="Z53" s="89"/>
      <c r="AA53" s="89"/>
      <c r="AB53" s="89"/>
      <c r="AC53" s="85">
        <f t="shared" si="36"/>
        <v>0</v>
      </c>
      <c r="AD53" s="90"/>
      <c r="AE53" s="90"/>
      <c r="AF53" s="1393"/>
      <c r="AG53" s="90"/>
      <c r="AH53" s="90"/>
      <c r="AI53" s="90"/>
      <c r="AJ53" s="90"/>
      <c r="AK53" s="90"/>
      <c r="AL53" s="90"/>
      <c r="AM53" s="90"/>
      <c r="AN53" s="90"/>
      <c r="AO53" s="90"/>
      <c r="AP53" s="90"/>
      <c r="AQ53" s="90"/>
      <c r="AR53" s="90"/>
      <c r="AS53" s="90"/>
      <c r="AT53" s="91"/>
      <c r="AU53" s="92"/>
      <c r="AV53" s="1978">
        <f t="shared" si="37"/>
        <v>0</v>
      </c>
      <c r="AW53" s="1978">
        <f t="shared" si="38"/>
        <v>0</v>
      </c>
      <c r="AX53" s="1978">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92"/>
      <c r="C54" s="1393"/>
      <c r="D54" s="78"/>
      <c r="E54" s="85">
        <f t="shared" si="33"/>
        <v>0</v>
      </c>
      <c r="F54" s="86"/>
      <c r="G54" s="87">
        <f t="shared" si="34"/>
        <v>0</v>
      </c>
      <c r="H54" s="88">
        <f t="shared" si="35"/>
        <v>0</v>
      </c>
      <c r="I54" s="1393"/>
      <c r="J54" s="89"/>
      <c r="K54" s="1393"/>
      <c r="L54" s="89"/>
      <c r="M54" s="89"/>
      <c r="N54" s="89"/>
      <c r="O54" s="89"/>
      <c r="P54" s="89"/>
      <c r="Q54" s="89"/>
      <c r="R54" s="89"/>
      <c r="S54" s="89"/>
      <c r="T54" s="89"/>
      <c r="U54" s="89"/>
      <c r="V54" s="89"/>
      <c r="W54" s="89"/>
      <c r="X54" s="89"/>
      <c r="Y54" s="89"/>
      <c r="Z54" s="89"/>
      <c r="AA54" s="89"/>
      <c r="AB54" s="89"/>
      <c r="AC54" s="85">
        <f t="shared" si="36"/>
        <v>0</v>
      </c>
      <c r="AD54" s="90"/>
      <c r="AE54" s="90"/>
      <c r="AF54" s="1393"/>
      <c r="AG54" s="90"/>
      <c r="AH54" s="90"/>
      <c r="AI54" s="90"/>
      <c r="AJ54" s="90"/>
      <c r="AK54" s="90"/>
      <c r="AL54" s="90"/>
      <c r="AM54" s="90"/>
      <c r="AN54" s="90"/>
      <c r="AO54" s="90"/>
      <c r="AP54" s="90"/>
      <c r="AQ54" s="90"/>
      <c r="AR54" s="90"/>
      <c r="AS54" s="90"/>
      <c r="AT54" s="91"/>
      <c r="AU54" s="92"/>
      <c r="AV54" s="1978">
        <f t="shared" si="37"/>
        <v>0</v>
      </c>
      <c r="AW54" s="1978">
        <f t="shared" si="38"/>
        <v>0</v>
      </c>
      <c r="AX54" s="1978">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4"/>
      <c r="C55" s="1395"/>
      <c r="D55" s="78"/>
      <c r="E55" s="85">
        <f t="shared" si="33"/>
        <v>0</v>
      </c>
      <c r="F55" s="86"/>
      <c r="G55" s="87">
        <f t="shared" si="34"/>
        <v>0</v>
      </c>
      <c r="H55" s="88">
        <f t="shared" si="35"/>
        <v>0</v>
      </c>
      <c r="I55" s="1393"/>
      <c r="J55" s="89"/>
      <c r="K55" s="1393"/>
      <c r="L55" s="89"/>
      <c r="M55" s="1393"/>
      <c r="N55" s="89"/>
      <c r="O55" s="89"/>
      <c r="P55" s="89"/>
      <c r="Q55" s="89"/>
      <c r="R55" s="89"/>
      <c r="S55" s="89"/>
      <c r="T55" s="89"/>
      <c r="U55" s="89"/>
      <c r="V55" s="89"/>
      <c r="W55" s="89"/>
      <c r="X55" s="89"/>
      <c r="Y55" s="89"/>
      <c r="Z55" s="89"/>
      <c r="AA55" s="89"/>
      <c r="AB55" s="89"/>
      <c r="AC55" s="85">
        <f t="shared" si="36"/>
        <v>0</v>
      </c>
      <c r="AD55" s="90"/>
      <c r="AE55" s="90"/>
      <c r="AF55" s="1393"/>
      <c r="AG55" s="90"/>
      <c r="AH55" s="90"/>
      <c r="AI55" s="90"/>
      <c r="AJ55" s="90"/>
      <c r="AK55" s="90"/>
      <c r="AL55" s="90"/>
      <c r="AM55" s="90"/>
      <c r="AN55" s="90"/>
      <c r="AO55" s="90"/>
      <c r="AP55" s="90"/>
      <c r="AQ55" s="90"/>
      <c r="AR55" s="90"/>
      <c r="AS55" s="90"/>
      <c r="AT55" s="91"/>
      <c r="AU55" s="92"/>
      <c r="AV55" s="1978">
        <f t="shared" si="37"/>
        <v>0</v>
      </c>
      <c r="AW55" s="1978">
        <f t="shared" si="38"/>
        <v>0</v>
      </c>
      <c r="AX55" s="1978">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8">
        <f t="shared" si="37"/>
        <v>0</v>
      </c>
      <c r="AW56" s="1978">
        <f t="shared" si="38"/>
        <v>0</v>
      </c>
      <c r="AX56" s="1978">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8">
        <f t="shared" si="37"/>
        <v>0</v>
      </c>
      <c r="AW57" s="1978">
        <f t="shared" si="38"/>
        <v>0</v>
      </c>
      <c r="AX57" s="1978">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8">
        <f t="shared" si="37"/>
        <v>0</v>
      </c>
      <c r="AW58" s="1978">
        <f t="shared" si="38"/>
        <v>0</v>
      </c>
      <c r="AX58" s="1978">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8">
        <f t="shared" si="37"/>
        <v>0</v>
      </c>
      <c r="AW59" s="1978">
        <f t="shared" si="38"/>
        <v>0</v>
      </c>
      <c r="AX59" s="1978">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8">
        <f t="shared" si="37"/>
        <v>0</v>
      </c>
      <c r="AW60" s="1978">
        <f t="shared" si="38"/>
        <v>0</v>
      </c>
      <c r="AX60" s="1978">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8">
        <f t="shared" si="37"/>
        <v>0</v>
      </c>
      <c r="AW61" s="1978">
        <f t="shared" si="38"/>
        <v>0</v>
      </c>
      <c r="AX61" s="1978">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8">
        <f t="shared" si="37"/>
        <v>0</v>
      </c>
      <c r="AW62" s="1978">
        <f t="shared" si="38"/>
        <v>0</v>
      </c>
      <c r="AX62" s="1978">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8">
        <f t="shared" si="37"/>
        <v>0</v>
      </c>
      <c r="AW63" s="1978">
        <f t="shared" si="38"/>
        <v>0</v>
      </c>
      <c r="AX63" s="1978">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8">
        <f t="shared" si="37"/>
        <v>0</v>
      </c>
      <c r="AW64" s="1978">
        <f t="shared" si="38"/>
        <v>0</v>
      </c>
      <c r="AX64" s="1978">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8">
        <f t="shared" si="37"/>
        <v>0</v>
      </c>
      <c r="AW65" s="1978">
        <f t="shared" si="38"/>
        <v>0</v>
      </c>
      <c r="AX65" s="1978">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8">
        <f t="shared" si="37"/>
        <v>0</v>
      </c>
      <c r="AW66" s="1978">
        <f t="shared" si="38"/>
        <v>0</v>
      </c>
      <c r="AX66" s="1978">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8">
        <f t="shared" si="37"/>
        <v>0</v>
      </c>
      <c r="AW67" s="1978">
        <f t="shared" si="38"/>
        <v>0</v>
      </c>
      <c r="AX67" s="1978">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8">
        <f t="shared" si="37"/>
        <v>0</v>
      </c>
      <c r="AW68" s="1978">
        <f t="shared" si="38"/>
        <v>0</v>
      </c>
      <c r="AX68" s="1978">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8">
        <f t="shared" si="37"/>
        <v>0</v>
      </c>
      <c r="AW69" s="1978">
        <f t="shared" si="38"/>
        <v>0</v>
      </c>
      <c r="AX69" s="1978">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8">
        <f t="shared" si="37"/>
        <v>0</v>
      </c>
      <c r="AW70" s="1978">
        <f t="shared" si="38"/>
        <v>0</v>
      </c>
      <c r="AX70" s="1978">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8">
        <f t="shared" si="37"/>
        <v>0</v>
      </c>
      <c r="AW71" s="1978">
        <f t="shared" si="38"/>
        <v>0</v>
      </c>
      <c r="AX71" s="1978">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8">
        <f t="shared" si="37"/>
        <v>0</v>
      </c>
      <c r="AW72" s="1978">
        <f t="shared" si="38"/>
        <v>0</v>
      </c>
      <c r="AX72" s="1978">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8">
        <f t="shared" si="37"/>
        <v>0</v>
      </c>
      <c r="AW73" s="1978">
        <f t="shared" si="38"/>
        <v>0</v>
      </c>
      <c r="AX73" s="1978">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8">
        <f t="shared" si="37"/>
        <v>0</v>
      </c>
      <c r="AW74" s="1978">
        <f t="shared" si="38"/>
        <v>0</v>
      </c>
      <c r="AX74" s="1978">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8">
        <f t="shared" si="37"/>
        <v>0</v>
      </c>
      <c r="AW75" s="1978">
        <f t="shared" si="38"/>
        <v>0</v>
      </c>
      <c r="AX75" s="1978">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8">
        <f t="shared" si="37"/>
        <v>0</v>
      </c>
      <c r="AW76" s="1978">
        <f t="shared" si="38"/>
        <v>0</v>
      </c>
      <c r="AX76" s="1978">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8">
        <f t="shared" si="37"/>
        <v>0</v>
      </c>
      <c r="AW77" s="1978">
        <f t="shared" si="38"/>
        <v>0</v>
      </c>
      <c r="AX77" s="1978">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8">
        <f t="shared" si="37"/>
        <v>0</v>
      </c>
      <c r="AW78" s="1978">
        <f t="shared" si="38"/>
        <v>0</v>
      </c>
      <c r="AX78" s="1978">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8">
        <f t="shared" si="37"/>
        <v>0</v>
      </c>
      <c r="AW79" s="1978">
        <f t="shared" si="38"/>
        <v>0</v>
      </c>
      <c r="AX79" s="1978">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8">
        <f t="shared" si="37"/>
        <v>0</v>
      </c>
      <c r="AW80" s="1978">
        <f t="shared" si="38"/>
        <v>0</v>
      </c>
      <c r="AX80" s="1978">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8">
        <f t="shared" si="37"/>
        <v>0</v>
      </c>
      <c r="AW81" s="1978">
        <f t="shared" si="38"/>
        <v>0</v>
      </c>
      <c r="AX81" s="1978">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8">
        <f t="shared" si="37"/>
        <v>0</v>
      </c>
      <c r="AW82" s="1978">
        <f t="shared" si="38"/>
        <v>0</v>
      </c>
      <c r="AX82" s="1978">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8">
        <f t="shared" si="37"/>
        <v>0</v>
      </c>
      <c r="AW83" s="1978">
        <f t="shared" si="38"/>
        <v>0</v>
      </c>
      <c r="AX83" s="1978">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8">
        <f t="shared" si="37"/>
        <v>0</v>
      </c>
      <c r="AW84" s="1978">
        <f t="shared" si="38"/>
        <v>0</v>
      </c>
      <c r="AX84" s="1978">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8">
        <f t="shared" si="37"/>
        <v>0</v>
      </c>
      <c r="AW85" s="1978">
        <f t="shared" si="38"/>
        <v>0</v>
      </c>
      <c r="AX85" s="1978">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8">
        <f t="shared" si="37"/>
        <v>0</v>
      </c>
      <c r="AW86" s="1978">
        <f t="shared" si="38"/>
        <v>0</v>
      </c>
      <c r="AX86" s="1978">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8">
        <f t="shared" si="37"/>
        <v>0</v>
      </c>
      <c r="AW87" s="1978">
        <f t="shared" si="38"/>
        <v>0</v>
      </c>
      <c r="AX87" s="1978">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8">
        <f t="shared" si="37"/>
        <v>0</v>
      </c>
      <c r="AW88" s="1978">
        <f t="shared" si="38"/>
        <v>0</v>
      </c>
      <c r="AX88" s="1978">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8">
        <f t="shared" si="37"/>
        <v>0</v>
      </c>
      <c r="AW89" s="1978">
        <f t="shared" si="38"/>
        <v>0</v>
      </c>
      <c r="AX89" s="1978">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8">
        <f t="shared" si="37"/>
        <v>0</v>
      </c>
      <c r="AW90" s="1978">
        <f t="shared" si="38"/>
        <v>0</v>
      </c>
      <c r="AX90" s="1978">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8">
        <f t="shared" si="37"/>
        <v>0</v>
      </c>
      <c r="AW91" s="1978">
        <f t="shared" si="38"/>
        <v>0</v>
      </c>
      <c r="AX91" s="1978">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8">
        <f t="shared" si="37"/>
        <v>0</v>
      </c>
      <c r="AW92" s="1978">
        <f t="shared" si="38"/>
        <v>0</v>
      </c>
      <c r="AX92" s="1978">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8">
        <f t="shared" si="37"/>
        <v>0</v>
      </c>
      <c r="AW93" s="1978">
        <f t="shared" si="38"/>
        <v>0</v>
      </c>
      <c r="AX93" s="1978">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8">
        <f t="shared" si="37"/>
        <v>0</v>
      </c>
      <c r="AW94" s="1978">
        <f t="shared" si="38"/>
        <v>0</v>
      </c>
      <c r="AX94" s="1978">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8">
        <f t="shared" si="37"/>
        <v>0</v>
      </c>
      <c r="AW95" s="1978">
        <f t="shared" si="38"/>
        <v>0</v>
      </c>
      <c r="AX95" s="1978">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8">
        <f t="shared" si="37"/>
        <v>0</v>
      </c>
      <c r="AW96" s="1978">
        <f t="shared" si="38"/>
        <v>0</v>
      </c>
      <c r="AX96" s="1978">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8">
        <f t="shared" si="37"/>
        <v>0</v>
      </c>
      <c r="AW97" s="1978">
        <f t="shared" si="38"/>
        <v>0</v>
      </c>
      <c r="AX97" s="1978">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8">
        <f t="shared" si="37"/>
        <v>0</v>
      </c>
      <c r="AW98" s="1978">
        <f t="shared" si="38"/>
        <v>0</v>
      </c>
      <c r="AX98" s="1978">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8">
        <f t="shared" si="37"/>
        <v>0</v>
      </c>
      <c r="AW99" s="1978">
        <f t="shared" si="38"/>
        <v>0</v>
      </c>
      <c r="AX99" s="1978">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8">
        <f t="shared" si="37"/>
        <v>0</v>
      </c>
      <c r="AW100" s="1978">
        <f t="shared" si="38"/>
        <v>0</v>
      </c>
      <c r="AX100" s="1978">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8">
        <f t="shared" si="37"/>
        <v>0</v>
      </c>
      <c r="AW101" s="1978">
        <f t="shared" si="38"/>
        <v>0</v>
      </c>
      <c r="AX101" s="1978">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8">
        <f t="shared" si="37"/>
        <v>0</v>
      </c>
      <c r="AW102" s="1978">
        <f t="shared" si="38"/>
        <v>0</v>
      </c>
      <c r="AX102" s="1978">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8">
        <f t="shared" si="37"/>
        <v>0</v>
      </c>
      <c r="AW103" s="1978">
        <f t="shared" si="38"/>
        <v>0</v>
      </c>
      <c r="AX103" s="1978">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8">
        <f t="shared" si="37"/>
        <v>0</v>
      </c>
      <c r="AW104" s="1978">
        <f t="shared" si="38"/>
        <v>0</v>
      </c>
      <c r="AX104" s="1978">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8">
        <f t="shared" si="37"/>
        <v>0</v>
      </c>
      <c r="AW105" s="1978">
        <f t="shared" si="38"/>
        <v>0</v>
      </c>
      <c r="AX105" s="1978">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8">
        <f t="shared" si="37"/>
        <v>0</v>
      </c>
      <c r="AW106" s="1978">
        <f t="shared" si="38"/>
        <v>0</v>
      </c>
      <c r="AX106" s="1978">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8">
        <f t="shared" si="37"/>
        <v>0</v>
      </c>
      <c r="AW107" s="1978">
        <f t="shared" si="38"/>
        <v>0</v>
      </c>
      <c r="AX107" s="1978">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8">
        <f t="shared" si="37"/>
        <v>0</v>
      </c>
      <c r="AW108" s="1978">
        <f t="shared" si="38"/>
        <v>0</v>
      </c>
      <c r="AX108" s="1978">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8">
        <f t="shared" si="37"/>
        <v>0</v>
      </c>
      <c r="AW109" s="1978">
        <f t="shared" si="38"/>
        <v>0</v>
      </c>
      <c r="AX109" s="1978">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8">
        <f t="shared" si="37"/>
        <v>0</v>
      </c>
      <c r="AW110" s="1978">
        <f t="shared" si="38"/>
        <v>0</v>
      </c>
      <c r="AX110" s="1978">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8">
        <f t="shared" si="37"/>
        <v>0</v>
      </c>
      <c r="AW111" s="1978">
        <f t="shared" si="38"/>
        <v>0</v>
      </c>
      <c r="AX111" s="1978">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8">
        <f t="shared" si="37"/>
        <v>0</v>
      </c>
      <c r="AW112" s="1978">
        <f t="shared" si="38"/>
        <v>0</v>
      </c>
      <c r="AX112" s="1978">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92"/>
      <c r="C113" s="1393"/>
      <c r="D113" s="78"/>
      <c r="E113" s="85">
        <f t="shared" ref="E113:E144" si="87">IF($C$3="是",ROUND($A$3*G113/$B$3,2),ROUND($A$3*(G113-AT113)/$B$3,2))</f>
        <v>0</v>
      </c>
      <c r="F113" s="86"/>
      <c r="G113" s="87">
        <f t="shared" si="62"/>
        <v>0</v>
      </c>
      <c r="H113" s="88">
        <f t="shared" si="63"/>
        <v>0</v>
      </c>
      <c r="I113" s="1395"/>
      <c r="J113" s="89"/>
      <c r="K113" s="1395"/>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6"/>
      <c r="AG113" s="90"/>
      <c r="AH113" s="90"/>
      <c r="AI113" s="90"/>
      <c r="AJ113" s="90"/>
      <c r="AK113" s="90"/>
      <c r="AL113" s="90"/>
      <c r="AM113" s="90"/>
      <c r="AN113" s="1362"/>
      <c r="AO113" s="90"/>
      <c r="AP113" s="90"/>
      <c r="AQ113" s="90"/>
      <c r="AR113" s="90"/>
      <c r="AS113" s="90"/>
      <c r="AT113" s="91"/>
      <c r="AU113" s="92"/>
      <c r="AV113" s="1978">
        <f t="shared" ref="AV113:AV144" si="88">A113</f>
        <v>0</v>
      </c>
      <c r="AW113" s="1978">
        <f t="shared" ref="AW113:AW144" si="89">B113</f>
        <v>0</v>
      </c>
      <c r="AX113" s="1978">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92"/>
      <c r="C114" s="1393"/>
      <c r="D114" s="78"/>
      <c r="E114" s="85">
        <f t="shared" si="87"/>
        <v>0</v>
      </c>
      <c r="F114" s="86"/>
      <c r="G114" s="87">
        <f t="shared" si="62"/>
        <v>0</v>
      </c>
      <c r="H114" s="88">
        <f t="shared" si="63"/>
        <v>0</v>
      </c>
      <c r="I114" s="1395"/>
      <c r="J114" s="89"/>
      <c r="K114" s="1395"/>
      <c r="L114" s="89"/>
      <c r="M114" s="1362"/>
      <c r="N114" s="89"/>
      <c r="O114" s="89"/>
      <c r="P114" s="89"/>
      <c r="Q114" s="89"/>
      <c r="R114" s="89"/>
      <c r="S114" s="89"/>
      <c r="T114" s="89"/>
      <c r="U114" s="89"/>
      <c r="V114" s="89"/>
      <c r="W114" s="89"/>
      <c r="X114" s="89"/>
      <c r="Y114" s="89"/>
      <c r="Z114" s="89"/>
      <c r="AA114" s="89"/>
      <c r="AB114" s="89"/>
      <c r="AC114" s="85">
        <f t="shared" si="64"/>
        <v>0</v>
      </c>
      <c r="AD114" s="1362"/>
      <c r="AE114" s="90"/>
      <c r="AF114" s="1396"/>
      <c r="AG114" s="90"/>
      <c r="AH114" s="90"/>
      <c r="AI114" s="90"/>
      <c r="AJ114" s="90"/>
      <c r="AK114" s="90"/>
      <c r="AL114" s="1362"/>
      <c r="AM114" s="90"/>
      <c r="AN114" s="1362"/>
      <c r="AO114" s="90"/>
      <c r="AP114" s="90"/>
      <c r="AQ114" s="90"/>
      <c r="AR114" s="90"/>
      <c r="AS114" s="90"/>
      <c r="AT114" s="91"/>
      <c r="AU114" s="92"/>
      <c r="AV114" s="1978">
        <f t="shared" si="88"/>
        <v>0</v>
      </c>
      <c r="AW114" s="1978">
        <f t="shared" si="89"/>
        <v>0</v>
      </c>
      <c r="AX114" s="1978">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92"/>
      <c r="C115" s="1393"/>
      <c r="D115" s="78"/>
      <c r="E115" s="85">
        <f t="shared" si="87"/>
        <v>0</v>
      </c>
      <c r="F115" s="86"/>
      <c r="G115" s="87">
        <f t="shared" si="62"/>
        <v>0</v>
      </c>
      <c r="H115" s="88">
        <f t="shared" si="63"/>
        <v>0</v>
      </c>
      <c r="I115" s="1395"/>
      <c r="J115" s="89"/>
      <c r="K115" s="1395"/>
      <c r="L115" s="89"/>
      <c r="M115" s="1362"/>
      <c r="N115" s="89"/>
      <c r="O115" s="89"/>
      <c r="P115" s="89"/>
      <c r="Q115" s="89"/>
      <c r="R115" s="89"/>
      <c r="S115" s="89"/>
      <c r="T115" s="89"/>
      <c r="U115" s="89"/>
      <c r="V115" s="89"/>
      <c r="W115" s="89"/>
      <c r="X115" s="89"/>
      <c r="Y115" s="89"/>
      <c r="Z115" s="89"/>
      <c r="AA115" s="89"/>
      <c r="AB115" s="89"/>
      <c r="AC115" s="85">
        <f t="shared" si="64"/>
        <v>0</v>
      </c>
      <c r="AD115" s="90"/>
      <c r="AE115" s="90"/>
      <c r="AF115" s="1396"/>
      <c r="AG115" s="90"/>
      <c r="AH115" s="90"/>
      <c r="AI115" s="90"/>
      <c r="AJ115" s="90"/>
      <c r="AK115" s="90"/>
      <c r="AL115" s="1362"/>
      <c r="AM115" s="90"/>
      <c r="AN115" s="1362"/>
      <c r="AO115" s="90"/>
      <c r="AP115" s="90"/>
      <c r="AQ115" s="90"/>
      <c r="AR115" s="90"/>
      <c r="AS115" s="90"/>
      <c r="AT115" s="91"/>
      <c r="AU115" s="92"/>
      <c r="AV115" s="1978">
        <f t="shared" si="88"/>
        <v>0</v>
      </c>
      <c r="AW115" s="1978">
        <f t="shared" si="89"/>
        <v>0</v>
      </c>
      <c r="AX115" s="1978">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92"/>
      <c r="C116" s="1393"/>
      <c r="D116" s="78"/>
      <c r="E116" s="85">
        <f t="shared" si="87"/>
        <v>0</v>
      </c>
      <c r="F116" s="86"/>
      <c r="G116" s="87">
        <f t="shared" si="62"/>
        <v>0</v>
      </c>
      <c r="H116" s="88">
        <f t="shared" si="63"/>
        <v>0</v>
      </c>
      <c r="I116" s="1395"/>
      <c r="J116" s="89"/>
      <c r="K116" s="1395"/>
      <c r="L116" s="89"/>
      <c r="M116" s="89"/>
      <c r="N116" s="89"/>
      <c r="O116" s="1362"/>
      <c r="P116" s="89"/>
      <c r="Q116" s="89"/>
      <c r="R116" s="89"/>
      <c r="S116" s="89"/>
      <c r="T116" s="89"/>
      <c r="U116" s="89"/>
      <c r="V116" s="89"/>
      <c r="W116" s="89"/>
      <c r="X116" s="89"/>
      <c r="Y116" s="89"/>
      <c r="Z116" s="89"/>
      <c r="AA116" s="89"/>
      <c r="AB116" s="89"/>
      <c r="AC116" s="85">
        <f t="shared" si="64"/>
        <v>0</v>
      </c>
      <c r="AD116" s="90"/>
      <c r="AE116" s="90"/>
      <c r="AF116" s="1396"/>
      <c r="AG116" s="90"/>
      <c r="AH116" s="90"/>
      <c r="AI116" s="90"/>
      <c r="AJ116" s="90"/>
      <c r="AK116" s="90"/>
      <c r="AL116" s="90"/>
      <c r="AM116" s="90"/>
      <c r="AN116" s="1362"/>
      <c r="AO116" s="90"/>
      <c r="AP116" s="90"/>
      <c r="AQ116" s="90"/>
      <c r="AR116" s="90"/>
      <c r="AS116" s="90"/>
      <c r="AT116" s="91"/>
      <c r="AU116" s="92"/>
      <c r="AV116" s="1978">
        <f t="shared" si="88"/>
        <v>0</v>
      </c>
      <c r="AW116" s="1978">
        <f t="shared" si="89"/>
        <v>0</v>
      </c>
      <c r="AX116" s="1978">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92"/>
      <c r="C117" s="1393"/>
      <c r="D117" s="78"/>
      <c r="E117" s="85">
        <f t="shared" si="87"/>
        <v>0</v>
      </c>
      <c r="F117" s="86"/>
      <c r="G117" s="87">
        <f t="shared" si="62"/>
        <v>0</v>
      </c>
      <c r="H117" s="88">
        <f t="shared" si="63"/>
        <v>0</v>
      </c>
      <c r="I117" s="1395"/>
      <c r="J117" s="89"/>
      <c r="K117" s="1395"/>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6"/>
      <c r="AG117" s="90"/>
      <c r="AH117" s="90"/>
      <c r="AI117" s="90"/>
      <c r="AJ117" s="90"/>
      <c r="AK117" s="90"/>
      <c r="AL117" s="90"/>
      <c r="AM117" s="90"/>
      <c r="AN117" s="90"/>
      <c r="AO117" s="90"/>
      <c r="AP117" s="90"/>
      <c r="AQ117" s="90"/>
      <c r="AR117" s="90"/>
      <c r="AS117" s="90"/>
      <c r="AT117" s="91"/>
      <c r="AU117" s="92"/>
      <c r="AV117" s="1978">
        <f t="shared" si="88"/>
        <v>0</v>
      </c>
      <c r="AW117" s="1978">
        <f t="shared" si="89"/>
        <v>0</v>
      </c>
      <c r="AX117" s="1978">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92"/>
      <c r="C118" s="1393"/>
      <c r="D118" s="78"/>
      <c r="E118" s="85">
        <f t="shared" si="87"/>
        <v>0</v>
      </c>
      <c r="F118" s="86"/>
      <c r="G118" s="87">
        <f t="shared" si="62"/>
        <v>0</v>
      </c>
      <c r="H118" s="88">
        <f t="shared" si="63"/>
        <v>0</v>
      </c>
      <c r="I118" s="1395"/>
      <c r="J118" s="89"/>
      <c r="K118" s="1395"/>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6"/>
      <c r="AG118" s="90"/>
      <c r="AH118" s="90"/>
      <c r="AI118" s="90"/>
      <c r="AJ118" s="90"/>
      <c r="AK118" s="90"/>
      <c r="AL118" s="90"/>
      <c r="AM118" s="90"/>
      <c r="AN118" s="90"/>
      <c r="AO118" s="90"/>
      <c r="AP118" s="90"/>
      <c r="AQ118" s="90"/>
      <c r="AR118" s="90"/>
      <c r="AS118" s="90"/>
      <c r="AT118" s="91"/>
      <c r="AU118" s="92"/>
      <c r="AV118" s="1978">
        <f t="shared" si="88"/>
        <v>0</v>
      </c>
      <c r="AW118" s="1978">
        <f t="shared" si="89"/>
        <v>0</v>
      </c>
      <c r="AX118" s="1978">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92"/>
      <c r="C119" s="1393"/>
      <c r="D119" s="78"/>
      <c r="E119" s="85">
        <f t="shared" si="87"/>
        <v>0</v>
      </c>
      <c r="F119" s="86"/>
      <c r="G119" s="87">
        <f t="shared" si="62"/>
        <v>0</v>
      </c>
      <c r="H119" s="88">
        <f t="shared" si="63"/>
        <v>0</v>
      </c>
      <c r="I119" s="1395"/>
      <c r="J119" s="89"/>
      <c r="K119" s="1395"/>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6"/>
      <c r="AG119" s="90"/>
      <c r="AH119" s="90"/>
      <c r="AI119" s="90"/>
      <c r="AJ119" s="90"/>
      <c r="AK119" s="90"/>
      <c r="AL119" s="90"/>
      <c r="AM119" s="90"/>
      <c r="AN119" s="90"/>
      <c r="AO119" s="90"/>
      <c r="AP119" s="90"/>
      <c r="AQ119" s="90"/>
      <c r="AR119" s="90"/>
      <c r="AS119" s="90"/>
      <c r="AT119" s="91"/>
      <c r="AU119" s="92"/>
      <c r="AV119" s="1978">
        <f t="shared" si="88"/>
        <v>0</v>
      </c>
      <c r="AW119" s="1978">
        <f t="shared" si="89"/>
        <v>0</v>
      </c>
      <c r="AX119" s="1978">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92"/>
      <c r="C120" s="1393"/>
      <c r="D120" s="78"/>
      <c r="E120" s="85">
        <f t="shared" si="87"/>
        <v>0</v>
      </c>
      <c r="F120" s="86"/>
      <c r="G120" s="87">
        <f t="shared" si="62"/>
        <v>0</v>
      </c>
      <c r="H120" s="88">
        <f t="shared" si="63"/>
        <v>0</v>
      </c>
      <c r="I120" s="1395"/>
      <c r="J120" s="89"/>
      <c r="K120" s="1395"/>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5"/>
      <c r="AG120" s="90"/>
      <c r="AH120" s="90"/>
      <c r="AI120" s="90"/>
      <c r="AJ120" s="90"/>
      <c r="AK120" s="90"/>
      <c r="AL120" s="90"/>
      <c r="AM120" s="90"/>
      <c r="AN120" s="90"/>
      <c r="AO120" s="90"/>
      <c r="AP120" s="90"/>
      <c r="AQ120" s="90"/>
      <c r="AR120" s="90"/>
      <c r="AS120" s="90"/>
      <c r="AT120" s="91"/>
      <c r="AU120" s="92"/>
      <c r="AV120" s="1978">
        <f t="shared" si="88"/>
        <v>0</v>
      </c>
      <c r="AW120" s="1978">
        <f t="shared" si="89"/>
        <v>0</v>
      </c>
      <c r="AX120" s="1978">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4"/>
      <c r="C121" s="1395"/>
      <c r="D121" s="78"/>
      <c r="E121" s="85">
        <f t="shared" si="87"/>
        <v>0</v>
      </c>
      <c r="F121" s="86"/>
      <c r="G121" s="87">
        <f t="shared" si="62"/>
        <v>0</v>
      </c>
      <c r="H121" s="88">
        <f t="shared" si="63"/>
        <v>0</v>
      </c>
      <c r="I121" s="1395"/>
      <c r="J121" s="89"/>
      <c r="K121" s="1395"/>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5"/>
      <c r="AG121" s="90"/>
      <c r="AH121" s="90"/>
      <c r="AI121" s="90"/>
      <c r="AJ121" s="90"/>
      <c r="AK121" s="90"/>
      <c r="AL121" s="90"/>
      <c r="AM121" s="90"/>
      <c r="AN121" s="90"/>
      <c r="AO121" s="90"/>
      <c r="AP121" s="90"/>
      <c r="AQ121" s="90"/>
      <c r="AR121" s="90"/>
      <c r="AS121" s="90"/>
      <c r="AT121" s="91"/>
      <c r="AU121" s="92"/>
      <c r="AV121" s="1978">
        <f t="shared" si="88"/>
        <v>0</v>
      </c>
      <c r="AW121" s="1978">
        <f t="shared" si="89"/>
        <v>0</v>
      </c>
      <c r="AX121" s="1978">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92"/>
      <c r="C122" s="1393"/>
      <c r="D122" s="78"/>
      <c r="E122" s="85">
        <f t="shared" si="87"/>
        <v>0</v>
      </c>
      <c r="F122" s="86"/>
      <c r="G122" s="87">
        <f t="shared" si="62"/>
        <v>0</v>
      </c>
      <c r="H122" s="88">
        <f t="shared" si="63"/>
        <v>0</v>
      </c>
      <c r="I122" s="1395"/>
      <c r="J122" s="89"/>
      <c r="K122" s="1395"/>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5"/>
      <c r="AG122" s="90"/>
      <c r="AH122" s="90"/>
      <c r="AI122" s="90"/>
      <c r="AJ122" s="90"/>
      <c r="AK122" s="90"/>
      <c r="AL122" s="90"/>
      <c r="AM122" s="90"/>
      <c r="AN122" s="90"/>
      <c r="AO122" s="90"/>
      <c r="AP122" s="90"/>
      <c r="AQ122" s="90"/>
      <c r="AR122" s="90"/>
      <c r="AS122" s="90"/>
      <c r="AT122" s="91"/>
      <c r="AU122" s="92"/>
      <c r="AV122" s="1978">
        <f t="shared" si="88"/>
        <v>0</v>
      </c>
      <c r="AW122" s="1978">
        <f t="shared" si="89"/>
        <v>0</v>
      </c>
      <c r="AX122" s="1978">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92"/>
      <c r="C123" s="1393"/>
      <c r="D123" s="78"/>
      <c r="E123" s="85">
        <f t="shared" si="87"/>
        <v>0</v>
      </c>
      <c r="F123" s="86"/>
      <c r="G123" s="87">
        <f t="shared" si="62"/>
        <v>0</v>
      </c>
      <c r="H123" s="88">
        <f t="shared" si="63"/>
        <v>0</v>
      </c>
      <c r="I123" s="1395"/>
      <c r="J123" s="89"/>
      <c r="K123" s="1395"/>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5"/>
      <c r="AG123" s="90"/>
      <c r="AH123" s="90"/>
      <c r="AI123" s="90"/>
      <c r="AJ123" s="90"/>
      <c r="AK123" s="90"/>
      <c r="AL123" s="90"/>
      <c r="AM123" s="90"/>
      <c r="AN123" s="90"/>
      <c r="AO123" s="90"/>
      <c r="AP123" s="90"/>
      <c r="AQ123" s="90"/>
      <c r="AR123" s="90"/>
      <c r="AS123" s="90"/>
      <c r="AT123" s="91"/>
      <c r="AU123" s="92"/>
      <c r="AV123" s="1978">
        <f t="shared" si="88"/>
        <v>0</v>
      </c>
      <c r="AW123" s="1978">
        <f t="shared" si="89"/>
        <v>0</v>
      </c>
      <c r="AX123" s="1978">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92"/>
      <c r="C124" s="1393"/>
      <c r="D124" s="78"/>
      <c r="E124" s="85">
        <f t="shared" si="87"/>
        <v>0</v>
      </c>
      <c r="F124" s="86"/>
      <c r="G124" s="87">
        <f t="shared" si="62"/>
        <v>0</v>
      </c>
      <c r="H124" s="88">
        <f t="shared" si="63"/>
        <v>0</v>
      </c>
      <c r="I124" s="1395"/>
      <c r="J124" s="89"/>
      <c r="K124" s="1395"/>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5"/>
      <c r="AG124" s="90"/>
      <c r="AH124" s="90"/>
      <c r="AI124" s="90"/>
      <c r="AJ124" s="90"/>
      <c r="AK124" s="90"/>
      <c r="AL124" s="90"/>
      <c r="AM124" s="90"/>
      <c r="AN124" s="90"/>
      <c r="AO124" s="90"/>
      <c r="AP124" s="90"/>
      <c r="AQ124" s="90"/>
      <c r="AR124" s="90"/>
      <c r="AS124" s="90"/>
      <c r="AT124" s="91"/>
      <c r="AU124" s="92"/>
      <c r="AV124" s="1978">
        <f t="shared" si="88"/>
        <v>0</v>
      </c>
      <c r="AW124" s="1978">
        <f t="shared" si="89"/>
        <v>0</v>
      </c>
      <c r="AX124" s="1978">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92"/>
      <c r="C125" s="1393"/>
      <c r="D125" s="78"/>
      <c r="E125" s="85">
        <f t="shared" si="87"/>
        <v>0</v>
      </c>
      <c r="F125" s="86"/>
      <c r="G125" s="87">
        <f t="shared" si="62"/>
        <v>0</v>
      </c>
      <c r="H125" s="88">
        <f t="shared" si="63"/>
        <v>0</v>
      </c>
      <c r="I125" s="1395"/>
      <c r="J125" s="89"/>
      <c r="K125" s="1395"/>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5"/>
      <c r="AG125" s="90"/>
      <c r="AH125" s="90"/>
      <c r="AI125" s="90"/>
      <c r="AJ125" s="90"/>
      <c r="AK125" s="90"/>
      <c r="AL125" s="90"/>
      <c r="AM125" s="90"/>
      <c r="AN125" s="90"/>
      <c r="AO125" s="90"/>
      <c r="AP125" s="90"/>
      <c r="AQ125" s="90"/>
      <c r="AR125" s="90"/>
      <c r="AS125" s="90"/>
      <c r="AT125" s="91"/>
      <c r="AU125" s="92"/>
      <c r="AV125" s="1978">
        <f t="shared" si="88"/>
        <v>0</v>
      </c>
      <c r="AW125" s="1978">
        <f t="shared" si="89"/>
        <v>0</v>
      </c>
      <c r="AX125" s="1978">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92"/>
      <c r="C126" s="1393"/>
      <c r="D126" s="78"/>
      <c r="E126" s="85">
        <f t="shared" si="87"/>
        <v>0</v>
      </c>
      <c r="F126" s="86"/>
      <c r="G126" s="87">
        <f t="shared" si="62"/>
        <v>0</v>
      </c>
      <c r="H126" s="88">
        <f t="shared" si="63"/>
        <v>0</v>
      </c>
      <c r="I126" s="1395"/>
      <c r="J126" s="89"/>
      <c r="K126" s="1395"/>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5"/>
      <c r="AG126" s="90"/>
      <c r="AH126" s="90"/>
      <c r="AI126" s="90"/>
      <c r="AJ126" s="90"/>
      <c r="AK126" s="90"/>
      <c r="AL126" s="90"/>
      <c r="AM126" s="90"/>
      <c r="AN126" s="90"/>
      <c r="AO126" s="90"/>
      <c r="AP126" s="90"/>
      <c r="AQ126" s="90"/>
      <c r="AR126" s="90"/>
      <c r="AS126" s="90"/>
      <c r="AT126" s="91"/>
      <c r="AU126" s="92"/>
      <c r="AV126" s="1978">
        <f t="shared" si="88"/>
        <v>0</v>
      </c>
      <c r="AW126" s="1978">
        <f t="shared" si="89"/>
        <v>0</v>
      </c>
      <c r="AX126" s="1978">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92"/>
      <c r="C127" s="1393"/>
      <c r="D127" s="78"/>
      <c r="E127" s="85">
        <f t="shared" si="87"/>
        <v>0</v>
      </c>
      <c r="F127" s="86"/>
      <c r="G127" s="87">
        <f t="shared" si="62"/>
        <v>0</v>
      </c>
      <c r="H127" s="88">
        <f t="shared" si="63"/>
        <v>0</v>
      </c>
      <c r="I127" s="1395"/>
      <c r="J127" s="89"/>
      <c r="K127" s="1395"/>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5"/>
      <c r="AG127" s="90"/>
      <c r="AH127" s="90"/>
      <c r="AI127" s="90"/>
      <c r="AJ127" s="90"/>
      <c r="AK127" s="90"/>
      <c r="AL127" s="90"/>
      <c r="AM127" s="90"/>
      <c r="AN127" s="90"/>
      <c r="AO127" s="90"/>
      <c r="AP127" s="90"/>
      <c r="AQ127" s="90"/>
      <c r="AR127" s="90"/>
      <c r="AS127" s="90"/>
      <c r="AT127" s="91"/>
      <c r="AU127" s="92"/>
      <c r="AV127" s="1978">
        <f t="shared" si="88"/>
        <v>0</v>
      </c>
      <c r="AW127" s="1978">
        <f t="shared" si="89"/>
        <v>0</v>
      </c>
      <c r="AX127" s="1978">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92"/>
      <c r="C128" s="1393"/>
      <c r="D128" s="78"/>
      <c r="E128" s="85">
        <f t="shared" si="87"/>
        <v>0</v>
      </c>
      <c r="F128" s="86"/>
      <c r="G128" s="87">
        <f t="shared" si="62"/>
        <v>0</v>
      </c>
      <c r="H128" s="88">
        <f t="shared" si="63"/>
        <v>0</v>
      </c>
      <c r="I128" s="1395"/>
      <c r="J128" s="89"/>
      <c r="K128" s="1395"/>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5"/>
      <c r="AG128" s="90"/>
      <c r="AH128" s="90"/>
      <c r="AI128" s="90"/>
      <c r="AJ128" s="90"/>
      <c r="AK128" s="90"/>
      <c r="AL128" s="90"/>
      <c r="AM128" s="90"/>
      <c r="AN128" s="90"/>
      <c r="AO128" s="90"/>
      <c r="AP128" s="90"/>
      <c r="AQ128" s="90"/>
      <c r="AR128" s="90"/>
      <c r="AS128" s="90"/>
      <c r="AT128" s="91"/>
      <c r="AU128" s="92"/>
      <c r="AV128" s="1978">
        <f t="shared" si="88"/>
        <v>0</v>
      </c>
      <c r="AW128" s="1978">
        <f t="shared" si="89"/>
        <v>0</v>
      </c>
      <c r="AX128" s="1978">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92"/>
      <c r="C129" s="1393"/>
      <c r="D129" s="78"/>
      <c r="E129" s="85">
        <f t="shared" si="87"/>
        <v>0</v>
      </c>
      <c r="F129" s="86"/>
      <c r="G129" s="87">
        <f t="shared" si="62"/>
        <v>0</v>
      </c>
      <c r="H129" s="88">
        <f t="shared" si="63"/>
        <v>0</v>
      </c>
      <c r="I129" s="1395"/>
      <c r="J129" s="89"/>
      <c r="K129" s="1395"/>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5"/>
      <c r="AG129" s="90"/>
      <c r="AH129" s="90"/>
      <c r="AI129" s="90"/>
      <c r="AJ129" s="90"/>
      <c r="AK129" s="90"/>
      <c r="AL129" s="90"/>
      <c r="AM129" s="90"/>
      <c r="AN129" s="90"/>
      <c r="AO129" s="90"/>
      <c r="AP129" s="90"/>
      <c r="AQ129" s="90"/>
      <c r="AR129" s="90"/>
      <c r="AS129" s="90"/>
      <c r="AT129" s="91"/>
      <c r="AU129" s="92"/>
      <c r="AV129" s="1978">
        <f t="shared" si="88"/>
        <v>0</v>
      </c>
      <c r="AW129" s="1978">
        <f t="shared" si="89"/>
        <v>0</v>
      </c>
      <c r="AX129" s="1978">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92"/>
      <c r="C130" s="1393"/>
      <c r="D130" s="78"/>
      <c r="E130" s="85">
        <f t="shared" si="87"/>
        <v>0</v>
      </c>
      <c r="F130" s="86"/>
      <c r="G130" s="87">
        <f t="shared" si="62"/>
        <v>0</v>
      </c>
      <c r="H130" s="88">
        <f t="shared" si="63"/>
        <v>0</v>
      </c>
      <c r="I130" s="1395"/>
      <c r="J130" s="89"/>
      <c r="K130" s="1395"/>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5"/>
      <c r="AG130" s="90"/>
      <c r="AH130" s="90"/>
      <c r="AI130" s="90"/>
      <c r="AJ130" s="90"/>
      <c r="AK130" s="90"/>
      <c r="AL130" s="90"/>
      <c r="AM130" s="90"/>
      <c r="AN130" s="90"/>
      <c r="AO130" s="90"/>
      <c r="AP130" s="90"/>
      <c r="AQ130" s="90"/>
      <c r="AR130" s="90"/>
      <c r="AS130" s="90"/>
      <c r="AT130" s="91"/>
      <c r="AU130" s="92"/>
      <c r="AV130" s="1978">
        <f t="shared" si="88"/>
        <v>0</v>
      </c>
      <c r="AW130" s="1978">
        <f t="shared" si="89"/>
        <v>0</v>
      </c>
      <c r="AX130" s="1978">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92"/>
      <c r="C131" s="1393"/>
      <c r="D131" s="78"/>
      <c r="E131" s="85">
        <f t="shared" si="87"/>
        <v>0</v>
      </c>
      <c r="F131" s="86"/>
      <c r="G131" s="87">
        <f t="shared" si="62"/>
        <v>0</v>
      </c>
      <c r="H131" s="88">
        <f t="shared" si="63"/>
        <v>0</v>
      </c>
      <c r="I131" s="1395"/>
      <c r="J131" s="89"/>
      <c r="K131" s="1395"/>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5"/>
      <c r="AG131" s="90"/>
      <c r="AH131" s="90"/>
      <c r="AI131" s="90"/>
      <c r="AJ131" s="90"/>
      <c r="AK131" s="90"/>
      <c r="AL131" s="90"/>
      <c r="AM131" s="90"/>
      <c r="AN131" s="90"/>
      <c r="AO131" s="90"/>
      <c r="AP131" s="90"/>
      <c r="AQ131" s="90"/>
      <c r="AR131" s="90"/>
      <c r="AS131" s="90"/>
      <c r="AT131" s="91"/>
      <c r="AU131" s="92"/>
      <c r="AV131" s="1978">
        <f t="shared" si="88"/>
        <v>0</v>
      </c>
      <c r="AW131" s="1978">
        <f t="shared" si="89"/>
        <v>0</v>
      </c>
      <c r="AX131" s="1978">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92"/>
      <c r="C132" s="1393"/>
      <c r="D132" s="78"/>
      <c r="E132" s="85">
        <f t="shared" si="87"/>
        <v>0</v>
      </c>
      <c r="F132" s="86"/>
      <c r="G132" s="87">
        <f t="shared" si="62"/>
        <v>0</v>
      </c>
      <c r="H132" s="88">
        <f t="shared" si="63"/>
        <v>0</v>
      </c>
      <c r="I132" s="1395"/>
      <c r="J132" s="89"/>
      <c r="K132" s="1395"/>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5"/>
      <c r="AG132" s="90"/>
      <c r="AH132" s="90"/>
      <c r="AI132" s="90"/>
      <c r="AJ132" s="90"/>
      <c r="AK132" s="90"/>
      <c r="AL132" s="90"/>
      <c r="AM132" s="90"/>
      <c r="AN132" s="90"/>
      <c r="AO132" s="90"/>
      <c r="AP132" s="90"/>
      <c r="AQ132" s="90"/>
      <c r="AR132" s="90"/>
      <c r="AS132" s="90"/>
      <c r="AT132" s="91"/>
      <c r="AU132" s="92"/>
      <c r="AV132" s="1978">
        <f t="shared" si="88"/>
        <v>0</v>
      </c>
      <c r="AW132" s="1978">
        <f t="shared" si="89"/>
        <v>0</v>
      </c>
      <c r="AX132" s="1978">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92"/>
      <c r="C133" s="1393"/>
      <c r="D133" s="78"/>
      <c r="E133" s="85">
        <f t="shared" si="87"/>
        <v>0</v>
      </c>
      <c r="F133" s="86"/>
      <c r="G133" s="87">
        <f t="shared" si="62"/>
        <v>0</v>
      </c>
      <c r="H133" s="88">
        <f t="shared" si="63"/>
        <v>0</v>
      </c>
      <c r="I133" s="1395"/>
      <c r="J133" s="89"/>
      <c r="K133" s="1395"/>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5"/>
      <c r="AG133" s="90"/>
      <c r="AH133" s="90"/>
      <c r="AI133" s="90"/>
      <c r="AJ133" s="90"/>
      <c r="AK133" s="90"/>
      <c r="AL133" s="90"/>
      <c r="AM133" s="90"/>
      <c r="AN133" s="90"/>
      <c r="AO133" s="90"/>
      <c r="AP133" s="90"/>
      <c r="AQ133" s="90"/>
      <c r="AR133" s="90"/>
      <c r="AS133" s="90"/>
      <c r="AT133" s="91"/>
      <c r="AU133" s="92"/>
      <c r="AV133" s="1978">
        <f t="shared" si="88"/>
        <v>0</v>
      </c>
      <c r="AW133" s="1978">
        <f t="shared" si="89"/>
        <v>0</v>
      </c>
      <c r="AX133" s="1978">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92"/>
      <c r="C134" s="1393"/>
      <c r="D134" s="78"/>
      <c r="E134" s="85">
        <f t="shared" si="87"/>
        <v>0</v>
      </c>
      <c r="F134" s="86"/>
      <c r="G134" s="87">
        <f t="shared" si="62"/>
        <v>0</v>
      </c>
      <c r="H134" s="88">
        <f t="shared" si="63"/>
        <v>0</v>
      </c>
      <c r="I134" s="1395"/>
      <c r="J134" s="89"/>
      <c r="K134" s="1395"/>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5"/>
      <c r="AG134" s="90"/>
      <c r="AH134" s="90"/>
      <c r="AI134" s="90"/>
      <c r="AJ134" s="90"/>
      <c r="AK134" s="90"/>
      <c r="AL134" s="90"/>
      <c r="AM134" s="90"/>
      <c r="AN134" s="90"/>
      <c r="AO134" s="90"/>
      <c r="AP134" s="90"/>
      <c r="AQ134" s="90"/>
      <c r="AR134" s="90"/>
      <c r="AS134" s="90"/>
      <c r="AT134" s="91"/>
      <c r="AU134" s="92"/>
      <c r="AV134" s="1978">
        <f t="shared" si="88"/>
        <v>0</v>
      </c>
      <c r="AW134" s="1978">
        <f t="shared" si="89"/>
        <v>0</v>
      </c>
      <c r="AX134" s="1978">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92"/>
      <c r="C135" s="1393"/>
      <c r="D135" s="78"/>
      <c r="E135" s="85">
        <f t="shared" si="87"/>
        <v>0</v>
      </c>
      <c r="F135" s="86"/>
      <c r="G135" s="87">
        <f t="shared" si="62"/>
        <v>0</v>
      </c>
      <c r="H135" s="88">
        <f t="shared" si="63"/>
        <v>0</v>
      </c>
      <c r="I135" s="1395"/>
      <c r="J135" s="89"/>
      <c r="K135" s="1395"/>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5"/>
      <c r="AG135" s="90"/>
      <c r="AH135" s="90"/>
      <c r="AI135" s="90"/>
      <c r="AJ135" s="90"/>
      <c r="AK135" s="90"/>
      <c r="AL135" s="90"/>
      <c r="AM135" s="90"/>
      <c r="AN135" s="90"/>
      <c r="AO135" s="90"/>
      <c r="AP135" s="90"/>
      <c r="AQ135" s="90"/>
      <c r="AR135" s="90"/>
      <c r="AS135" s="90"/>
      <c r="AT135" s="91"/>
      <c r="AU135" s="92"/>
      <c r="AV135" s="1978">
        <f t="shared" si="88"/>
        <v>0</v>
      </c>
      <c r="AW135" s="1978">
        <f t="shared" si="89"/>
        <v>0</v>
      </c>
      <c r="AX135" s="1978">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92"/>
      <c r="C136" s="1393"/>
      <c r="D136" s="78"/>
      <c r="E136" s="85">
        <f t="shared" si="87"/>
        <v>0</v>
      </c>
      <c r="F136" s="86"/>
      <c r="G136" s="87">
        <f t="shared" si="62"/>
        <v>0</v>
      </c>
      <c r="H136" s="88">
        <f t="shared" si="63"/>
        <v>0</v>
      </c>
      <c r="I136" s="1395"/>
      <c r="J136" s="89"/>
      <c r="K136" s="1395"/>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5"/>
      <c r="AG136" s="90"/>
      <c r="AH136" s="90"/>
      <c r="AI136" s="90"/>
      <c r="AJ136" s="90"/>
      <c r="AK136" s="90"/>
      <c r="AL136" s="90"/>
      <c r="AM136" s="90"/>
      <c r="AN136" s="90"/>
      <c r="AO136" s="90"/>
      <c r="AP136" s="90"/>
      <c r="AQ136" s="90"/>
      <c r="AR136" s="90"/>
      <c r="AS136" s="90"/>
      <c r="AT136" s="91"/>
      <c r="AU136" s="92"/>
      <c r="AV136" s="1978">
        <f t="shared" si="88"/>
        <v>0</v>
      </c>
      <c r="AW136" s="1978">
        <f t="shared" si="89"/>
        <v>0</v>
      </c>
      <c r="AX136" s="1978">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92"/>
      <c r="C137" s="1393"/>
      <c r="D137" s="78"/>
      <c r="E137" s="85">
        <f t="shared" si="87"/>
        <v>0</v>
      </c>
      <c r="F137" s="86"/>
      <c r="G137" s="87">
        <f t="shared" si="62"/>
        <v>0</v>
      </c>
      <c r="H137" s="88">
        <f t="shared" si="63"/>
        <v>0</v>
      </c>
      <c r="I137" s="1395"/>
      <c r="J137" s="89"/>
      <c r="K137" s="1395"/>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5"/>
      <c r="AG137" s="90"/>
      <c r="AH137" s="90"/>
      <c r="AI137" s="90"/>
      <c r="AJ137" s="90"/>
      <c r="AK137" s="90"/>
      <c r="AL137" s="90"/>
      <c r="AM137" s="90"/>
      <c r="AN137" s="90"/>
      <c r="AO137" s="90"/>
      <c r="AP137" s="90"/>
      <c r="AQ137" s="90"/>
      <c r="AR137" s="90"/>
      <c r="AS137" s="90"/>
      <c r="AT137" s="91"/>
      <c r="AU137" s="92"/>
      <c r="AV137" s="1978">
        <f t="shared" si="88"/>
        <v>0</v>
      </c>
      <c r="AW137" s="1978">
        <f t="shared" si="89"/>
        <v>0</v>
      </c>
      <c r="AX137" s="1978">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92"/>
      <c r="C138" s="1393"/>
      <c r="D138" s="78"/>
      <c r="E138" s="85">
        <f t="shared" si="87"/>
        <v>0</v>
      </c>
      <c r="F138" s="86"/>
      <c r="G138" s="87">
        <f t="shared" si="62"/>
        <v>0</v>
      </c>
      <c r="H138" s="88">
        <f t="shared" si="63"/>
        <v>0</v>
      </c>
      <c r="I138" s="1395"/>
      <c r="J138" s="89"/>
      <c r="K138" s="1395"/>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5"/>
      <c r="AG138" s="90"/>
      <c r="AH138" s="90"/>
      <c r="AI138" s="90"/>
      <c r="AJ138" s="90"/>
      <c r="AK138" s="90"/>
      <c r="AL138" s="90"/>
      <c r="AM138" s="90"/>
      <c r="AN138" s="90"/>
      <c r="AO138" s="90"/>
      <c r="AP138" s="90"/>
      <c r="AQ138" s="90"/>
      <c r="AR138" s="90"/>
      <c r="AS138" s="90"/>
      <c r="AT138" s="91"/>
      <c r="AU138" s="92"/>
      <c r="AV138" s="1978">
        <f t="shared" si="88"/>
        <v>0</v>
      </c>
      <c r="AW138" s="1978">
        <f t="shared" si="89"/>
        <v>0</v>
      </c>
      <c r="AX138" s="1978">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92"/>
      <c r="C139" s="1393"/>
      <c r="D139" s="78"/>
      <c r="E139" s="85">
        <f t="shared" si="87"/>
        <v>0</v>
      </c>
      <c r="F139" s="86"/>
      <c r="G139" s="87">
        <f t="shared" si="62"/>
        <v>0</v>
      </c>
      <c r="H139" s="88">
        <f t="shared" si="63"/>
        <v>0</v>
      </c>
      <c r="I139" s="1395"/>
      <c r="J139" s="89"/>
      <c r="K139" s="1395"/>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3"/>
      <c r="AG139" s="90"/>
      <c r="AH139" s="90"/>
      <c r="AI139" s="90"/>
      <c r="AJ139" s="90"/>
      <c r="AK139" s="90"/>
      <c r="AL139" s="90"/>
      <c r="AM139" s="90"/>
      <c r="AN139" s="90"/>
      <c r="AO139" s="90"/>
      <c r="AP139" s="90"/>
      <c r="AQ139" s="90"/>
      <c r="AR139" s="90"/>
      <c r="AS139" s="90"/>
      <c r="AT139" s="91"/>
      <c r="AU139" s="92"/>
      <c r="AV139" s="1978">
        <f t="shared" si="88"/>
        <v>0</v>
      </c>
      <c r="AW139" s="1978">
        <f t="shared" si="89"/>
        <v>0</v>
      </c>
      <c r="AX139" s="1978">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92"/>
      <c r="C140" s="1393"/>
      <c r="D140" s="78"/>
      <c r="E140" s="85">
        <f t="shared" si="87"/>
        <v>0</v>
      </c>
      <c r="F140" s="86"/>
      <c r="G140" s="87">
        <f t="shared" si="62"/>
        <v>0</v>
      </c>
      <c r="H140" s="88">
        <f t="shared" si="63"/>
        <v>0</v>
      </c>
      <c r="I140" s="1393"/>
      <c r="J140" s="89"/>
      <c r="K140" s="1393"/>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3"/>
      <c r="AG140" s="90"/>
      <c r="AH140" s="90"/>
      <c r="AI140" s="90"/>
      <c r="AJ140" s="90"/>
      <c r="AK140" s="90"/>
      <c r="AL140" s="90"/>
      <c r="AM140" s="90"/>
      <c r="AN140" s="90"/>
      <c r="AO140" s="90"/>
      <c r="AP140" s="90"/>
      <c r="AQ140" s="90"/>
      <c r="AR140" s="90"/>
      <c r="AS140" s="90"/>
      <c r="AT140" s="91"/>
      <c r="AU140" s="92"/>
      <c r="AV140" s="1978">
        <f t="shared" si="88"/>
        <v>0</v>
      </c>
      <c r="AW140" s="1978">
        <f t="shared" si="89"/>
        <v>0</v>
      </c>
      <c r="AX140" s="1978">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92"/>
      <c r="C141" s="1393"/>
      <c r="D141" s="78"/>
      <c r="E141" s="85">
        <f t="shared" si="87"/>
        <v>0</v>
      </c>
      <c r="F141" s="86"/>
      <c r="G141" s="87">
        <f t="shared" si="62"/>
        <v>0</v>
      </c>
      <c r="H141" s="88">
        <f t="shared" si="63"/>
        <v>0</v>
      </c>
      <c r="I141" s="1393"/>
      <c r="J141" s="89"/>
      <c r="K141" s="1393"/>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3"/>
      <c r="AG141" s="90"/>
      <c r="AH141" s="90"/>
      <c r="AI141" s="90"/>
      <c r="AJ141" s="90"/>
      <c r="AK141" s="90"/>
      <c r="AL141" s="90"/>
      <c r="AM141" s="90"/>
      <c r="AN141" s="90"/>
      <c r="AO141" s="90"/>
      <c r="AP141" s="90"/>
      <c r="AQ141" s="90"/>
      <c r="AR141" s="90"/>
      <c r="AS141" s="90"/>
      <c r="AT141" s="91"/>
      <c r="AU141" s="92"/>
      <c r="AV141" s="1978">
        <f t="shared" si="88"/>
        <v>0</v>
      </c>
      <c r="AW141" s="1978">
        <f t="shared" si="89"/>
        <v>0</v>
      </c>
      <c r="AX141" s="1978">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92"/>
      <c r="C142" s="1393"/>
      <c r="D142" s="78"/>
      <c r="E142" s="85">
        <f t="shared" si="87"/>
        <v>0</v>
      </c>
      <c r="F142" s="86"/>
      <c r="G142" s="87">
        <f t="shared" ref="G142:G173" si="91">H142+AC142+AT142</f>
        <v>0</v>
      </c>
      <c r="H142" s="88">
        <f t="shared" ref="H142:H173" si="92">SUMIF(I$12:AB$12,"总值",I142:AB142)</f>
        <v>0</v>
      </c>
      <c r="I142" s="1393"/>
      <c r="J142" s="89"/>
      <c r="K142" s="1393"/>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3"/>
      <c r="AG142" s="90"/>
      <c r="AH142" s="90"/>
      <c r="AI142" s="90"/>
      <c r="AJ142" s="90"/>
      <c r="AK142" s="90"/>
      <c r="AL142" s="90"/>
      <c r="AM142" s="90"/>
      <c r="AN142" s="90"/>
      <c r="AO142" s="90"/>
      <c r="AP142" s="90"/>
      <c r="AQ142" s="90"/>
      <c r="AR142" s="90"/>
      <c r="AS142" s="90"/>
      <c r="AT142" s="91"/>
      <c r="AU142" s="92"/>
      <c r="AV142" s="1978">
        <f t="shared" si="88"/>
        <v>0</v>
      </c>
      <c r="AW142" s="1978">
        <f t="shared" si="89"/>
        <v>0</v>
      </c>
      <c r="AX142" s="1978">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92"/>
      <c r="C143" s="1393"/>
      <c r="D143" s="78"/>
      <c r="E143" s="85">
        <f t="shared" si="87"/>
        <v>0</v>
      </c>
      <c r="F143" s="86"/>
      <c r="G143" s="87">
        <f t="shared" si="91"/>
        <v>0</v>
      </c>
      <c r="H143" s="88">
        <f t="shared" si="92"/>
        <v>0</v>
      </c>
      <c r="I143" s="1393"/>
      <c r="J143" s="89"/>
      <c r="K143" s="1393"/>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3"/>
      <c r="AG143" s="90"/>
      <c r="AH143" s="90"/>
      <c r="AI143" s="90"/>
      <c r="AJ143" s="90"/>
      <c r="AK143" s="90"/>
      <c r="AL143" s="90"/>
      <c r="AM143" s="90"/>
      <c r="AN143" s="90"/>
      <c r="AO143" s="90"/>
      <c r="AP143" s="90"/>
      <c r="AQ143" s="90"/>
      <c r="AR143" s="90"/>
      <c r="AS143" s="90"/>
      <c r="AT143" s="91"/>
      <c r="AU143" s="92"/>
      <c r="AV143" s="1978">
        <f t="shared" si="88"/>
        <v>0</v>
      </c>
      <c r="AW143" s="1978">
        <f t="shared" si="89"/>
        <v>0</v>
      </c>
      <c r="AX143" s="1978">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92"/>
      <c r="C144" s="1393"/>
      <c r="D144" s="78"/>
      <c r="E144" s="85">
        <f t="shared" si="87"/>
        <v>0</v>
      </c>
      <c r="F144" s="86"/>
      <c r="G144" s="87">
        <f t="shared" si="91"/>
        <v>0</v>
      </c>
      <c r="H144" s="88">
        <f t="shared" si="92"/>
        <v>0</v>
      </c>
      <c r="I144" s="1393"/>
      <c r="J144" s="89"/>
      <c r="K144" s="1393"/>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3"/>
      <c r="AG144" s="90"/>
      <c r="AH144" s="90"/>
      <c r="AI144" s="90"/>
      <c r="AJ144" s="90"/>
      <c r="AK144" s="90"/>
      <c r="AL144" s="90"/>
      <c r="AM144" s="90"/>
      <c r="AN144" s="90"/>
      <c r="AO144" s="90"/>
      <c r="AP144" s="90"/>
      <c r="AQ144" s="90"/>
      <c r="AR144" s="90"/>
      <c r="AS144" s="90"/>
      <c r="AT144" s="91"/>
      <c r="AU144" s="92"/>
      <c r="AV144" s="1978">
        <f t="shared" si="88"/>
        <v>0</v>
      </c>
      <c r="AW144" s="1978">
        <f t="shared" si="89"/>
        <v>0</v>
      </c>
      <c r="AX144" s="1978">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92"/>
      <c r="C145" s="1393"/>
      <c r="D145" s="78"/>
      <c r="E145" s="85">
        <f t="shared" ref="E145:E176" si="116">IF($C$3="是",ROUND($A$3*G145/$B$3,2),ROUND($A$3*(G145-AT145)/$B$3,2))</f>
        <v>0</v>
      </c>
      <c r="F145" s="86"/>
      <c r="G145" s="87">
        <f t="shared" si="91"/>
        <v>0</v>
      </c>
      <c r="H145" s="88">
        <f t="shared" si="92"/>
        <v>0</v>
      </c>
      <c r="I145" s="1393"/>
      <c r="J145" s="89"/>
      <c r="K145" s="1393"/>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3"/>
      <c r="AG145" s="90"/>
      <c r="AH145" s="90"/>
      <c r="AI145" s="90"/>
      <c r="AJ145" s="90"/>
      <c r="AK145" s="90"/>
      <c r="AL145" s="90"/>
      <c r="AM145" s="90"/>
      <c r="AN145" s="90"/>
      <c r="AO145" s="90"/>
      <c r="AP145" s="90"/>
      <c r="AQ145" s="90"/>
      <c r="AR145" s="90"/>
      <c r="AS145" s="90"/>
      <c r="AT145" s="91"/>
      <c r="AU145" s="92"/>
      <c r="AV145" s="1978">
        <f t="shared" ref="AV145:AV176" si="117">A145</f>
        <v>0</v>
      </c>
      <c r="AW145" s="1978">
        <f t="shared" ref="AW145:AW176" si="118">B145</f>
        <v>0</v>
      </c>
      <c r="AX145" s="1978">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92"/>
      <c r="C146" s="1393"/>
      <c r="D146" s="78"/>
      <c r="E146" s="85">
        <f t="shared" si="116"/>
        <v>0</v>
      </c>
      <c r="F146" s="86"/>
      <c r="G146" s="87">
        <f t="shared" si="91"/>
        <v>0</v>
      </c>
      <c r="H146" s="88">
        <f t="shared" si="92"/>
        <v>0</v>
      </c>
      <c r="I146" s="1393"/>
      <c r="J146" s="89"/>
      <c r="K146" s="1393"/>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3"/>
      <c r="AG146" s="90"/>
      <c r="AH146" s="90"/>
      <c r="AI146" s="90"/>
      <c r="AJ146" s="90"/>
      <c r="AK146" s="90"/>
      <c r="AL146" s="90"/>
      <c r="AM146" s="90"/>
      <c r="AN146" s="90"/>
      <c r="AO146" s="90"/>
      <c r="AP146" s="90"/>
      <c r="AQ146" s="90"/>
      <c r="AR146" s="90"/>
      <c r="AS146" s="90"/>
      <c r="AT146" s="91"/>
      <c r="AU146" s="92"/>
      <c r="AV146" s="1978">
        <f t="shared" si="117"/>
        <v>0</v>
      </c>
      <c r="AW146" s="1978">
        <f t="shared" si="118"/>
        <v>0</v>
      </c>
      <c r="AX146" s="1978">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4"/>
      <c r="C147" s="1395"/>
      <c r="D147" s="78"/>
      <c r="E147" s="85">
        <f t="shared" si="116"/>
        <v>0</v>
      </c>
      <c r="F147" s="86"/>
      <c r="G147" s="87">
        <f t="shared" si="91"/>
        <v>0</v>
      </c>
      <c r="H147" s="88">
        <f t="shared" si="92"/>
        <v>0</v>
      </c>
      <c r="I147" s="1393"/>
      <c r="J147" s="89"/>
      <c r="K147" s="1393"/>
      <c r="L147" s="89"/>
      <c r="M147" s="1393"/>
      <c r="N147" s="89"/>
      <c r="O147" s="89"/>
      <c r="P147" s="89"/>
      <c r="Q147" s="89"/>
      <c r="R147" s="89"/>
      <c r="S147" s="89"/>
      <c r="T147" s="89"/>
      <c r="U147" s="89"/>
      <c r="V147" s="89"/>
      <c r="W147" s="89"/>
      <c r="X147" s="89"/>
      <c r="Y147" s="89"/>
      <c r="Z147" s="89"/>
      <c r="AA147" s="89"/>
      <c r="AB147" s="89"/>
      <c r="AC147" s="85">
        <f t="shared" si="93"/>
        <v>0</v>
      </c>
      <c r="AD147" s="90"/>
      <c r="AE147" s="90"/>
      <c r="AF147" s="1393"/>
      <c r="AG147" s="90"/>
      <c r="AH147" s="90"/>
      <c r="AI147" s="90"/>
      <c r="AJ147" s="90"/>
      <c r="AK147" s="90"/>
      <c r="AL147" s="90"/>
      <c r="AM147" s="90"/>
      <c r="AN147" s="90"/>
      <c r="AO147" s="90"/>
      <c r="AP147" s="90"/>
      <c r="AQ147" s="90"/>
      <c r="AR147" s="90"/>
      <c r="AS147" s="90"/>
      <c r="AT147" s="91"/>
      <c r="AU147" s="92"/>
      <c r="AV147" s="1978">
        <f t="shared" si="117"/>
        <v>0</v>
      </c>
      <c r="AW147" s="1978">
        <f t="shared" si="118"/>
        <v>0</v>
      </c>
      <c r="AX147" s="1978">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8">
        <f t="shared" si="117"/>
        <v>0</v>
      </c>
      <c r="AW148" s="1978">
        <f t="shared" si="118"/>
        <v>0</v>
      </c>
      <c r="AX148" s="1978">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8">
        <f t="shared" si="117"/>
        <v>0</v>
      </c>
      <c r="AW149" s="1978">
        <f t="shared" si="118"/>
        <v>0</v>
      </c>
      <c r="AX149" s="1978">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8">
        <f t="shared" si="117"/>
        <v>0</v>
      </c>
      <c r="AW150" s="1978">
        <f t="shared" si="118"/>
        <v>0</v>
      </c>
      <c r="AX150" s="1978">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8">
        <f t="shared" si="117"/>
        <v>0</v>
      </c>
      <c r="AW151" s="1978">
        <f t="shared" si="118"/>
        <v>0</v>
      </c>
      <c r="AX151" s="1978">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8">
        <f t="shared" si="117"/>
        <v>0</v>
      </c>
      <c r="AW152" s="1978">
        <f t="shared" si="118"/>
        <v>0</v>
      </c>
      <c r="AX152" s="1978">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8">
        <f t="shared" si="117"/>
        <v>0</v>
      </c>
      <c r="AW153" s="1978">
        <f t="shared" si="118"/>
        <v>0</v>
      </c>
      <c r="AX153" s="1978">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8">
        <f t="shared" si="117"/>
        <v>0</v>
      </c>
      <c r="AW154" s="1978">
        <f t="shared" si="118"/>
        <v>0</v>
      </c>
      <c r="AX154" s="1978">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8">
        <f t="shared" si="117"/>
        <v>0</v>
      </c>
      <c r="AW155" s="1978">
        <f t="shared" si="118"/>
        <v>0</v>
      </c>
      <c r="AX155" s="1978">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8">
        <f t="shared" si="117"/>
        <v>0</v>
      </c>
      <c r="AW156" s="1978">
        <f t="shared" si="118"/>
        <v>0</v>
      </c>
      <c r="AX156" s="1978">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8">
        <f t="shared" si="117"/>
        <v>0</v>
      </c>
      <c r="AW157" s="1978">
        <f t="shared" si="118"/>
        <v>0</v>
      </c>
      <c r="AX157" s="1978">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8">
        <f t="shared" si="117"/>
        <v>0</v>
      </c>
      <c r="AW158" s="1978">
        <f t="shared" si="118"/>
        <v>0</v>
      </c>
      <c r="AX158" s="1978">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8">
        <f t="shared" si="117"/>
        <v>0</v>
      </c>
      <c r="AW159" s="1978">
        <f t="shared" si="118"/>
        <v>0</v>
      </c>
      <c r="AX159" s="1978">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8">
        <f t="shared" si="117"/>
        <v>0</v>
      </c>
      <c r="AW160" s="1978">
        <f t="shared" si="118"/>
        <v>0</v>
      </c>
      <c r="AX160" s="1978">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8">
        <f t="shared" si="117"/>
        <v>0</v>
      </c>
      <c r="AW161" s="1978">
        <f t="shared" si="118"/>
        <v>0</v>
      </c>
      <c r="AX161" s="1978">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8">
        <f t="shared" si="117"/>
        <v>0</v>
      </c>
      <c r="AW162" s="1978">
        <f t="shared" si="118"/>
        <v>0</v>
      </c>
      <c r="AX162" s="1978">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8">
        <f t="shared" si="117"/>
        <v>0</v>
      </c>
      <c r="AW163" s="1978">
        <f t="shared" si="118"/>
        <v>0</v>
      </c>
      <c r="AX163" s="1978">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8">
        <f t="shared" si="117"/>
        <v>0</v>
      </c>
      <c r="AW164" s="1978">
        <f t="shared" si="118"/>
        <v>0</v>
      </c>
      <c r="AX164" s="1978">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8">
        <f t="shared" si="117"/>
        <v>0</v>
      </c>
      <c r="AW165" s="1978">
        <f t="shared" si="118"/>
        <v>0</v>
      </c>
      <c r="AX165" s="1978">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8">
        <f t="shared" si="117"/>
        <v>0</v>
      </c>
      <c r="AW166" s="1978">
        <f t="shared" si="118"/>
        <v>0</v>
      </c>
      <c r="AX166" s="1978">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8">
        <f t="shared" si="117"/>
        <v>0</v>
      </c>
      <c r="AW167" s="1978">
        <f t="shared" si="118"/>
        <v>0</v>
      </c>
      <c r="AX167" s="1978">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8">
        <f t="shared" si="117"/>
        <v>0</v>
      </c>
      <c r="AW168" s="1978">
        <f t="shared" si="118"/>
        <v>0</v>
      </c>
      <c r="AX168" s="1978">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8">
        <f t="shared" si="117"/>
        <v>0</v>
      </c>
      <c r="AW169" s="1978">
        <f t="shared" si="118"/>
        <v>0</v>
      </c>
      <c r="AX169" s="1978">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8">
        <f t="shared" si="117"/>
        <v>0</v>
      </c>
      <c r="AW170" s="1978">
        <f t="shared" si="118"/>
        <v>0</v>
      </c>
      <c r="AX170" s="1978">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8">
        <f t="shared" si="117"/>
        <v>0</v>
      </c>
      <c r="AW171" s="1978">
        <f t="shared" si="118"/>
        <v>0</v>
      </c>
      <c r="AX171" s="1978">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8">
        <f t="shared" si="117"/>
        <v>0</v>
      </c>
      <c r="AW172" s="1978">
        <f t="shared" si="118"/>
        <v>0</v>
      </c>
      <c r="AX172" s="1978">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8">
        <f t="shared" si="117"/>
        <v>0</v>
      </c>
      <c r="AW173" s="1978">
        <f t="shared" si="118"/>
        <v>0</v>
      </c>
      <c r="AX173" s="1978">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8">
        <f t="shared" si="117"/>
        <v>0</v>
      </c>
      <c r="AW174" s="1978">
        <f t="shared" si="118"/>
        <v>0</v>
      </c>
      <c r="AX174" s="1978">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8">
        <f t="shared" si="117"/>
        <v>0</v>
      </c>
      <c r="AW175" s="1978">
        <f t="shared" si="118"/>
        <v>0</v>
      </c>
      <c r="AX175" s="1978">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8">
        <f t="shared" si="117"/>
        <v>0</v>
      </c>
      <c r="AW176" s="1978">
        <f t="shared" si="118"/>
        <v>0</v>
      </c>
      <c r="AX176" s="1978">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8">
        <f t="shared" ref="AV177:AV204" si="146">A177</f>
        <v>0</v>
      </c>
      <c r="AW177" s="1978">
        <f t="shared" ref="AW177:AW204" si="147">B177</f>
        <v>0</v>
      </c>
      <c r="AX177" s="1978">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8">
        <f t="shared" si="146"/>
        <v>0</v>
      </c>
      <c r="AW178" s="1978">
        <f t="shared" si="147"/>
        <v>0</v>
      </c>
      <c r="AX178" s="1978">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8">
        <f t="shared" si="146"/>
        <v>0</v>
      </c>
      <c r="AW179" s="1978">
        <f t="shared" si="147"/>
        <v>0</v>
      </c>
      <c r="AX179" s="1978">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8">
        <f t="shared" si="146"/>
        <v>0</v>
      </c>
      <c r="AW180" s="1978">
        <f t="shared" si="147"/>
        <v>0</v>
      </c>
      <c r="AX180" s="1978">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8">
        <f t="shared" si="146"/>
        <v>0</v>
      </c>
      <c r="AW181" s="1978">
        <f t="shared" si="147"/>
        <v>0</v>
      </c>
      <c r="AX181" s="1978">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8">
        <f t="shared" si="146"/>
        <v>0</v>
      </c>
      <c r="AW182" s="1978">
        <f t="shared" si="147"/>
        <v>0</v>
      </c>
      <c r="AX182" s="1978">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8">
        <f t="shared" si="146"/>
        <v>0</v>
      </c>
      <c r="AW183" s="1978">
        <f t="shared" si="147"/>
        <v>0</v>
      </c>
      <c r="AX183" s="1978">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8">
        <f t="shared" si="146"/>
        <v>0</v>
      </c>
      <c r="AW184" s="1978">
        <f t="shared" si="147"/>
        <v>0</v>
      </c>
      <c r="AX184" s="1978">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8">
        <f t="shared" si="146"/>
        <v>0</v>
      </c>
      <c r="AW185" s="1978">
        <f t="shared" si="147"/>
        <v>0</v>
      </c>
      <c r="AX185" s="1978">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8">
        <f t="shared" si="146"/>
        <v>0</v>
      </c>
      <c r="AW186" s="1978">
        <f t="shared" si="147"/>
        <v>0</v>
      </c>
      <c r="AX186" s="1978">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8">
        <f t="shared" si="146"/>
        <v>0</v>
      </c>
      <c r="AW187" s="1978">
        <f t="shared" si="147"/>
        <v>0</v>
      </c>
      <c r="AX187" s="1978">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8">
        <f t="shared" si="146"/>
        <v>0</v>
      </c>
      <c r="AW188" s="1978">
        <f t="shared" si="147"/>
        <v>0</v>
      </c>
      <c r="AX188" s="1978">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8">
        <f t="shared" si="146"/>
        <v>0</v>
      </c>
      <c r="AW189" s="1978">
        <f t="shared" si="147"/>
        <v>0</v>
      </c>
      <c r="AX189" s="1978">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8">
        <f t="shared" si="146"/>
        <v>0</v>
      </c>
      <c r="AW190" s="1978">
        <f t="shared" si="147"/>
        <v>0</v>
      </c>
      <c r="AX190" s="1978">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8">
        <f t="shared" si="146"/>
        <v>0</v>
      </c>
      <c r="AW191" s="1978">
        <f t="shared" si="147"/>
        <v>0</v>
      </c>
      <c r="AX191" s="1978">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8">
        <f t="shared" si="146"/>
        <v>0</v>
      </c>
      <c r="AW192" s="1978">
        <f t="shared" si="147"/>
        <v>0</v>
      </c>
      <c r="AX192" s="1978">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8">
        <f t="shared" si="146"/>
        <v>0</v>
      </c>
      <c r="AW193" s="1978">
        <f t="shared" si="147"/>
        <v>0</v>
      </c>
      <c r="AX193" s="1978">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8">
        <f t="shared" si="146"/>
        <v>0</v>
      </c>
      <c r="AW194" s="1978">
        <f t="shared" si="147"/>
        <v>0</v>
      </c>
      <c r="AX194" s="1978">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8">
        <f t="shared" si="146"/>
        <v>0</v>
      </c>
      <c r="AW195" s="1978">
        <f t="shared" si="147"/>
        <v>0</v>
      </c>
      <c r="AX195" s="1978">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8">
        <f t="shared" si="146"/>
        <v>0</v>
      </c>
      <c r="AW196" s="1978">
        <f t="shared" si="147"/>
        <v>0</v>
      </c>
      <c r="AX196" s="1978">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8">
        <f t="shared" si="146"/>
        <v>0</v>
      </c>
      <c r="AW197" s="1978">
        <f t="shared" si="147"/>
        <v>0</v>
      </c>
      <c r="AX197" s="1978">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8">
        <f t="shared" si="146"/>
        <v>0</v>
      </c>
      <c r="AW198" s="1978">
        <f t="shared" si="147"/>
        <v>0</v>
      </c>
      <c r="AX198" s="1978">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8">
        <f t="shared" si="146"/>
        <v>0</v>
      </c>
      <c r="AW199" s="1978">
        <f t="shared" si="147"/>
        <v>0</v>
      </c>
      <c r="AX199" s="1978">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8">
        <f t="shared" si="146"/>
        <v>0</v>
      </c>
      <c r="AW200" s="1978">
        <f t="shared" si="147"/>
        <v>0</v>
      </c>
      <c r="AX200" s="1978">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8">
        <f t="shared" si="146"/>
        <v>0</v>
      </c>
      <c r="AW201" s="1978">
        <f t="shared" si="147"/>
        <v>0</v>
      </c>
      <c r="AX201" s="1978">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8">
        <f t="shared" si="146"/>
        <v>0</v>
      </c>
      <c r="AW202" s="1978">
        <f t="shared" si="147"/>
        <v>0</v>
      </c>
      <c r="AX202" s="1978">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8">
        <f t="shared" si="146"/>
        <v>0</v>
      </c>
      <c r="AW203" s="1978">
        <f t="shared" si="147"/>
        <v>0</v>
      </c>
      <c r="AX203" s="1978">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8">
        <f t="shared" si="146"/>
        <v>0</v>
      </c>
      <c r="AW204" s="1978">
        <f t="shared" si="147"/>
        <v>0</v>
      </c>
      <c r="AX204" s="1978">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92"/>
      <c r="C205" s="1393"/>
      <c r="D205" s="78"/>
      <c r="E205" s="85">
        <f t="shared" ref="E205:E296" si="149">IF($C$3="是",ROUND($A$3*G205/$B$3,2),ROUND($A$3*(G205-AT205)/$B$3,2))</f>
        <v>0</v>
      </c>
      <c r="F205" s="86"/>
      <c r="G205" s="87">
        <f t="shared" ref="G205:G293" si="150">H205+AC205+AT205</f>
        <v>0</v>
      </c>
      <c r="H205" s="88">
        <f t="shared" ref="H205:H293" si="151">SUMIF(I$12:AB$12,"总值",I205:AB205)</f>
        <v>0</v>
      </c>
      <c r="I205" s="1395"/>
      <c r="J205" s="89"/>
      <c r="K205" s="1395"/>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6"/>
      <c r="AG205" s="90"/>
      <c r="AH205" s="90"/>
      <c r="AI205" s="90"/>
      <c r="AJ205" s="90"/>
      <c r="AK205" s="90"/>
      <c r="AL205" s="90"/>
      <c r="AM205" s="90"/>
      <c r="AN205" s="1362"/>
      <c r="AO205" s="90"/>
      <c r="AP205" s="90"/>
      <c r="AQ205" s="90"/>
      <c r="AR205" s="90"/>
      <c r="AS205" s="90"/>
      <c r="AT205" s="91"/>
      <c r="AU205" s="92"/>
      <c r="AV205" s="1978">
        <f t="shared" ref="AV205:AV296" si="153">A205</f>
        <v>0</v>
      </c>
      <c r="AW205" s="1978">
        <f t="shared" ref="AW205:AW296" si="154">B205</f>
        <v>0</v>
      </c>
      <c r="AX205" s="1978">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92"/>
      <c r="C206" s="1393"/>
      <c r="D206" s="78"/>
      <c r="E206" s="85">
        <f t="shared" si="149"/>
        <v>0</v>
      </c>
      <c r="F206" s="86"/>
      <c r="G206" s="87">
        <f t="shared" si="150"/>
        <v>0</v>
      </c>
      <c r="H206" s="88">
        <f t="shared" si="151"/>
        <v>0</v>
      </c>
      <c r="I206" s="1395"/>
      <c r="J206" s="89"/>
      <c r="K206" s="1395"/>
      <c r="L206" s="89"/>
      <c r="M206" s="1362"/>
      <c r="N206" s="89"/>
      <c r="O206" s="89"/>
      <c r="P206" s="89"/>
      <c r="Q206" s="89"/>
      <c r="R206" s="89"/>
      <c r="S206" s="89"/>
      <c r="T206" s="89"/>
      <c r="U206" s="89"/>
      <c r="V206" s="89"/>
      <c r="W206" s="89"/>
      <c r="X206" s="89"/>
      <c r="Y206" s="89"/>
      <c r="Z206" s="89"/>
      <c r="AA206" s="89"/>
      <c r="AB206" s="89"/>
      <c r="AC206" s="85">
        <f t="shared" si="152"/>
        <v>0</v>
      </c>
      <c r="AD206" s="1362"/>
      <c r="AE206" s="90"/>
      <c r="AF206" s="1396"/>
      <c r="AG206" s="90"/>
      <c r="AH206" s="90"/>
      <c r="AI206" s="90"/>
      <c r="AJ206" s="90"/>
      <c r="AK206" s="90"/>
      <c r="AL206" s="1362"/>
      <c r="AM206" s="90"/>
      <c r="AN206" s="1362"/>
      <c r="AO206" s="90"/>
      <c r="AP206" s="90"/>
      <c r="AQ206" s="90"/>
      <c r="AR206" s="90"/>
      <c r="AS206" s="90"/>
      <c r="AT206" s="91"/>
      <c r="AU206" s="92"/>
      <c r="AV206" s="1978">
        <f t="shared" si="153"/>
        <v>0</v>
      </c>
      <c r="AW206" s="1978">
        <f t="shared" si="154"/>
        <v>0</v>
      </c>
      <c r="AX206" s="1978">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92"/>
      <c r="C207" s="1393"/>
      <c r="D207" s="78"/>
      <c r="E207" s="85">
        <f t="shared" si="149"/>
        <v>0</v>
      </c>
      <c r="F207" s="86"/>
      <c r="G207" s="87">
        <f t="shared" si="150"/>
        <v>0</v>
      </c>
      <c r="H207" s="88">
        <f t="shared" si="151"/>
        <v>0</v>
      </c>
      <c r="I207" s="1395"/>
      <c r="J207" s="89"/>
      <c r="K207" s="1395"/>
      <c r="L207" s="89"/>
      <c r="M207" s="1362"/>
      <c r="N207" s="89"/>
      <c r="O207" s="89"/>
      <c r="P207" s="89"/>
      <c r="Q207" s="89"/>
      <c r="R207" s="89"/>
      <c r="S207" s="89"/>
      <c r="T207" s="89"/>
      <c r="U207" s="89"/>
      <c r="V207" s="89"/>
      <c r="W207" s="89"/>
      <c r="X207" s="89"/>
      <c r="Y207" s="89"/>
      <c r="Z207" s="89"/>
      <c r="AA207" s="89"/>
      <c r="AB207" s="89"/>
      <c r="AC207" s="85">
        <f t="shared" si="152"/>
        <v>0</v>
      </c>
      <c r="AD207" s="90"/>
      <c r="AE207" s="90"/>
      <c r="AF207" s="1396"/>
      <c r="AG207" s="90"/>
      <c r="AH207" s="90"/>
      <c r="AI207" s="90"/>
      <c r="AJ207" s="90"/>
      <c r="AK207" s="90"/>
      <c r="AL207" s="1362"/>
      <c r="AM207" s="90"/>
      <c r="AN207" s="1362"/>
      <c r="AO207" s="90"/>
      <c r="AP207" s="90"/>
      <c r="AQ207" s="90"/>
      <c r="AR207" s="90"/>
      <c r="AS207" s="90"/>
      <c r="AT207" s="91"/>
      <c r="AU207" s="92"/>
      <c r="AV207" s="1978">
        <f t="shared" si="153"/>
        <v>0</v>
      </c>
      <c r="AW207" s="1978">
        <f t="shared" si="154"/>
        <v>0</v>
      </c>
      <c r="AX207" s="1978">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92"/>
      <c r="C208" s="1393"/>
      <c r="D208" s="78"/>
      <c r="E208" s="85">
        <f t="shared" si="149"/>
        <v>0</v>
      </c>
      <c r="F208" s="86"/>
      <c r="G208" s="87">
        <f t="shared" si="150"/>
        <v>0</v>
      </c>
      <c r="H208" s="88">
        <f t="shared" si="151"/>
        <v>0</v>
      </c>
      <c r="I208" s="1395"/>
      <c r="J208" s="89"/>
      <c r="K208" s="1395"/>
      <c r="L208" s="89"/>
      <c r="M208" s="89"/>
      <c r="N208" s="89"/>
      <c r="O208" s="1362"/>
      <c r="P208" s="89"/>
      <c r="Q208" s="89"/>
      <c r="R208" s="89"/>
      <c r="S208" s="89"/>
      <c r="T208" s="89"/>
      <c r="U208" s="89"/>
      <c r="V208" s="89"/>
      <c r="W208" s="89"/>
      <c r="X208" s="89"/>
      <c r="Y208" s="89"/>
      <c r="Z208" s="89"/>
      <c r="AA208" s="89"/>
      <c r="AB208" s="89"/>
      <c r="AC208" s="85">
        <f t="shared" si="152"/>
        <v>0</v>
      </c>
      <c r="AD208" s="90"/>
      <c r="AE208" s="90"/>
      <c r="AF208" s="1396"/>
      <c r="AG208" s="90"/>
      <c r="AH208" s="90"/>
      <c r="AI208" s="90"/>
      <c r="AJ208" s="90"/>
      <c r="AK208" s="90"/>
      <c r="AL208" s="90"/>
      <c r="AM208" s="90"/>
      <c r="AN208" s="1362"/>
      <c r="AO208" s="90"/>
      <c r="AP208" s="90"/>
      <c r="AQ208" s="90"/>
      <c r="AR208" s="90"/>
      <c r="AS208" s="90"/>
      <c r="AT208" s="91"/>
      <c r="AU208" s="92"/>
      <c r="AV208" s="1978">
        <f t="shared" si="153"/>
        <v>0</v>
      </c>
      <c r="AW208" s="1978">
        <f t="shared" si="154"/>
        <v>0</v>
      </c>
      <c r="AX208" s="1978">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92"/>
      <c r="C209" s="1393"/>
      <c r="D209" s="78"/>
      <c r="E209" s="85">
        <f t="shared" si="149"/>
        <v>0</v>
      </c>
      <c r="F209" s="86"/>
      <c r="G209" s="87">
        <f t="shared" si="150"/>
        <v>0</v>
      </c>
      <c r="H209" s="88">
        <f t="shared" si="151"/>
        <v>0</v>
      </c>
      <c r="I209" s="1395"/>
      <c r="J209" s="89"/>
      <c r="K209" s="1395"/>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6"/>
      <c r="AG209" s="90"/>
      <c r="AH209" s="90"/>
      <c r="AI209" s="90"/>
      <c r="AJ209" s="90"/>
      <c r="AK209" s="90"/>
      <c r="AL209" s="90"/>
      <c r="AM209" s="90"/>
      <c r="AN209" s="90"/>
      <c r="AO209" s="90"/>
      <c r="AP209" s="90"/>
      <c r="AQ209" s="90"/>
      <c r="AR209" s="90"/>
      <c r="AS209" s="90"/>
      <c r="AT209" s="91"/>
      <c r="AU209" s="92"/>
      <c r="AV209" s="1978">
        <f t="shared" si="153"/>
        <v>0</v>
      </c>
      <c r="AW209" s="1978">
        <f t="shared" si="154"/>
        <v>0</v>
      </c>
      <c r="AX209" s="1978">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92"/>
      <c r="C210" s="1393"/>
      <c r="D210" s="78"/>
      <c r="E210" s="85">
        <f t="shared" si="149"/>
        <v>0</v>
      </c>
      <c r="F210" s="86"/>
      <c r="G210" s="87">
        <f t="shared" si="150"/>
        <v>0</v>
      </c>
      <c r="H210" s="88">
        <f t="shared" si="151"/>
        <v>0</v>
      </c>
      <c r="I210" s="1395"/>
      <c r="J210" s="89"/>
      <c r="K210" s="1395"/>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6"/>
      <c r="AG210" s="90"/>
      <c r="AH210" s="90"/>
      <c r="AI210" s="90"/>
      <c r="AJ210" s="90"/>
      <c r="AK210" s="90"/>
      <c r="AL210" s="90"/>
      <c r="AM210" s="90"/>
      <c r="AN210" s="90"/>
      <c r="AO210" s="90"/>
      <c r="AP210" s="90"/>
      <c r="AQ210" s="90"/>
      <c r="AR210" s="90"/>
      <c r="AS210" s="90"/>
      <c r="AT210" s="91"/>
      <c r="AU210" s="92"/>
      <c r="AV210" s="1978">
        <f t="shared" si="153"/>
        <v>0</v>
      </c>
      <c r="AW210" s="1978">
        <f t="shared" si="154"/>
        <v>0</v>
      </c>
      <c r="AX210" s="1978">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92"/>
      <c r="C211" s="1393"/>
      <c r="D211" s="78"/>
      <c r="E211" s="85">
        <f t="shared" si="149"/>
        <v>0</v>
      </c>
      <c r="F211" s="86"/>
      <c r="G211" s="87">
        <f t="shared" si="150"/>
        <v>0</v>
      </c>
      <c r="H211" s="88">
        <f t="shared" si="151"/>
        <v>0</v>
      </c>
      <c r="I211" s="1395"/>
      <c r="J211" s="89"/>
      <c r="K211" s="1395"/>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6"/>
      <c r="AG211" s="90"/>
      <c r="AH211" s="90"/>
      <c r="AI211" s="90"/>
      <c r="AJ211" s="90"/>
      <c r="AK211" s="90"/>
      <c r="AL211" s="90"/>
      <c r="AM211" s="90"/>
      <c r="AN211" s="90"/>
      <c r="AO211" s="90"/>
      <c r="AP211" s="90"/>
      <c r="AQ211" s="90"/>
      <c r="AR211" s="90"/>
      <c r="AS211" s="90"/>
      <c r="AT211" s="91"/>
      <c r="AU211" s="92"/>
      <c r="AV211" s="1978">
        <f t="shared" si="153"/>
        <v>0</v>
      </c>
      <c r="AW211" s="1978">
        <f t="shared" si="154"/>
        <v>0</v>
      </c>
      <c r="AX211" s="1978">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92"/>
      <c r="C212" s="1393"/>
      <c r="D212" s="78"/>
      <c r="E212" s="85">
        <f t="shared" si="149"/>
        <v>0</v>
      </c>
      <c r="F212" s="86"/>
      <c r="G212" s="87">
        <f t="shared" si="150"/>
        <v>0</v>
      </c>
      <c r="H212" s="88">
        <f t="shared" si="151"/>
        <v>0</v>
      </c>
      <c r="I212" s="1395"/>
      <c r="J212" s="89"/>
      <c r="K212" s="1395"/>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5"/>
      <c r="AG212" s="90"/>
      <c r="AH212" s="90"/>
      <c r="AI212" s="90"/>
      <c r="AJ212" s="90"/>
      <c r="AK212" s="90"/>
      <c r="AL212" s="90"/>
      <c r="AM212" s="90"/>
      <c r="AN212" s="90"/>
      <c r="AO212" s="90"/>
      <c r="AP212" s="90"/>
      <c r="AQ212" s="90"/>
      <c r="AR212" s="90"/>
      <c r="AS212" s="90"/>
      <c r="AT212" s="91"/>
      <c r="AU212" s="92"/>
      <c r="AV212" s="1978">
        <f t="shared" si="153"/>
        <v>0</v>
      </c>
      <c r="AW212" s="1978">
        <f t="shared" si="154"/>
        <v>0</v>
      </c>
      <c r="AX212" s="1978">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4"/>
      <c r="C213" s="1395"/>
      <c r="D213" s="78"/>
      <c r="E213" s="85">
        <f t="shared" si="149"/>
        <v>0</v>
      </c>
      <c r="F213" s="86"/>
      <c r="G213" s="87">
        <f t="shared" si="150"/>
        <v>0</v>
      </c>
      <c r="H213" s="88">
        <f t="shared" si="151"/>
        <v>0</v>
      </c>
      <c r="I213" s="1395"/>
      <c r="J213" s="89"/>
      <c r="K213" s="1395"/>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5"/>
      <c r="AG213" s="90"/>
      <c r="AH213" s="90"/>
      <c r="AI213" s="90"/>
      <c r="AJ213" s="90"/>
      <c r="AK213" s="90"/>
      <c r="AL213" s="90"/>
      <c r="AM213" s="90"/>
      <c r="AN213" s="90"/>
      <c r="AO213" s="90"/>
      <c r="AP213" s="90"/>
      <c r="AQ213" s="90"/>
      <c r="AR213" s="90"/>
      <c r="AS213" s="90"/>
      <c r="AT213" s="91"/>
      <c r="AU213" s="92"/>
      <c r="AV213" s="1978">
        <f t="shared" si="153"/>
        <v>0</v>
      </c>
      <c r="AW213" s="1978">
        <f t="shared" si="154"/>
        <v>0</v>
      </c>
      <c r="AX213" s="1978">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92"/>
      <c r="C214" s="1393"/>
      <c r="D214" s="78"/>
      <c r="E214" s="85">
        <f t="shared" si="149"/>
        <v>0</v>
      </c>
      <c r="F214" s="86"/>
      <c r="G214" s="87">
        <f t="shared" si="150"/>
        <v>0</v>
      </c>
      <c r="H214" s="88">
        <f t="shared" si="151"/>
        <v>0</v>
      </c>
      <c r="I214" s="1395"/>
      <c r="J214" s="89"/>
      <c r="K214" s="1395"/>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5"/>
      <c r="AG214" s="90"/>
      <c r="AH214" s="90"/>
      <c r="AI214" s="90"/>
      <c r="AJ214" s="90"/>
      <c r="AK214" s="90"/>
      <c r="AL214" s="90"/>
      <c r="AM214" s="90"/>
      <c r="AN214" s="90"/>
      <c r="AO214" s="90"/>
      <c r="AP214" s="90"/>
      <c r="AQ214" s="90"/>
      <c r="AR214" s="90"/>
      <c r="AS214" s="90"/>
      <c r="AT214" s="91"/>
      <c r="AU214" s="92"/>
      <c r="AV214" s="1978">
        <f t="shared" si="153"/>
        <v>0</v>
      </c>
      <c r="AW214" s="1978">
        <f t="shared" si="154"/>
        <v>0</v>
      </c>
      <c r="AX214" s="1978">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92"/>
      <c r="C215" s="1393"/>
      <c r="D215" s="78"/>
      <c r="E215" s="85">
        <f t="shared" si="149"/>
        <v>0</v>
      </c>
      <c r="F215" s="86"/>
      <c r="G215" s="87">
        <f t="shared" si="150"/>
        <v>0</v>
      </c>
      <c r="H215" s="88">
        <f t="shared" si="151"/>
        <v>0</v>
      </c>
      <c r="I215" s="1395"/>
      <c r="J215" s="89"/>
      <c r="K215" s="1395"/>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5"/>
      <c r="AG215" s="90"/>
      <c r="AH215" s="90"/>
      <c r="AI215" s="90"/>
      <c r="AJ215" s="90"/>
      <c r="AK215" s="90"/>
      <c r="AL215" s="90"/>
      <c r="AM215" s="90"/>
      <c r="AN215" s="90"/>
      <c r="AO215" s="90"/>
      <c r="AP215" s="90"/>
      <c r="AQ215" s="90"/>
      <c r="AR215" s="90"/>
      <c r="AS215" s="90"/>
      <c r="AT215" s="91"/>
      <c r="AU215" s="92"/>
      <c r="AV215" s="1978">
        <f t="shared" si="153"/>
        <v>0</v>
      </c>
      <c r="AW215" s="1978">
        <f t="shared" si="154"/>
        <v>0</v>
      </c>
      <c r="AX215" s="1978">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92"/>
      <c r="C216" s="1393"/>
      <c r="D216" s="78"/>
      <c r="E216" s="85">
        <f t="shared" si="149"/>
        <v>0</v>
      </c>
      <c r="F216" s="86"/>
      <c r="G216" s="87">
        <f t="shared" si="150"/>
        <v>0</v>
      </c>
      <c r="H216" s="88">
        <f t="shared" si="151"/>
        <v>0</v>
      </c>
      <c r="I216" s="1395"/>
      <c r="J216" s="89"/>
      <c r="K216" s="1395"/>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5"/>
      <c r="AG216" s="90"/>
      <c r="AH216" s="90"/>
      <c r="AI216" s="90"/>
      <c r="AJ216" s="90"/>
      <c r="AK216" s="90"/>
      <c r="AL216" s="90"/>
      <c r="AM216" s="90"/>
      <c r="AN216" s="90"/>
      <c r="AO216" s="90"/>
      <c r="AP216" s="90"/>
      <c r="AQ216" s="90"/>
      <c r="AR216" s="90"/>
      <c r="AS216" s="90"/>
      <c r="AT216" s="91"/>
      <c r="AU216" s="92"/>
      <c r="AV216" s="1978">
        <f t="shared" si="153"/>
        <v>0</v>
      </c>
      <c r="AW216" s="1978">
        <f t="shared" si="154"/>
        <v>0</v>
      </c>
      <c r="AX216" s="1978">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92"/>
      <c r="C217" s="1393"/>
      <c r="D217" s="78"/>
      <c r="E217" s="85">
        <f t="shared" si="149"/>
        <v>0</v>
      </c>
      <c r="F217" s="86"/>
      <c r="G217" s="87">
        <f t="shared" si="150"/>
        <v>0</v>
      </c>
      <c r="H217" s="88">
        <f t="shared" si="151"/>
        <v>0</v>
      </c>
      <c r="I217" s="1395"/>
      <c r="J217" s="89"/>
      <c r="K217" s="1395"/>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5"/>
      <c r="AG217" s="90"/>
      <c r="AH217" s="90"/>
      <c r="AI217" s="90"/>
      <c r="AJ217" s="90"/>
      <c r="AK217" s="90"/>
      <c r="AL217" s="90"/>
      <c r="AM217" s="90"/>
      <c r="AN217" s="90"/>
      <c r="AO217" s="90"/>
      <c r="AP217" s="90"/>
      <c r="AQ217" s="90"/>
      <c r="AR217" s="90"/>
      <c r="AS217" s="90"/>
      <c r="AT217" s="91"/>
      <c r="AU217" s="92"/>
      <c r="AV217" s="1978">
        <f t="shared" si="153"/>
        <v>0</v>
      </c>
      <c r="AW217" s="1978">
        <f t="shared" si="154"/>
        <v>0</v>
      </c>
      <c r="AX217" s="1978">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92"/>
      <c r="C218" s="1393"/>
      <c r="D218" s="78"/>
      <c r="E218" s="85">
        <f t="shared" si="149"/>
        <v>0</v>
      </c>
      <c r="F218" s="86"/>
      <c r="G218" s="87">
        <f t="shared" si="150"/>
        <v>0</v>
      </c>
      <c r="H218" s="88">
        <f t="shared" si="151"/>
        <v>0</v>
      </c>
      <c r="I218" s="1395"/>
      <c r="J218" s="89"/>
      <c r="K218" s="1395"/>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5"/>
      <c r="AG218" s="90"/>
      <c r="AH218" s="90"/>
      <c r="AI218" s="90"/>
      <c r="AJ218" s="90"/>
      <c r="AK218" s="90"/>
      <c r="AL218" s="90"/>
      <c r="AM218" s="90"/>
      <c r="AN218" s="90"/>
      <c r="AO218" s="90"/>
      <c r="AP218" s="90"/>
      <c r="AQ218" s="90"/>
      <c r="AR218" s="90"/>
      <c r="AS218" s="90"/>
      <c r="AT218" s="91"/>
      <c r="AU218" s="92"/>
      <c r="AV218" s="1978">
        <f t="shared" si="153"/>
        <v>0</v>
      </c>
      <c r="AW218" s="1978">
        <f t="shared" si="154"/>
        <v>0</v>
      </c>
      <c r="AX218" s="1978">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92"/>
      <c r="C219" s="1393"/>
      <c r="D219" s="78"/>
      <c r="E219" s="85">
        <f t="shared" si="149"/>
        <v>0</v>
      </c>
      <c r="F219" s="86"/>
      <c r="G219" s="87">
        <f t="shared" si="150"/>
        <v>0</v>
      </c>
      <c r="H219" s="88">
        <f t="shared" si="151"/>
        <v>0</v>
      </c>
      <c r="I219" s="1395"/>
      <c r="J219" s="89"/>
      <c r="K219" s="1395"/>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5"/>
      <c r="AG219" s="90"/>
      <c r="AH219" s="90"/>
      <c r="AI219" s="90"/>
      <c r="AJ219" s="90"/>
      <c r="AK219" s="90"/>
      <c r="AL219" s="90"/>
      <c r="AM219" s="90"/>
      <c r="AN219" s="90"/>
      <c r="AO219" s="90"/>
      <c r="AP219" s="90"/>
      <c r="AQ219" s="90"/>
      <c r="AR219" s="90"/>
      <c r="AS219" s="90"/>
      <c r="AT219" s="91"/>
      <c r="AU219" s="92"/>
      <c r="AV219" s="1978">
        <f t="shared" si="153"/>
        <v>0</v>
      </c>
      <c r="AW219" s="1978">
        <f t="shared" si="154"/>
        <v>0</v>
      </c>
      <c r="AX219" s="1978">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92"/>
      <c r="C220" s="1393"/>
      <c r="D220" s="78"/>
      <c r="E220" s="85">
        <f t="shared" si="149"/>
        <v>0</v>
      </c>
      <c r="F220" s="86"/>
      <c r="G220" s="87">
        <f t="shared" si="150"/>
        <v>0</v>
      </c>
      <c r="H220" s="88">
        <f t="shared" si="151"/>
        <v>0</v>
      </c>
      <c r="I220" s="1395"/>
      <c r="J220" s="89"/>
      <c r="K220" s="1395"/>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5"/>
      <c r="AG220" s="90"/>
      <c r="AH220" s="90"/>
      <c r="AI220" s="90"/>
      <c r="AJ220" s="90"/>
      <c r="AK220" s="90"/>
      <c r="AL220" s="90"/>
      <c r="AM220" s="90"/>
      <c r="AN220" s="90"/>
      <c r="AO220" s="90"/>
      <c r="AP220" s="90"/>
      <c r="AQ220" s="90"/>
      <c r="AR220" s="90"/>
      <c r="AS220" s="90"/>
      <c r="AT220" s="91"/>
      <c r="AU220" s="92"/>
      <c r="AV220" s="1978">
        <f t="shared" si="153"/>
        <v>0</v>
      </c>
      <c r="AW220" s="1978">
        <f t="shared" si="154"/>
        <v>0</v>
      </c>
      <c r="AX220" s="1978">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92"/>
      <c r="C221" s="1393"/>
      <c r="D221" s="78"/>
      <c r="E221" s="85">
        <f t="shared" si="149"/>
        <v>0</v>
      </c>
      <c r="F221" s="86"/>
      <c r="G221" s="87">
        <f t="shared" si="150"/>
        <v>0</v>
      </c>
      <c r="H221" s="88">
        <f t="shared" si="151"/>
        <v>0</v>
      </c>
      <c r="I221" s="1395"/>
      <c r="J221" s="89"/>
      <c r="K221" s="1395"/>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5"/>
      <c r="AG221" s="90"/>
      <c r="AH221" s="90"/>
      <c r="AI221" s="90"/>
      <c r="AJ221" s="90"/>
      <c r="AK221" s="90"/>
      <c r="AL221" s="90"/>
      <c r="AM221" s="90"/>
      <c r="AN221" s="90"/>
      <c r="AO221" s="90"/>
      <c r="AP221" s="90"/>
      <c r="AQ221" s="90"/>
      <c r="AR221" s="90"/>
      <c r="AS221" s="90"/>
      <c r="AT221" s="91"/>
      <c r="AU221" s="92"/>
      <c r="AV221" s="1978">
        <f t="shared" si="153"/>
        <v>0</v>
      </c>
      <c r="AW221" s="1978">
        <f t="shared" si="154"/>
        <v>0</v>
      </c>
      <c r="AX221" s="1978">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92"/>
      <c r="C222" s="1393"/>
      <c r="D222" s="78"/>
      <c r="E222" s="85">
        <f t="shared" si="149"/>
        <v>0</v>
      </c>
      <c r="F222" s="86"/>
      <c r="G222" s="87">
        <f t="shared" si="150"/>
        <v>0</v>
      </c>
      <c r="H222" s="88">
        <f t="shared" si="151"/>
        <v>0</v>
      </c>
      <c r="I222" s="1395"/>
      <c r="J222" s="89"/>
      <c r="K222" s="1395"/>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5"/>
      <c r="AG222" s="90"/>
      <c r="AH222" s="90"/>
      <c r="AI222" s="90"/>
      <c r="AJ222" s="90"/>
      <c r="AK222" s="90"/>
      <c r="AL222" s="90"/>
      <c r="AM222" s="90"/>
      <c r="AN222" s="90"/>
      <c r="AO222" s="90"/>
      <c r="AP222" s="90"/>
      <c r="AQ222" s="90"/>
      <c r="AR222" s="90"/>
      <c r="AS222" s="90"/>
      <c r="AT222" s="91"/>
      <c r="AU222" s="92"/>
      <c r="AV222" s="1978">
        <f t="shared" si="153"/>
        <v>0</v>
      </c>
      <c r="AW222" s="1978">
        <f t="shared" si="154"/>
        <v>0</v>
      </c>
      <c r="AX222" s="1978">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92"/>
      <c r="C223" s="1393"/>
      <c r="D223" s="78"/>
      <c r="E223" s="85">
        <f t="shared" si="149"/>
        <v>0</v>
      </c>
      <c r="F223" s="86"/>
      <c r="G223" s="87">
        <f t="shared" si="150"/>
        <v>0</v>
      </c>
      <c r="H223" s="88">
        <f t="shared" si="151"/>
        <v>0</v>
      </c>
      <c r="I223" s="1395"/>
      <c r="J223" s="89"/>
      <c r="K223" s="1395"/>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5"/>
      <c r="AG223" s="90"/>
      <c r="AH223" s="90"/>
      <c r="AI223" s="90"/>
      <c r="AJ223" s="90"/>
      <c r="AK223" s="90"/>
      <c r="AL223" s="90"/>
      <c r="AM223" s="90"/>
      <c r="AN223" s="90"/>
      <c r="AO223" s="90"/>
      <c r="AP223" s="90"/>
      <c r="AQ223" s="90"/>
      <c r="AR223" s="90"/>
      <c r="AS223" s="90"/>
      <c r="AT223" s="91"/>
      <c r="AU223" s="92"/>
      <c r="AV223" s="1978">
        <f t="shared" si="153"/>
        <v>0</v>
      </c>
      <c r="AW223" s="1978">
        <f t="shared" si="154"/>
        <v>0</v>
      </c>
      <c r="AX223" s="1978">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92"/>
      <c r="C224" s="1393"/>
      <c r="D224" s="78"/>
      <c r="E224" s="85">
        <f t="shared" si="149"/>
        <v>0</v>
      </c>
      <c r="F224" s="86"/>
      <c r="G224" s="87">
        <f t="shared" si="150"/>
        <v>0</v>
      </c>
      <c r="H224" s="88">
        <f t="shared" si="151"/>
        <v>0</v>
      </c>
      <c r="I224" s="1395"/>
      <c r="J224" s="89"/>
      <c r="K224" s="1395"/>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5"/>
      <c r="AG224" s="90"/>
      <c r="AH224" s="90"/>
      <c r="AI224" s="90"/>
      <c r="AJ224" s="90"/>
      <c r="AK224" s="90"/>
      <c r="AL224" s="90"/>
      <c r="AM224" s="90"/>
      <c r="AN224" s="90"/>
      <c r="AO224" s="90"/>
      <c r="AP224" s="90"/>
      <c r="AQ224" s="90"/>
      <c r="AR224" s="90"/>
      <c r="AS224" s="90"/>
      <c r="AT224" s="91"/>
      <c r="AU224" s="92"/>
      <c r="AV224" s="1978">
        <f t="shared" si="153"/>
        <v>0</v>
      </c>
      <c r="AW224" s="1978">
        <f t="shared" si="154"/>
        <v>0</v>
      </c>
      <c r="AX224" s="1978">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92"/>
      <c r="C225" s="1393"/>
      <c r="D225" s="78"/>
      <c r="E225" s="85">
        <f t="shared" si="149"/>
        <v>0</v>
      </c>
      <c r="F225" s="86"/>
      <c r="G225" s="87">
        <f t="shared" si="150"/>
        <v>0</v>
      </c>
      <c r="H225" s="88">
        <f t="shared" si="151"/>
        <v>0</v>
      </c>
      <c r="I225" s="1395"/>
      <c r="J225" s="89"/>
      <c r="K225" s="1395"/>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5"/>
      <c r="AG225" s="90"/>
      <c r="AH225" s="90"/>
      <c r="AI225" s="90"/>
      <c r="AJ225" s="90"/>
      <c r="AK225" s="90"/>
      <c r="AL225" s="90"/>
      <c r="AM225" s="90"/>
      <c r="AN225" s="90"/>
      <c r="AO225" s="90"/>
      <c r="AP225" s="90"/>
      <c r="AQ225" s="90"/>
      <c r="AR225" s="90"/>
      <c r="AS225" s="90"/>
      <c r="AT225" s="91"/>
      <c r="AU225" s="92"/>
      <c r="AV225" s="1978">
        <f t="shared" si="153"/>
        <v>0</v>
      </c>
      <c r="AW225" s="1978">
        <f t="shared" si="154"/>
        <v>0</v>
      </c>
      <c r="AX225" s="1978">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92"/>
      <c r="C226" s="1393"/>
      <c r="D226" s="78"/>
      <c r="E226" s="85">
        <f t="shared" si="149"/>
        <v>0</v>
      </c>
      <c r="F226" s="86"/>
      <c r="G226" s="87">
        <f t="shared" si="150"/>
        <v>0</v>
      </c>
      <c r="H226" s="88">
        <f t="shared" si="151"/>
        <v>0</v>
      </c>
      <c r="I226" s="1395"/>
      <c r="J226" s="89"/>
      <c r="K226" s="1395"/>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5"/>
      <c r="AG226" s="90"/>
      <c r="AH226" s="90"/>
      <c r="AI226" s="90"/>
      <c r="AJ226" s="90"/>
      <c r="AK226" s="90"/>
      <c r="AL226" s="90"/>
      <c r="AM226" s="90"/>
      <c r="AN226" s="90"/>
      <c r="AO226" s="90"/>
      <c r="AP226" s="90"/>
      <c r="AQ226" s="90"/>
      <c r="AR226" s="90"/>
      <c r="AS226" s="90"/>
      <c r="AT226" s="91"/>
      <c r="AU226" s="92"/>
      <c r="AV226" s="1978">
        <f t="shared" si="153"/>
        <v>0</v>
      </c>
      <c r="AW226" s="1978">
        <f t="shared" si="154"/>
        <v>0</v>
      </c>
      <c r="AX226" s="1978">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92"/>
      <c r="C227" s="1393"/>
      <c r="D227" s="78"/>
      <c r="E227" s="85">
        <f t="shared" si="149"/>
        <v>0</v>
      </c>
      <c r="F227" s="86"/>
      <c r="G227" s="87">
        <f t="shared" si="150"/>
        <v>0</v>
      </c>
      <c r="H227" s="88">
        <f t="shared" si="151"/>
        <v>0</v>
      </c>
      <c r="I227" s="1395"/>
      <c r="J227" s="89"/>
      <c r="K227" s="1395"/>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5"/>
      <c r="AG227" s="90"/>
      <c r="AH227" s="90"/>
      <c r="AI227" s="90"/>
      <c r="AJ227" s="90"/>
      <c r="AK227" s="90"/>
      <c r="AL227" s="90"/>
      <c r="AM227" s="90"/>
      <c r="AN227" s="90"/>
      <c r="AO227" s="90"/>
      <c r="AP227" s="90"/>
      <c r="AQ227" s="90"/>
      <c r="AR227" s="90"/>
      <c r="AS227" s="90"/>
      <c r="AT227" s="91"/>
      <c r="AU227" s="92"/>
      <c r="AV227" s="1978">
        <f t="shared" si="153"/>
        <v>0</v>
      </c>
      <c r="AW227" s="1978">
        <f t="shared" si="154"/>
        <v>0</v>
      </c>
      <c r="AX227" s="1978">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92"/>
      <c r="C228" s="1393"/>
      <c r="D228" s="78"/>
      <c r="E228" s="85">
        <f t="shared" si="149"/>
        <v>0</v>
      </c>
      <c r="F228" s="86"/>
      <c r="G228" s="87">
        <f t="shared" si="150"/>
        <v>0</v>
      </c>
      <c r="H228" s="88">
        <f t="shared" si="151"/>
        <v>0</v>
      </c>
      <c r="I228" s="1395"/>
      <c r="J228" s="89"/>
      <c r="K228" s="1395"/>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5"/>
      <c r="AG228" s="90"/>
      <c r="AH228" s="90"/>
      <c r="AI228" s="90"/>
      <c r="AJ228" s="90"/>
      <c r="AK228" s="90"/>
      <c r="AL228" s="90"/>
      <c r="AM228" s="90"/>
      <c r="AN228" s="90"/>
      <c r="AO228" s="90"/>
      <c r="AP228" s="90"/>
      <c r="AQ228" s="90"/>
      <c r="AR228" s="90"/>
      <c r="AS228" s="90"/>
      <c r="AT228" s="91"/>
      <c r="AU228" s="92"/>
      <c r="AV228" s="1978">
        <f t="shared" si="153"/>
        <v>0</v>
      </c>
      <c r="AW228" s="1978">
        <f t="shared" si="154"/>
        <v>0</v>
      </c>
      <c r="AX228" s="1978">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92"/>
      <c r="C229" s="1393"/>
      <c r="D229" s="78"/>
      <c r="E229" s="85">
        <f t="shared" si="149"/>
        <v>0</v>
      </c>
      <c r="F229" s="86"/>
      <c r="G229" s="87">
        <f t="shared" si="150"/>
        <v>0</v>
      </c>
      <c r="H229" s="88">
        <f t="shared" si="151"/>
        <v>0</v>
      </c>
      <c r="I229" s="1395"/>
      <c r="J229" s="89"/>
      <c r="K229" s="1395"/>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5"/>
      <c r="AG229" s="90"/>
      <c r="AH229" s="90"/>
      <c r="AI229" s="90"/>
      <c r="AJ229" s="90"/>
      <c r="AK229" s="90"/>
      <c r="AL229" s="90"/>
      <c r="AM229" s="90"/>
      <c r="AN229" s="90"/>
      <c r="AO229" s="90"/>
      <c r="AP229" s="90"/>
      <c r="AQ229" s="90"/>
      <c r="AR229" s="90"/>
      <c r="AS229" s="90"/>
      <c r="AT229" s="91"/>
      <c r="AU229" s="92"/>
      <c r="AV229" s="1978">
        <f t="shared" si="153"/>
        <v>0</v>
      </c>
      <c r="AW229" s="1978">
        <f t="shared" si="154"/>
        <v>0</v>
      </c>
      <c r="AX229" s="1978">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92"/>
      <c r="C230" s="1393"/>
      <c r="D230" s="78"/>
      <c r="E230" s="85">
        <f t="shared" si="149"/>
        <v>0</v>
      </c>
      <c r="F230" s="86"/>
      <c r="G230" s="87">
        <f t="shared" si="150"/>
        <v>0</v>
      </c>
      <c r="H230" s="88">
        <f t="shared" si="151"/>
        <v>0</v>
      </c>
      <c r="I230" s="1395"/>
      <c r="J230" s="89"/>
      <c r="K230" s="1395"/>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5"/>
      <c r="AG230" s="90"/>
      <c r="AH230" s="90"/>
      <c r="AI230" s="90"/>
      <c r="AJ230" s="90"/>
      <c r="AK230" s="90"/>
      <c r="AL230" s="90"/>
      <c r="AM230" s="90"/>
      <c r="AN230" s="90"/>
      <c r="AO230" s="90"/>
      <c r="AP230" s="90"/>
      <c r="AQ230" s="90"/>
      <c r="AR230" s="90"/>
      <c r="AS230" s="90"/>
      <c r="AT230" s="91"/>
      <c r="AU230" s="92"/>
      <c r="AV230" s="1978">
        <f t="shared" si="153"/>
        <v>0</v>
      </c>
      <c r="AW230" s="1978">
        <f t="shared" si="154"/>
        <v>0</v>
      </c>
      <c r="AX230" s="1978">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92"/>
      <c r="C231" s="1393"/>
      <c r="D231" s="78"/>
      <c r="E231" s="85">
        <f t="shared" si="149"/>
        <v>0</v>
      </c>
      <c r="F231" s="86"/>
      <c r="G231" s="87">
        <f t="shared" si="150"/>
        <v>0</v>
      </c>
      <c r="H231" s="88">
        <f t="shared" si="151"/>
        <v>0</v>
      </c>
      <c r="I231" s="1395"/>
      <c r="J231" s="89"/>
      <c r="K231" s="1395"/>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3"/>
      <c r="AG231" s="90"/>
      <c r="AH231" s="90"/>
      <c r="AI231" s="90"/>
      <c r="AJ231" s="90"/>
      <c r="AK231" s="90"/>
      <c r="AL231" s="90"/>
      <c r="AM231" s="90"/>
      <c r="AN231" s="90"/>
      <c r="AO231" s="90"/>
      <c r="AP231" s="90"/>
      <c r="AQ231" s="90"/>
      <c r="AR231" s="90"/>
      <c r="AS231" s="90"/>
      <c r="AT231" s="91"/>
      <c r="AU231" s="92"/>
      <c r="AV231" s="1978">
        <f t="shared" si="153"/>
        <v>0</v>
      </c>
      <c r="AW231" s="1978">
        <f t="shared" si="154"/>
        <v>0</v>
      </c>
      <c r="AX231" s="1978">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92"/>
      <c r="C232" s="1393"/>
      <c r="D232" s="78"/>
      <c r="E232" s="85">
        <f t="shared" si="149"/>
        <v>0</v>
      </c>
      <c r="F232" s="86"/>
      <c r="G232" s="87">
        <f t="shared" si="150"/>
        <v>0</v>
      </c>
      <c r="H232" s="88">
        <f t="shared" si="151"/>
        <v>0</v>
      </c>
      <c r="I232" s="1393"/>
      <c r="J232" s="89"/>
      <c r="K232" s="1393"/>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3"/>
      <c r="AG232" s="90"/>
      <c r="AH232" s="90"/>
      <c r="AI232" s="90"/>
      <c r="AJ232" s="90"/>
      <c r="AK232" s="90"/>
      <c r="AL232" s="90"/>
      <c r="AM232" s="90"/>
      <c r="AN232" s="90"/>
      <c r="AO232" s="90"/>
      <c r="AP232" s="90"/>
      <c r="AQ232" s="90"/>
      <c r="AR232" s="90"/>
      <c r="AS232" s="90"/>
      <c r="AT232" s="91"/>
      <c r="AU232" s="92"/>
      <c r="AV232" s="1978">
        <f t="shared" si="153"/>
        <v>0</v>
      </c>
      <c r="AW232" s="1978">
        <f t="shared" si="154"/>
        <v>0</v>
      </c>
      <c r="AX232" s="1978">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92"/>
      <c r="C233" s="1393"/>
      <c r="D233" s="78"/>
      <c r="E233" s="85">
        <f t="shared" si="149"/>
        <v>0</v>
      </c>
      <c r="F233" s="86"/>
      <c r="G233" s="87">
        <f t="shared" si="150"/>
        <v>0</v>
      </c>
      <c r="H233" s="88">
        <f t="shared" si="151"/>
        <v>0</v>
      </c>
      <c r="I233" s="1393"/>
      <c r="J233" s="89"/>
      <c r="K233" s="1393"/>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3"/>
      <c r="AG233" s="90"/>
      <c r="AH233" s="90"/>
      <c r="AI233" s="90"/>
      <c r="AJ233" s="90"/>
      <c r="AK233" s="90"/>
      <c r="AL233" s="90"/>
      <c r="AM233" s="90"/>
      <c r="AN233" s="90"/>
      <c r="AO233" s="90"/>
      <c r="AP233" s="90"/>
      <c r="AQ233" s="90"/>
      <c r="AR233" s="90"/>
      <c r="AS233" s="90"/>
      <c r="AT233" s="91"/>
      <c r="AU233" s="92"/>
      <c r="AV233" s="1978">
        <f t="shared" si="153"/>
        <v>0</v>
      </c>
      <c r="AW233" s="1978">
        <f t="shared" si="154"/>
        <v>0</v>
      </c>
      <c r="AX233" s="1978">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92"/>
      <c r="C234" s="1393"/>
      <c r="D234" s="78"/>
      <c r="E234" s="85">
        <f t="shared" si="149"/>
        <v>0</v>
      </c>
      <c r="F234" s="86"/>
      <c r="G234" s="87">
        <f t="shared" si="150"/>
        <v>0</v>
      </c>
      <c r="H234" s="88">
        <f t="shared" si="151"/>
        <v>0</v>
      </c>
      <c r="I234" s="1393"/>
      <c r="J234" s="89"/>
      <c r="K234" s="1393"/>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3"/>
      <c r="AG234" s="90"/>
      <c r="AH234" s="90"/>
      <c r="AI234" s="90"/>
      <c r="AJ234" s="90"/>
      <c r="AK234" s="90"/>
      <c r="AL234" s="90"/>
      <c r="AM234" s="90"/>
      <c r="AN234" s="90"/>
      <c r="AO234" s="90"/>
      <c r="AP234" s="90"/>
      <c r="AQ234" s="90"/>
      <c r="AR234" s="90"/>
      <c r="AS234" s="90"/>
      <c r="AT234" s="91"/>
      <c r="AU234" s="92"/>
      <c r="AV234" s="1978">
        <f t="shared" si="153"/>
        <v>0</v>
      </c>
      <c r="AW234" s="1978">
        <f t="shared" si="154"/>
        <v>0</v>
      </c>
      <c r="AX234" s="1978">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92"/>
      <c r="C235" s="1393"/>
      <c r="D235" s="78"/>
      <c r="E235" s="85">
        <f t="shared" si="149"/>
        <v>0</v>
      </c>
      <c r="F235" s="86"/>
      <c r="G235" s="87">
        <f t="shared" si="150"/>
        <v>0</v>
      </c>
      <c r="H235" s="88">
        <f t="shared" si="151"/>
        <v>0</v>
      </c>
      <c r="I235" s="1393"/>
      <c r="J235" s="89"/>
      <c r="K235" s="1393"/>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3"/>
      <c r="AG235" s="90"/>
      <c r="AH235" s="90"/>
      <c r="AI235" s="90"/>
      <c r="AJ235" s="90"/>
      <c r="AK235" s="90"/>
      <c r="AL235" s="90"/>
      <c r="AM235" s="90"/>
      <c r="AN235" s="90"/>
      <c r="AO235" s="90"/>
      <c r="AP235" s="90"/>
      <c r="AQ235" s="90"/>
      <c r="AR235" s="90"/>
      <c r="AS235" s="90"/>
      <c r="AT235" s="91"/>
      <c r="AU235" s="92"/>
      <c r="AV235" s="1978">
        <f t="shared" si="153"/>
        <v>0</v>
      </c>
      <c r="AW235" s="1978">
        <f t="shared" si="154"/>
        <v>0</v>
      </c>
      <c r="AX235" s="1978">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92"/>
      <c r="C236" s="1393"/>
      <c r="D236" s="78"/>
      <c r="E236" s="85">
        <f t="shared" si="149"/>
        <v>0</v>
      </c>
      <c r="F236" s="86"/>
      <c r="G236" s="87">
        <f t="shared" si="150"/>
        <v>0</v>
      </c>
      <c r="H236" s="88">
        <f t="shared" si="151"/>
        <v>0</v>
      </c>
      <c r="I236" s="1393"/>
      <c r="J236" s="89"/>
      <c r="K236" s="1393"/>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3"/>
      <c r="AG236" s="90"/>
      <c r="AH236" s="90"/>
      <c r="AI236" s="90"/>
      <c r="AJ236" s="90"/>
      <c r="AK236" s="90"/>
      <c r="AL236" s="90"/>
      <c r="AM236" s="90"/>
      <c r="AN236" s="90"/>
      <c r="AO236" s="90"/>
      <c r="AP236" s="90"/>
      <c r="AQ236" s="90"/>
      <c r="AR236" s="90"/>
      <c r="AS236" s="90"/>
      <c r="AT236" s="91"/>
      <c r="AU236" s="92"/>
      <c r="AV236" s="1978">
        <f t="shared" si="153"/>
        <v>0</v>
      </c>
      <c r="AW236" s="1978">
        <f t="shared" si="154"/>
        <v>0</v>
      </c>
      <c r="AX236" s="1978">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92"/>
      <c r="C237" s="1393"/>
      <c r="D237" s="78"/>
      <c r="E237" s="85">
        <f t="shared" si="149"/>
        <v>0</v>
      </c>
      <c r="F237" s="86"/>
      <c r="G237" s="87">
        <f t="shared" si="150"/>
        <v>0</v>
      </c>
      <c r="H237" s="88">
        <f t="shared" si="151"/>
        <v>0</v>
      </c>
      <c r="I237" s="1393"/>
      <c r="J237" s="89"/>
      <c r="K237" s="1393"/>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3"/>
      <c r="AG237" s="90"/>
      <c r="AH237" s="90"/>
      <c r="AI237" s="90"/>
      <c r="AJ237" s="90"/>
      <c r="AK237" s="90"/>
      <c r="AL237" s="90"/>
      <c r="AM237" s="90"/>
      <c r="AN237" s="90"/>
      <c r="AO237" s="90"/>
      <c r="AP237" s="90"/>
      <c r="AQ237" s="90"/>
      <c r="AR237" s="90"/>
      <c r="AS237" s="90"/>
      <c r="AT237" s="91"/>
      <c r="AU237" s="92"/>
      <c r="AV237" s="1978">
        <f t="shared" si="153"/>
        <v>0</v>
      </c>
      <c r="AW237" s="1978">
        <f t="shared" si="154"/>
        <v>0</v>
      </c>
      <c r="AX237" s="1978">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92"/>
      <c r="C238" s="1393"/>
      <c r="D238" s="78"/>
      <c r="E238" s="85">
        <f t="shared" si="149"/>
        <v>0</v>
      </c>
      <c r="F238" s="86"/>
      <c r="G238" s="87">
        <f t="shared" si="150"/>
        <v>0</v>
      </c>
      <c r="H238" s="88">
        <f t="shared" si="151"/>
        <v>0</v>
      </c>
      <c r="I238" s="1393"/>
      <c r="J238" s="89"/>
      <c r="K238" s="1393"/>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3"/>
      <c r="AG238" s="90"/>
      <c r="AH238" s="90"/>
      <c r="AI238" s="90"/>
      <c r="AJ238" s="90"/>
      <c r="AK238" s="90"/>
      <c r="AL238" s="90"/>
      <c r="AM238" s="90"/>
      <c r="AN238" s="90"/>
      <c r="AO238" s="90"/>
      <c r="AP238" s="90"/>
      <c r="AQ238" s="90"/>
      <c r="AR238" s="90"/>
      <c r="AS238" s="90"/>
      <c r="AT238" s="91"/>
      <c r="AU238" s="92"/>
      <c r="AV238" s="1978">
        <f t="shared" si="153"/>
        <v>0</v>
      </c>
      <c r="AW238" s="1978">
        <f t="shared" si="154"/>
        <v>0</v>
      </c>
      <c r="AX238" s="1978">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4"/>
      <c r="C239" s="1395"/>
      <c r="D239" s="78"/>
      <c r="E239" s="85">
        <f t="shared" si="149"/>
        <v>0</v>
      </c>
      <c r="F239" s="86"/>
      <c r="G239" s="87">
        <f t="shared" si="150"/>
        <v>0</v>
      </c>
      <c r="H239" s="88">
        <f t="shared" si="151"/>
        <v>0</v>
      </c>
      <c r="I239" s="1393"/>
      <c r="J239" s="89"/>
      <c r="K239" s="1393"/>
      <c r="L239" s="89"/>
      <c r="M239" s="1393"/>
      <c r="N239" s="89"/>
      <c r="O239" s="89"/>
      <c r="P239" s="89"/>
      <c r="Q239" s="89"/>
      <c r="R239" s="89"/>
      <c r="S239" s="89"/>
      <c r="T239" s="89"/>
      <c r="U239" s="89"/>
      <c r="V239" s="89"/>
      <c r="W239" s="89"/>
      <c r="X239" s="89"/>
      <c r="Y239" s="89"/>
      <c r="Z239" s="89"/>
      <c r="AA239" s="89"/>
      <c r="AB239" s="89"/>
      <c r="AC239" s="85">
        <f t="shared" si="152"/>
        <v>0</v>
      </c>
      <c r="AD239" s="90"/>
      <c r="AE239" s="90"/>
      <c r="AF239" s="1393"/>
      <c r="AG239" s="90"/>
      <c r="AH239" s="90"/>
      <c r="AI239" s="90"/>
      <c r="AJ239" s="90"/>
      <c r="AK239" s="90"/>
      <c r="AL239" s="90"/>
      <c r="AM239" s="90"/>
      <c r="AN239" s="90"/>
      <c r="AO239" s="90"/>
      <c r="AP239" s="90"/>
      <c r="AQ239" s="90"/>
      <c r="AR239" s="90"/>
      <c r="AS239" s="90"/>
      <c r="AT239" s="91"/>
      <c r="AU239" s="92"/>
      <c r="AV239" s="1978">
        <f t="shared" si="153"/>
        <v>0</v>
      </c>
      <c r="AW239" s="1978">
        <f t="shared" si="154"/>
        <v>0</v>
      </c>
      <c r="AX239" s="1978">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8">
        <f t="shared" si="153"/>
        <v>0</v>
      </c>
      <c r="AW240" s="1978">
        <f t="shared" si="154"/>
        <v>0</v>
      </c>
      <c r="AX240" s="1978">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8">
        <f t="shared" si="153"/>
        <v>0</v>
      </c>
      <c r="AW241" s="1978">
        <f t="shared" si="154"/>
        <v>0</v>
      </c>
      <c r="AX241" s="1978">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8">
        <f t="shared" si="153"/>
        <v>0</v>
      </c>
      <c r="AW242" s="1978">
        <f t="shared" si="154"/>
        <v>0</v>
      </c>
      <c r="AX242" s="1978">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8">
        <f t="shared" si="153"/>
        <v>0</v>
      </c>
      <c r="AW243" s="1978">
        <f t="shared" si="154"/>
        <v>0</v>
      </c>
      <c r="AX243" s="1978">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8">
        <f t="shared" si="153"/>
        <v>0</v>
      </c>
      <c r="AW244" s="1978">
        <f t="shared" si="154"/>
        <v>0</v>
      </c>
      <c r="AX244" s="1978">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8">
        <f t="shared" si="153"/>
        <v>0</v>
      </c>
      <c r="AW245" s="1978">
        <f t="shared" si="154"/>
        <v>0</v>
      </c>
      <c r="AX245" s="1978">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8">
        <f t="shared" si="153"/>
        <v>0</v>
      </c>
      <c r="AW246" s="1978">
        <f t="shared" si="154"/>
        <v>0</v>
      </c>
      <c r="AX246" s="1978">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8">
        <f t="shared" si="153"/>
        <v>0</v>
      </c>
      <c r="AW247" s="1978">
        <f t="shared" si="154"/>
        <v>0</v>
      </c>
      <c r="AX247" s="1978">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8">
        <f t="shared" si="153"/>
        <v>0</v>
      </c>
      <c r="AW248" s="1978">
        <f t="shared" si="154"/>
        <v>0</v>
      </c>
      <c r="AX248" s="1978">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8">
        <f t="shared" si="153"/>
        <v>0</v>
      </c>
      <c r="AW249" s="1978">
        <f t="shared" si="154"/>
        <v>0</v>
      </c>
      <c r="AX249" s="1978">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8">
        <f t="shared" si="153"/>
        <v>0</v>
      </c>
      <c r="AW250" s="1978">
        <f t="shared" si="154"/>
        <v>0</v>
      </c>
      <c r="AX250" s="1978">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8">
        <f t="shared" si="153"/>
        <v>0</v>
      </c>
      <c r="AW251" s="1978">
        <f t="shared" si="154"/>
        <v>0</v>
      </c>
      <c r="AX251" s="1978">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8">
        <f t="shared" si="153"/>
        <v>0</v>
      </c>
      <c r="AW252" s="1978">
        <f t="shared" si="154"/>
        <v>0</v>
      </c>
      <c r="AX252" s="1978">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8">
        <f t="shared" si="153"/>
        <v>0</v>
      </c>
      <c r="AW253" s="1978">
        <f t="shared" si="154"/>
        <v>0</v>
      </c>
      <c r="AX253" s="1978">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8">
        <f t="shared" si="153"/>
        <v>0</v>
      </c>
      <c r="AW254" s="1978">
        <f t="shared" si="154"/>
        <v>0</v>
      </c>
      <c r="AX254" s="1978">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8">
        <f t="shared" si="153"/>
        <v>0</v>
      </c>
      <c r="AW255" s="1978">
        <f t="shared" si="154"/>
        <v>0</v>
      </c>
      <c r="AX255" s="1978">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8">
        <f t="shared" si="153"/>
        <v>0</v>
      </c>
      <c r="AW256" s="1978">
        <f t="shared" si="154"/>
        <v>0</v>
      </c>
      <c r="AX256" s="1978">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8">
        <f t="shared" si="153"/>
        <v>0</v>
      </c>
      <c r="AW257" s="1978">
        <f t="shared" si="154"/>
        <v>0</v>
      </c>
      <c r="AX257" s="1978">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8">
        <f t="shared" si="153"/>
        <v>0</v>
      </c>
      <c r="AW258" s="1978">
        <f t="shared" si="154"/>
        <v>0</v>
      </c>
      <c r="AX258" s="1978">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8">
        <f t="shared" si="153"/>
        <v>0</v>
      </c>
      <c r="AW259" s="1978">
        <f t="shared" si="154"/>
        <v>0</v>
      </c>
      <c r="AX259" s="1978">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8">
        <f t="shared" si="153"/>
        <v>0</v>
      </c>
      <c r="AW260" s="1978">
        <f t="shared" si="154"/>
        <v>0</v>
      </c>
      <c r="AX260" s="1978">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8">
        <f t="shared" si="153"/>
        <v>0</v>
      </c>
      <c r="AW261" s="1978">
        <f t="shared" si="154"/>
        <v>0</v>
      </c>
      <c r="AX261" s="1978">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8">
        <f t="shared" si="153"/>
        <v>0</v>
      </c>
      <c r="AW262" s="1978">
        <f t="shared" si="154"/>
        <v>0</v>
      </c>
      <c r="AX262" s="1978">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8">
        <f t="shared" si="153"/>
        <v>0</v>
      </c>
      <c r="AW263" s="1978">
        <f t="shared" si="154"/>
        <v>0</v>
      </c>
      <c r="AX263" s="1978">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8">
        <f t="shared" si="153"/>
        <v>0</v>
      </c>
      <c r="AW264" s="1978">
        <f t="shared" si="154"/>
        <v>0</v>
      </c>
      <c r="AX264" s="1978">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8">
        <f t="shared" si="153"/>
        <v>0</v>
      </c>
      <c r="AW265" s="1978">
        <f t="shared" si="154"/>
        <v>0</v>
      </c>
      <c r="AX265" s="1978">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8">
        <f t="shared" si="153"/>
        <v>0</v>
      </c>
      <c r="AW266" s="1978">
        <f t="shared" si="154"/>
        <v>0</v>
      </c>
      <c r="AX266" s="1978">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8">
        <f t="shared" si="153"/>
        <v>0</v>
      </c>
      <c r="AW267" s="1978">
        <f t="shared" si="154"/>
        <v>0</v>
      </c>
      <c r="AX267" s="1978">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8">
        <f t="shared" si="153"/>
        <v>0</v>
      </c>
      <c r="AW268" s="1978">
        <f t="shared" si="154"/>
        <v>0</v>
      </c>
      <c r="AX268" s="1978">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8">
        <f t="shared" si="153"/>
        <v>0</v>
      </c>
      <c r="AW269" s="1978">
        <f t="shared" si="154"/>
        <v>0</v>
      </c>
      <c r="AX269" s="1978">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8">
        <f t="shared" si="153"/>
        <v>0</v>
      </c>
      <c r="AW270" s="1978">
        <f t="shared" si="154"/>
        <v>0</v>
      </c>
      <c r="AX270" s="1978">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8">
        <f t="shared" si="153"/>
        <v>0</v>
      </c>
      <c r="AW271" s="1978">
        <f t="shared" si="154"/>
        <v>0</v>
      </c>
      <c r="AX271" s="1978">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8">
        <f t="shared" si="153"/>
        <v>0</v>
      </c>
      <c r="AW272" s="1978">
        <f t="shared" si="154"/>
        <v>0</v>
      </c>
      <c r="AX272" s="1978">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8">
        <f t="shared" si="153"/>
        <v>0</v>
      </c>
      <c r="AW273" s="1978">
        <f t="shared" si="154"/>
        <v>0</v>
      </c>
      <c r="AX273" s="1978">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8">
        <f t="shared" si="153"/>
        <v>0</v>
      </c>
      <c r="AW274" s="1978">
        <f t="shared" si="154"/>
        <v>0</v>
      </c>
      <c r="AX274" s="1978">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8">
        <f t="shared" si="153"/>
        <v>0</v>
      </c>
      <c r="AW275" s="1978">
        <f t="shared" si="154"/>
        <v>0</v>
      </c>
      <c r="AX275" s="1978">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8">
        <f t="shared" si="153"/>
        <v>0</v>
      </c>
      <c r="AW276" s="1978">
        <f t="shared" si="154"/>
        <v>0</v>
      </c>
      <c r="AX276" s="1978">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8">
        <f t="shared" si="153"/>
        <v>0</v>
      </c>
      <c r="AW277" s="1978">
        <f t="shared" si="154"/>
        <v>0</v>
      </c>
      <c r="AX277" s="1978">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8">
        <f t="shared" si="153"/>
        <v>0</v>
      </c>
      <c r="AW278" s="1978">
        <f t="shared" si="154"/>
        <v>0</v>
      </c>
      <c r="AX278" s="1978">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8">
        <f t="shared" si="153"/>
        <v>0</v>
      </c>
      <c r="AW279" s="1978">
        <f t="shared" si="154"/>
        <v>0</v>
      </c>
      <c r="AX279" s="1978">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8">
        <f t="shared" si="153"/>
        <v>0</v>
      </c>
      <c r="AW280" s="1978">
        <f t="shared" si="154"/>
        <v>0</v>
      </c>
      <c r="AX280" s="1978">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8">
        <f t="shared" si="153"/>
        <v>0</v>
      </c>
      <c r="AW281" s="1978">
        <f t="shared" si="154"/>
        <v>0</v>
      </c>
      <c r="AX281" s="1978">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8">
        <f t="shared" si="153"/>
        <v>0</v>
      </c>
      <c r="AW282" s="1978">
        <f t="shared" si="154"/>
        <v>0</v>
      </c>
      <c r="AX282" s="1978">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8">
        <f t="shared" si="153"/>
        <v>0</v>
      </c>
      <c r="AW283" s="1978">
        <f t="shared" si="154"/>
        <v>0</v>
      </c>
      <c r="AX283" s="1978">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8">
        <f t="shared" si="153"/>
        <v>0</v>
      </c>
      <c r="AW284" s="1978">
        <f t="shared" si="154"/>
        <v>0</v>
      </c>
      <c r="AX284" s="1978">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8">
        <f t="shared" si="153"/>
        <v>0</v>
      </c>
      <c r="AW285" s="1978">
        <f t="shared" si="154"/>
        <v>0</v>
      </c>
      <c r="AX285" s="1978">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8">
        <f t="shared" si="153"/>
        <v>0</v>
      </c>
      <c r="AW286" s="1978">
        <f t="shared" si="154"/>
        <v>0</v>
      </c>
      <c r="AX286" s="1978">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8">
        <f t="shared" si="153"/>
        <v>0</v>
      </c>
      <c r="AW287" s="1978">
        <f t="shared" si="154"/>
        <v>0</v>
      </c>
      <c r="AX287" s="1978">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8">
        <f t="shared" si="153"/>
        <v>0</v>
      </c>
      <c r="AW288" s="1978">
        <f t="shared" si="154"/>
        <v>0</v>
      </c>
      <c r="AX288" s="1978">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8">
        <f t="shared" si="153"/>
        <v>0</v>
      </c>
      <c r="AW289" s="1978">
        <f t="shared" si="154"/>
        <v>0</v>
      </c>
      <c r="AX289" s="1978">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8">
        <f t="shared" si="153"/>
        <v>0</v>
      </c>
      <c r="AW290" s="1978">
        <f t="shared" si="154"/>
        <v>0</v>
      </c>
      <c r="AX290" s="1978">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8">
        <f t="shared" si="153"/>
        <v>0</v>
      </c>
      <c r="AW291" s="1978">
        <f t="shared" si="154"/>
        <v>0</v>
      </c>
      <c r="AX291" s="1978">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8">
        <f t="shared" si="153"/>
        <v>0</v>
      </c>
      <c r="AW292" s="1978">
        <f t="shared" si="154"/>
        <v>0</v>
      </c>
      <c r="AX292" s="1978">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8">
        <f t="shared" si="153"/>
        <v>0</v>
      </c>
      <c r="AW293" s="1978">
        <f t="shared" si="154"/>
        <v>0</v>
      </c>
      <c r="AX293" s="1978">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8">
        <f t="shared" si="153"/>
        <v>0</v>
      </c>
      <c r="AW294" s="1978">
        <f t="shared" si="154"/>
        <v>0</v>
      </c>
      <c r="AX294" s="1978">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8">
        <f t="shared" si="153"/>
        <v>0</v>
      </c>
      <c r="AW295" s="1978">
        <f t="shared" si="154"/>
        <v>0</v>
      </c>
      <c r="AX295" s="1978">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8">
        <f t="shared" si="153"/>
        <v>0</v>
      </c>
      <c r="AW296" s="1978">
        <f t="shared" si="154"/>
        <v>0</v>
      </c>
      <c r="AX296" s="1978">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92"/>
      <c r="C297" s="1393"/>
      <c r="D297" s="78"/>
      <c r="E297" s="85">
        <f t="shared" ref="E297:E328" si="203">IF($C$3="是",ROUND($A$3*G297/$B$3,2),ROUND($A$3*(G297-AT297)/$B$3,2))</f>
        <v>0</v>
      </c>
      <c r="F297" s="86"/>
      <c r="G297" s="87">
        <f t="shared" si="178"/>
        <v>0</v>
      </c>
      <c r="H297" s="88">
        <f t="shared" si="179"/>
        <v>0</v>
      </c>
      <c r="I297" s="1395"/>
      <c r="J297" s="89"/>
      <c r="K297" s="1395"/>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6"/>
      <c r="AG297" s="90"/>
      <c r="AH297" s="90"/>
      <c r="AI297" s="90"/>
      <c r="AJ297" s="90"/>
      <c r="AK297" s="90"/>
      <c r="AL297" s="90"/>
      <c r="AM297" s="90"/>
      <c r="AN297" s="1362"/>
      <c r="AO297" s="90"/>
      <c r="AP297" s="90"/>
      <c r="AQ297" s="90"/>
      <c r="AR297" s="90"/>
      <c r="AS297" s="90"/>
      <c r="AT297" s="91"/>
      <c r="AU297" s="92"/>
      <c r="AV297" s="1978">
        <f t="shared" ref="AV297:AV328" si="204">A297</f>
        <v>0</v>
      </c>
      <c r="AW297" s="1978">
        <f t="shared" ref="AW297:AW328" si="205">B297</f>
        <v>0</v>
      </c>
      <c r="AX297" s="1978">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92"/>
      <c r="C298" s="1393"/>
      <c r="D298" s="78"/>
      <c r="E298" s="85">
        <f t="shared" si="203"/>
        <v>0</v>
      </c>
      <c r="F298" s="86"/>
      <c r="G298" s="87">
        <f t="shared" si="178"/>
        <v>0</v>
      </c>
      <c r="H298" s="88">
        <f t="shared" si="179"/>
        <v>0</v>
      </c>
      <c r="I298" s="1395"/>
      <c r="J298" s="89"/>
      <c r="K298" s="1395"/>
      <c r="L298" s="89"/>
      <c r="M298" s="1362"/>
      <c r="N298" s="89"/>
      <c r="O298" s="89"/>
      <c r="P298" s="89"/>
      <c r="Q298" s="89"/>
      <c r="R298" s="89"/>
      <c r="S298" s="89"/>
      <c r="T298" s="89"/>
      <c r="U298" s="89"/>
      <c r="V298" s="89"/>
      <c r="W298" s="89"/>
      <c r="X298" s="89"/>
      <c r="Y298" s="89"/>
      <c r="Z298" s="89"/>
      <c r="AA298" s="89"/>
      <c r="AB298" s="89"/>
      <c r="AC298" s="85">
        <f t="shared" si="180"/>
        <v>0</v>
      </c>
      <c r="AD298" s="1362"/>
      <c r="AE298" s="90"/>
      <c r="AF298" s="1396"/>
      <c r="AG298" s="90"/>
      <c r="AH298" s="90"/>
      <c r="AI298" s="90"/>
      <c r="AJ298" s="90"/>
      <c r="AK298" s="90"/>
      <c r="AL298" s="1362"/>
      <c r="AM298" s="90"/>
      <c r="AN298" s="1362"/>
      <c r="AO298" s="90"/>
      <c r="AP298" s="90"/>
      <c r="AQ298" s="90"/>
      <c r="AR298" s="90"/>
      <c r="AS298" s="90"/>
      <c r="AT298" s="91"/>
      <c r="AU298" s="92"/>
      <c r="AV298" s="1978">
        <f t="shared" si="204"/>
        <v>0</v>
      </c>
      <c r="AW298" s="1978">
        <f t="shared" si="205"/>
        <v>0</v>
      </c>
      <c r="AX298" s="1978">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92"/>
      <c r="C299" s="1393"/>
      <c r="D299" s="78"/>
      <c r="E299" s="85">
        <f t="shared" si="203"/>
        <v>0</v>
      </c>
      <c r="F299" s="86"/>
      <c r="G299" s="87">
        <f t="shared" si="178"/>
        <v>0</v>
      </c>
      <c r="H299" s="88">
        <f t="shared" si="179"/>
        <v>0</v>
      </c>
      <c r="I299" s="1395"/>
      <c r="J299" s="89"/>
      <c r="K299" s="1395"/>
      <c r="L299" s="89"/>
      <c r="M299" s="1362"/>
      <c r="N299" s="89"/>
      <c r="O299" s="89"/>
      <c r="P299" s="89"/>
      <c r="Q299" s="89"/>
      <c r="R299" s="89"/>
      <c r="S299" s="89"/>
      <c r="T299" s="89"/>
      <c r="U299" s="89"/>
      <c r="V299" s="89"/>
      <c r="W299" s="89"/>
      <c r="X299" s="89"/>
      <c r="Y299" s="89"/>
      <c r="Z299" s="89"/>
      <c r="AA299" s="89"/>
      <c r="AB299" s="89"/>
      <c r="AC299" s="85">
        <f t="shared" si="180"/>
        <v>0</v>
      </c>
      <c r="AD299" s="90"/>
      <c r="AE299" s="90"/>
      <c r="AF299" s="1396"/>
      <c r="AG299" s="90"/>
      <c r="AH299" s="90"/>
      <c r="AI299" s="90"/>
      <c r="AJ299" s="90"/>
      <c r="AK299" s="90"/>
      <c r="AL299" s="1362"/>
      <c r="AM299" s="90"/>
      <c r="AN299" s="1362"/>
      <c r="AO299" s="90"/>
      <c r="AP299" s="90"/>
      <c r="AQ299" s="90"/>
      <c r="AR299" s="90"/>
      <c r="AS299" s="90"/>
      <c r="AT299" s="91"/>
      <c r="AU299" s="92"/>
      <c r="AV299" s="1978">
        <f t="shared" si="204"/>
        <v>0</v>
      </c>
      <c r="AW299" s="1978">
        <f t="shared" si="205"/>
        <v>0</v>
      </c>
      <c r="AX299" s="1978">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92"/>
      <c r="C300" s="1393"/>
      <c r="D300" s="78"/>
      <c r="E300" s="85">
        <f t="shared" si="203"/>
        <v>0</v>
      </c>
      <c r="F300" s="86"/>
      <c r="G300" s="87">
        <f t="shared" si="178"/>
        <v>0</v>
      </c>
      <c r="H300" s="88">
        <f t="shared" si="179"/>
        <v>0</v>
      </c>
      <c r="I300" s="1395"/>
      <c r="J300" s="89"/>
      <c r="K300" s="1395"/>
      <c r="L300" s="89"/>
      <c r="M300" s="89"/>
      <c r="N300" s="89"/>
      <c r="O300" s="1362"/>
      <c r="P300" s="89"/>
      <c r="Q300" s="89"/>
      <c r="R300" s="89"/>
      <c r="S300" s="89"/>
      <c r="T300" s="89"/>
      <c r="U300" s="89"/>
      <c r="V300" s="89"/>
      <c r="W300" s="89"/>
      <c r="X300" s="89"/>
      <c r="Y300" s="89"/>
      <c r="Z300" s="89"/>
      <c r="AA300" s="89"/>
      <c r="AB300" s="89"/>
      <c r="AC300" s="85">
        <f t="shared" si="180"/>
        <v>0</v>
      </c>
      <c r="AD300" s="90"/>
      <c r="AE300" s="90"/>
      <c r="AF300" s="1396"/>
      <c r="AG300" s="90"/>
      <c r="AH300" s="90"/>
      <c r="AI300" s="90"/>
      <c r="AJ300" s="90"/>
      <c r="AK300" s="90"/>
      <c r="AL300" s="90"/>
      <c r="AM300" s="90"/>
      <c r="AN300" s="1362"/>
      <c r="AO300" s="90"/>
      <c r="AP300" s="90"/>
      <c r="AQ300" s="90"/>
      <c r="AR300" s="90"/>
      <c r="AS300" s="90"/>
      <c r="AT300" s="91"/>
      <c r="AU300" s="92"/>
      <c r="AV300" s="1978">
        <f t="shared" si="204"/>
        <v>0</v>
      </c>
      <c r="AW300" s="1978">
        <f t="shared" si="205"/>
        <v>0</v>
      </c>
      <c r="AX300" s="1978">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92"/>
      <c r="C301" s="1393"/>
      <c r="D301" s="78"/>
      <c r="E301" s="85">
        <f t="shared" si="203"/>
        <v>0</v>
      </c>
      <c r="F301" s="86"/>
      <c r="G301" s="87">
        <f t="shared" si="178"/>
        <v>0</v>
      </c>
      <c r="H301" s="88">
        <f t="shared" si="179"/>
        <v>0</v>
      </c>
      <c r="I301" s="1395"/>
      <c r="J301" s="89"/>
      <c r="K301" s="1395"/>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6"/>
      <c r="AG301" s="90"/>
      <c r="AH301" s="90"/>
      <c r="AI301" s="90"/>
      <c r="AJ301" s="90"/>
      <c r="AK301" s="90"/>
      <c r="AL301" s="90"/>
      <c r="AM301" s="90"/>
      <c r="AN301" s="90"/>
      <c r="AO301" s="90"/>
      <c r="AP301" s="90"/>
      <c r="AQ301" s="90"/>
      <c r="AR301" s="90"/>
      <c r="AS301" s="90"/>
      <c r="AT301" s="91"/>
      <c r="AU301" s="92"/>
      <c r="AV301" s="1978">
        <f t="shared" si="204"/>
        <v>0</v>
      </c>
      <c r="AW301" s="1978">
        <f t="shared" si="205"/>
        <v>0</v>
      </c>
      <c r="AX301" s="1978">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92"/>
      <c r="C302" s="1393"/>
      <c r="D302" s="78"/>
      <c r="E302" s="85">
        <f t="shared" si="203"/>
        <v>0</v>
      </c>
      <c r="F302" s="86"/>
      <c r="G302" s="87">
        <f t="shared" si="178"/>
        <v>0</v>
      </c>
      <c r="H302" s="88">
        <f t="shared" si="179"/>
        <v>0</v>
      </c>
      <c r="I302" s="1395"/>
      <c r="J302" s="89"/>
      <c r="K302" s="1395"/>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6"/>
      <c r="AG302" s="90"/>
      <c r="AH302" s="90"/>
      <c r="AI302" s="90"/>
      <c r="AJ302" s="90"/>
      <c r="AK302" s="90"/>
      <c r="AL302" s="90"/>
      <c r="AM302" s="90"/>
      <c r="AN302" s="90"/>
      <c r="AO302" s="90"/>
      <c r="AP302" s="90"/>
      <c r="AQ302" s="90"/>
      <c r="AR302" s="90"/>
      <c r="AS302" s="90"/>
      <c r="AT302" s="91"/>
      <c r="AU302" s="92"/>
      <c r="AV302" s="1978">
        <f t="shared" si="204"/>
        <v>0</v>
      </c>
      <c r="AW302" s="1978">
        <f t="shared" si="205"/>
        <v>0</v>
      </c>
      <c r="AX302" s="1978">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92"/>
      <c r="C303" s="1393"/>
      <c r="D303" s="78"/>
      <c r="E303" s="85">
        <f t="shared" si="203"/>
        <v>0</v>
      </c>
      <c r="F303" s="86"/>
      <c r="G303" s="87">
        <f t="shared" si="178"/>
        <v>0</v>
      </c>
      <c r="H303" s="88">
        <f t="shared" si="179"/>
        <v>0</v>
      </c>
      <c r="I303" s="1395"/>
      <c r="J303" s="89"/>
      <c r="K303" s="1395"/>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6"/>
      <c r="AG303" s="90"/>
      <c r="AH303" s="90"/>
      <c r="AI303" s="90"/>
      <c r="AJ303" s="90"/>
      <c r="AK303" s="90"/>
      <c r="AL303" s="90"/>
      <c r="AM303" s="90"/>
      <c r="AN303" s="90"/>
      <c r="AO303" s="90"/>
      <c r="AP303" s="90"/>
      <c r="AQ303" s="90"/>
      <c r="AR303" s="90"/>
      <c r="AS303" s="90"/>
      <c r="AT303" s="91"/>
      <c r="AU303" s="92"/>
      <c r="AV303" s="1978">
        <f t="shared" si="204"/>
        <v>0</v>
      </c>
      <c r="AW303" s="1978">
        <f t="shared" si="205"/>
        <v>0</v>
      </c>
      <c r="AX303" s="1978">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92"/>
      <c r="C304" s="1393"/>
      <c r="D304" s="78"/>
      <c r="E304" s="85">
        <f t="shared" si="203"/>
        <v>0</v>
      </c>
      <c r="F304" s="86"/>
      <c r="G304" s="87">
        <f t="shared" si="178"/>
        <v>0</v>
      </c>
      <c r="H304" s="88">
        <f t="shared" si="179"/>
        <v>0</v>
      </c>
      <c r="I304" s="1395"/>
      <c r="J304" s="89"/>
      <c r="K304" s="1395"/>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5"/>
      <c r="AG304" s="90"/>
      <c r="AH304" s="90"/>
      <c r="AI304" s="90"/>
      <c r="AJ304" s="90"/>
      <c r="AK304" s="90"/>
      <c r="AL304" s="90"/>
      <c r="AM304" s="90"/>
      <c r="AN304" s="90"/>
      <c r="AO304" s="90"/>
      <c r="AP304" s="90"/>
      <c r="AQ304" s="90"/>
      <c r="AR304" s="90"/>
      <c r="AS304" s="90"/>
      <c r="AT304" s="91"/>
      <c r="AU304" s="92"/>
      <c r="AV304" s="1978">
        <f t="shared" si="204"/>
        <v>0</v>
      </c>
      <c r="AW304" s="1978">
        <f t="shared" si="205"/>
        <v>0</v>
      </c>
      <c r="AX304" s="1978">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4"/>
      <c r="C305" s="1395"/>
      <c r="D305" s="78"/>
      <c r="E305" s="85">
        <f t="shared" si="203"/>
        <v>0</v>
      </c>
      <c r="F305" s="86"/>
      <c r="G305" s="87">
        <f t="shared" si="178"/>
        <v>0</v>
      </c>
      <c r="H305" s="88">
        <f t="shared" si="179"/>
        <v>0</v>
      </c>
      <c r="I305" s="1395"/>
      <c r="J305" s="89"/>
      <c r="K305" s="1395"/>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5"/>
      <c r="AG305" s="90"/>
      <c r="AH305" s="90"/>
      <c r="AI305" s="90"/>
      <c r="AJ305" s="90"/>
      <c r="AK305" s="90"/>
      <c r="AL305" s="90"/>
      <c r="AM305" s="90"/>
      <c r="AN305" s="90"/>
      <c r="AO305" s="90"/>
      <c r="AP305" s="90"/>
      <c r="AQ305" s="90"/>
      <c r="AR305" s="90"/>
      <c r="AS305" s="90"/>
      <c r="AT305" s="91"/>
      <c r="AU305" s="92"/>
      <c r="AV305" s="1978">
        <f t="shared" si="204"/>
        <v>0</v>
      </c>
      <c r="AW305" s="1978">
        <f t="shared" si="205"/>
        <v>0</v>
      </c>
      <c r="AX305" s="1978">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92"/>
      <c r="C306" s="1393"/>
      <c r="D306" s="78"/>
      <c r="E306" s="85">
        <f t="shared" si="203"/>
        <v>0</v>
      </c>
      <c r="F306" s="86"/>
      <c r="G306" s="87">
        <f t="shared" si="178"/>
        <v>0</v>
      </c>
      <c r="H306" s="88">
        <f t="shared" si="179"/>
        <v>0</v>
      </c>
      <c r="I306" s="1395"/>
      <c r="J306" s="89"/>
      <c r="K306" s="1395"/>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5"/>
      <c r="AG306" s="90"/>
      <c r="AH306" s="90"/>
      <c r="AI306" s="90"/>
      <c r="AJ306" s="90"/>
      <c r="AK306" s="90"/>
      <c r="AL306" s="90"/>
      <c r="AM306" s="90"/>
      <c r="AN306" s="90"/>
      <c r="AO306" s="90"/>
      <c r="AP306" s="90"/>
      <c r="AQ306" s="90"/>
      <c r="AR306" s="90"/>
      <c r="AS306" s="90"/>
      <c r="AT306" s="91"/>
      <c r="AU306" s="92"/>
      <c r="AV306" s="1978">
        <f t="shared" si="204"/>
        <v>0</v>
      </c>
      <c r="AW306" s="1978">
        <f t="shared" si="205"/>
        <v>0</v>
      </c>
      <c r="AX306" s="1978">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92"/>
      <c r="C307" s="1393"/>
      <c r="D307" s="78"/>
      <c r="E307" s="85">
        <f t="shared" si="203"/>
        <v>0</v>
      </c>
      <c r="F307" s="86"/>
      <c r="G307" s="87">
        <f t="shared" si="178"/>
        <v>0</v>
      </c>
      <c r="H307" s="88">
        <f t="shared" si="179"/>
        <v>0</v>
      </c>
      <c r="I307" s="1395"/>
      <c r="J307" s="89"/>
      <c r="K307" s="1395"/>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5"/>
      <c r="AG307" s="90"/>
      <c r="AH307" s="90"/>
      <c r="AI307" s="90"/>
      <c r="AJ307" s="90"/>
      <c r="AK307" s="90"/>
      <c r="AL307" s="90"/>
      <c r="AM307" s="90"/>
      <c r="AN307" s="90"/>
      <c r="AO307" s="90"/>
      <c r="AP307" s="90"/>
      <c r="AQ307" s="90"/>
      <c r="AR307" s="90"/>
      <c r="AS307" s="90"/>
      <c r="AT307" s="91"/>
      <c r="AU307" s="92"/>
      <c r="AV307" s="1978">
        <f t="shared" si="204"/>
        <v>0</v>
      </c>
      <c r="AW307" s="1978">
        <f t="shared" si="205"/>
        <v>0</v>
      </c>
      <c r="AX307" s="1978">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92"/>
      <c r="C308" s="1393"/>
      <c r="D308" s="78"/>
      <c r="E308" s="85">
        <f t="shared" si="203"/>
        <v>0</v>
      </c>
      <c r="F308" s="86"/>
      <c r="G308" s="87">
        <f t="shared" si="178"/>
        <v>0</v>
      </c>
      <c r="H308" s="88">
        <f t="shared" si="179"/>
        <v>0</v>
      </c>
      <c r="I308" s="1395"/>
      <c r="J308" s="89"/>
      <c r="K308" s="1395"/>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5"/>
      <c r="AG308" s="90"/>
      <c r="AH308" s="90"/>
      <c r="AI308" s="90"/>
      <c r="AJ308" s="90"/>
      <c r="AK308" s="90"/>
      <c r="AL308" s="90"/>
      <c r="AM308" s="90"/>
      <c r="AN308" s="90"/>
      <c r="AO308" s="90"/>
      <c r="AP308" s="90"/>
      <c r="AQ308" s="90"/>
      <c r="AR308" s="90"/>
      <c r="AS308" s="90"/>
      <c r="AT308" s="91"/>
      <c r="AU308" s="92"/>
      <c r="AV308" s="1978">
        <f t="shared" si="204"/>
        <v>0</v>
      </c>
      <c r="AW308" s="1978">
        <f t="shared" si="205"/>
        <v>0</v>
      </c>
      <c r="AX308" s="1978">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92"/>
      <c r="C309" s="1393"/>
      <c r="D309" s="78"/>
      <c r="E309" s="85">
        <f t="shared" si="203"/>
        <v>0</v>
      </c>
      <c r="F309" s="86"/>
      <c r="G309" s="87">
        <f t="shared" si="178"/>
        <v>0</v>
      </c>
      <c r="H309" s="88">
        <f t="shared" si="179"/>
        <v>0</v>
      </c>
      <c r="I309" s="1395"/>
      <c r="J309" s="89"/>
      <c r="K309" s="1395"/>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5"/>
      <c r="AG309" s="90"/>
      <c r="AH309" s="90"/>
      <c r="AI309" s="90"/>
      <c r="AJ309" s="90"/>
      <c r="AK309" s="90"/>
      <c r="AL309" s="90"/>
      <c r="AM309" s="90"/>
      <c r="AN309" s="90"/>
      <c r="AO309" s="90"/>
      <c r="AP309" s="90"/>
      <c r="AQ309" s="90"/>
      <c r="AR309" s="90"/>
      <c r="AS309" s="90"/>
      <c r="AT309" s="91"/>
      <c r="AU309" s="92"/>
      <c r="AV309" s="1978">
        <f t="shared" si="204"/>
        <v>0</v>
      </c>
      <c r="AW309" s="1978">
        <f t="shared" si="205"/>
        <v>0</v>
      </c>
      <c r="AX309" s="1978">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92"/>
      <c r="C310" s="1393"/>
      <c r="D310" s="78"/>
      <c r="E310" s="85">
        <f t="shared" si="203"/>
        <v>0</v>
      </c>
      <c r="F310" s="86"/>
      <c r="G310" s="87">
        <f t="shared" si="178"/>
        <v>0</v>
      </c>
      <c r="H310" s="88">
        <f t="shared" si="179"/>
        <v>0</v>
      </c>
      <c r="I310" s="1395"/>
      <c r="J310" s="89"/>
      <c r="K310" s="1395"/>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5"/>
      <c r="AG310" s="90"/>
      <c r="AH310" s="90"/>
      <c r="AI310" s="90"/>
      <c r="AJ310" s="90"/>
      <c r="AK310" s="90"/>
      <c r="AL310" s="90"/>
      <c r="AM310" s="90"/>
      <c r="AN310" s="90"/>
      <c r="AO310" s="90"/>
      <c r="AP310" s="90"/>
      <c r="AQ310" s="90"/>
      <c r="AR310" s="90"/>
      <c r="AS310" s="90"/>
      <c r="AT310" s="91"/>
      <c r="AU310" s="92"/>
      <c r="AV310" s="1978">
        <f t="shared" si="204"/>
        <v>0</v>
      </c>
      <c r="AW310" s="1978">
        <f t="shared" si="205"/>
        <v>0</v>
      </c>
      <c r="AX310" s="1978">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92"/>
      <c r="C311" s="1393"/>
      <c r="D311" s="78"/>
      <c r="E311" s="85">
        <f t="shared" si="203"/>
        <v>0</v>
      </c>
      <c r="F311" s="86"/>
      <c r="G311" s="87">
        <f t="shared" si="178"/>
        <v>0</v>
      </c>
      <c r="H311" s="88">
        <f t="shared" si="179"/>
        <v>0</v>
      </c>
      <c r="I311" s="1395"/>
      <c r="J311" s="89"/>
      <c r="K311" s="1395"/>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5"/>
      <c r="AG311" s="90"/>
      <c r="AH311" s="90"/>
      <c r="AI311" s="90"/>
      <c r="AJ311" s="90"/>
      <c r="AK311" s="90"/>
      <c r="AL311" s="90"/>
      <c r="AM311" s="90"/>
      <c r="AN311" s="90"/>
      <c r="AO311" s="90"/>
      <c r="AP311" s="90"/>
      <c r="AQ311" s="90"/>
      <c r="AR311" s="90"/>
      <c r="AS311" s="90"/>
      <c r="AT311" s="91"/>
      <c r="AU311" s="92"/>
      <c r="AV311" s="1978">
        <f t="shared" si="204"/>
        <v>0</v>
      </c>
      <c r="AW311" s="1978">
        <f t="shared" si="205"/>
        <v>0</v>
      </c>
      <c r="AX311" s="1978">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92"/>
      <c r="C312" s="1393"/>
      <c r="D312" s="78"/>
      <c r="E312" s="85">
        <f t="shared" si="203"/>
        <v>0</v>
      </c>
      <c r="F312" s="86"/>
      <c r="G312" s="87">
        <f t="shared" si="178"/>
        <v>0</v>
      </c>
      <c r="H312" s="88">
        <f t="shared" si="179"/>
        <v>0</v>
      </c>
      <c r="I312" s="1395"/>
      <c r="J312" s="89"/>
      <c r="K312" s="1395"/>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5"/>
      <c r="AG312" s="90"/>
      <c r="AH312" s="90"/>
      <c r="AI312" s="90"/>
      <c r="AJ312" s="90"/>
      <c r="AK312" s="90"/>
      <c r="AL312" s="90"/>
      <c r="AM312" s="90"/>
      <c r="AN312" s="90"/>
      <c r="AO312" s="90"/>
      <c r="AP312" s="90"/>
      <c r="AQ312" s="90"/>
      <c r="AR312" s="90"/>
      <c r="AS312" s="90"/>
      <c r="AT312" s="91"/>
      <c r="AU312" s="92"/>
      <c r="AV312" s="1978">
        <f t="shared" si="204"/>
        <v>0</v>
      </c>
      <c r="AW312" s="1978">
        <f t="shared" si="205"/>
        <v>0</v>
      </c>
      <c r="AX312" s="1978">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92"/>
      <c r="C313" s="1393"/>
      <c r="D313" s="78"/>
      <c r="E313" s="85">
        <f t="shared" si="203"/>
        <v>0</v>
      </c>
      <c r="F313" s="86"/>
      <c r="G313" s="87">
        <f t="shared" si="178"/>
        <v>0</v>
      </c>
      <c r="H313" s="88">
        <f t="shared" si="179"/>
        <v>0</v>
      </c>
      <c r="I313" s="1395"/>
      <c r="J313" s="89"/>
      <c r="K313" s="1395"/>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5"/>
      <c r="AG313" s="90"/>
      <c r="AH313" s="90"/>
      <c r="AI313" s="90"/>
      <c r="AJ313" s="90"/>
      <c r="AK313" s="90"/>
      <c r="AL313" s="90"/>
      <c r="AM313" s="90"/>
      <c r="AN313" s="90"/>
      <c r="AO313" s="90"/>
      <c r="AP313" s="90"/>
      <c r="AQ313" s="90"/>
      <c r="AR313" s="90"/>
      <c r="AS313" s="90"/>
      <c r="AT313" s="91"/>
      <c r="AU313" s="92"/>
      <c r="AV313" s="1978">
        <f t="shared" si="204"/>
        <v>0</v>
      </c>
      <c r="AW313" s="1978">
        <f t="shared" si="205"/>
        <v>0</v>
      </c>
      <c r="AX313" s="1978">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92"/>
      <c r="C314" s="1393"/>
      <c r="D314" s="78"/>
      <c r="E314" s="85">
        <f t="shared" si="203"/>
        <v>0</v>
      </c>
      <c r="F314" s="86"/>
      <c r="G314" s="87">
        <f t="shared" si="178"/>
        <v>0</v>
      </c>
      <c r="H314" s="88">
        <f t="shared" si="179"/>
        <v>0</v>
      </c>
      <c r="I314" s="1395"/>
      <c r="J314" s="89"/>
      <c r="K314" s="1395"/>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5"/>
      <c r="AG314" s="90"/>
      <c r="AH314" s="90"/>
      <c r="AI314" s="90"/>
      <c r="AJ314" s="90"/>
      <c r="AK314" s="90"/>
      <c r="AL314" s="90"/>
      <c r="AM314" s="90"/>
      <c r="AN314" s="90"/>
      <c r="AO314" s="90"/>
      <c r="AP314" s="90"/>
      <c r="AQ314" s="90"/>
      <c r="AR314" s="90"/>
      <c r="AS314" s="90"/>
      <c r="AT314" s="91"/>
      <c r="AU314" s="92"/>
      <c r="AV314" s="1978">
        <f t="shared" si="204"/>
        <v>0</v>
      </c>
      <c r="AW314" s="1978">
        <f t="shared" si="205"/>
        <v>0</v>
      </c>
      <c r="AX314" s="1978">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92"/>
      <c r="C315" s="1393"/>
      <c r="D315" s="78"/>
      <c r="E315" s="85">
        <f t="shared" si="203"/>
        <v>0</v>
      </c>
      <c r="F315" s="86"/>
      <c r="G315" s="87">
        <f t="shared" si="178"/>
        <v>0</v>
      </c>
      <c r="H315" s="88">
        <f t="shared" si="179"/>
        <v>0</v>
      </c>
      <c r="I315" s="1395"/>
      <c r="J315" s="89"/>
      <c r="K315" s="1395"/>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5"/>
      <c r="AG315" s="90"/>
      <c r="AH315" s="90"/>
      <c r="AI315" s="90"/>
      <c r="AJ315" s="90"/>
      <c r="AK315" s="90"/>
      <c r="AL315" s="90"/>
      <c r="AM315" s="90"/>
      <c r="AN315" s="90"/>
      <c r="AO315" s="90"/>
      <c r="AP315" s="90"/>
      <c r="AQ315" s="90"/>
      <c r="AR315" s="90"/>
      <c r="AS315" s="90"/>
      <c r="AT315" s="91"/>
      <c r="AU315" s="92"/>
      <c r="AV315" s="1978">
        <f t="shared" si="204"/>
        <v>0</v>
      </c>
      <c r="AW315" s="1978">
        <f t="shared" si="205"/>
        <v>0</v>
      </c>
      <c r="AX315" s="1978">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92"/>
      <c r="C316" s="1393"/>
      <c r="D316" s="78"/>
      <c r="E316" s="85">
        <f t="shared" si="203"/>
        <v>0</v>
      </c>
      <c r="F316" s="86"/>
      <c r="G316" s="87">
        <f t="shared" si="178"/>
        <v>0</v>
      </c>
      <c r="H316" s="88">
        <f t="shared" si="179"/>
        <v>0</v>
      </c>
      <c r="I316" s="1395"/>
      <c r="J316" s="89"/>
      <c r="K316" s="1395"/>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5"/>
      <c r="AG316" s="90"/>
      <c r="AH316" s="90"/>
      <c r="AI316" s="90"/>
      <c r="AJ316" s="90"/>
      <c r="AK316" s="90"/>
      <c r="AL316" s="90"/>
      <c r="AM316" s="90"/>
      <c r="AN316" s="90"/>
      <c r="AO316" s="90"/>
      <c r="AP316" s="90"/>
      <c r="AQ316" s="90"/>
      <c r="AR316" s="90"/>
      <c r="AS316" s="90"/>
      <c r="AT316" s="91"/>
      <c r="AU316" s="92"/>
      <c r="AV316" s="1978">
        <f t="shared" si="204"/>
        <v>0</v>
      </c>
      <c r="AW316" s="1978">
        <f t="shared" si="205"/>
        <v>0</v>
      </c>
      <c r="AX316" s="1978">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92"/>
      <c r="C317" s="1393"/>
      <c r="D317" s="78"/>
      <c r="E317" s="85">
        <f t="shared" si="203"/>
        <v>0</v>
      </c>
      <c r="F317" s="86"/>
      <c r="G317" s="87">
        <f t="shared" si="178"/>
        <v>0</v>
      </c>
      <c r="H317" s="88">
        <f t="shared" si="179"/>
        <v>0</v>
      </c>
      <c r="I317" s="1395"/>
      <c r="J317" s="89"/>
      <c r="K317" s="1395"/>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5"/>
      <c r="AG317" s="90"/>
      <c r="AH317" s="90"/>
      <c r="AI317" s="90"/>
      <c r="AJ317" s="90"/>
      <c r="AK317" s="90"/>
      <c r="AL317" s="90"/>
      <c r="AM317" s="90"/>
      <c r="AN317" s="90"/>
      <c r="AO317" s="90"/>
      <c r="AP317" s="90"/>
      <c r="AQ317" s="90"/>
      <c r="AR317" s="90"/>
      <c r="AS317" s="90"/>
      <c r="AT317" s="91"/>
      <c r="AU317" s="92"/>
      <c r="AV317" s="1978">
        <f t="shared" si="204"/>
        <v>0</v>
      </c>
      <c r="AW317" s="1978">
        <f t="shared" si="205"/>
        <v>0</v>
      </c>
      <c r="AX317" s="1978">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92"/>
      <c r="C318" s="1393"/>
      <c r="D318" s="78"/>
      <c r="E318" s="85">
        <f t="shared" si="203"/>
        <v>0</v>
      </c>
      <c r="F318" s="86"/>
      <c r="G318" s="87">
        <f t="shared" si="178"/>
        <v>0</v>
      </c>
      <c r="H318" s="88">
        <f t="shared" si="179"/>
        <v>0</v>
      </c>
      <c r="I318" s="1395"/>
      <c r="J318" s="89"/>
      <c r="K318" s="1395"/>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5"/>
      <c r="AG318" s="90"/>
      <c r="AH318" s="90"/>
      <c r="AI318" s="90"/>
      <c r="AJ318" s="90"/>
      <c r="AK318" s="90"/>
      <c r="AL318" s="90"/>
      <c r="AM318" s="90"/>
      <c r="AN318" s="90"/>
      <c r="AO318" s="90"/>
      <c r="AP318" s="90"/>
      <c r="AQ318" s="90"/>
      <c r="AR318" s="90"/>
      <c r="AS318" s="90"/>
      <c r="AT318" s="91"/>
      <c r="AU318" s="92"/>
      <c r="AV318" s="1978">
        <f t="shared" si="204"/>
        <v>0</v>
      </c>
      <c r="AW318" s="1978">
        <f t="shared" si="205"/>
        <v>0</v>
      </c>
      <c r="AX318" s="1978">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92"/>
      <c r="C319" s="1393"/>
      <c r="D319" s="78"/>
      <c r="E319" s="85">
        <f t="shared" si="203"/>
        <v>0</v>
      </c>
      <c r="F319" s="86"/>
      <c r="G319" s="87">
        <f t="shared" si="178"/>
        <v>0</v>
      </c>
      <c r="H319" s="88">
        <f t="shared" si="179"/>
        <v>0</v>
      </c>
      <c r="I319" s="1395"/>
      <c r="J319" s="89"/>
      <c r="K319" s="1395"/>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5"/>
      <c r="AG319" s="90"/>
      <c r="AH319" s="90"/>
      <c r="AI319" s="90"/>
      <c r="AJ319" s="90"/>
      <c r="AK319" s="90"/>
      <c r="AL319" s="90"/>
      <c r="AM319" s="90"/>
      <c r="AN319" s="90"/>
      <c r="AO319" s="90"/>
      <c r="AP319" s="90"/>
      <c r="AQ319" s="90"/>
      <c r="AR319" s="90"/>
      <c r="AS319" s="90"/>
      <c r="AT319" s="91"/>
      <c r="AU319" s="92"/>
      <c r="AV319" s="1978">
        <f t="shared" si="204"/>
        <v>0</v>
      </c>
      <c r="AW319" s="1978">
        <f t="shared" si="205"/>
        <v>0</v>
      </c>
      <c r="AX319" s="1978">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92"/>
      <c r="C320" s="1393"/>
      <c r="D320" s="78"/>
      <c r="E320" s="85">
        <f t="shared" si="203"/>
        <v>0</v>
      </c>
      <c r="F320" s="86"/>
      <c r="G320" s="87">
        <f t="shared" si="178"/>
        <v>0</v>
      </c>
      <c r="H320" s="88">
        <f t="shared" si="179"/>
        <v>0</v>
      </c>
      <c r="I320" s="1395"/>
      <c r="J320" s="89"/>
      <c r="K320" s="1395"/>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5"/>
      <c r="AG320" s="90"/>
      <c r="AH320" s="90"/>
      <c r="AI320" s="90"/>
      <c r="AJ320" s="90"/>
      <c r="AK320" s="90"/>
      <c r="AL320" s="90"/>
      <c r="AM320" s="90"/>
      <c r="AN320" s="90"/>
      <c r="AO320" s="90"/>
      <c r="AP320" s="90"/>
      <c r="AQ320" s="90"/>
      <c r="AR320" s="90"/>
      <c r="AS320" s="90"/>
      <c r="AT320" s="91"/>
      <c r="AU320" s="92"/>
      <c r="AV320" s="1978">
        <f t="shared" si="204"/>
        <v>0</v>
      </c>
      <c r="AW320" s="1978">
        <f t="shared" si="205"/>
        <v>0</v>
      </c>
      <c r="AX320" s="1978">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92"/>
      <c r="C321" s="1393"/>
      <c r="D321" s="78"/>
      <c r="E321" s="85">
        <f t="shared" si="203"/>
        <v>0</v>
      </c>
      <c r="F321" s="86"/>
      <c r="G321" s="87">
        <f t="shared" si="178"/>
        <v>0</v>
      </c>
      <c r="H321" s="88">
        <f t="shared" si="179"/>
        <v>0</v>
      </c>
      <c r="I321" s="1395"/>
      <c r="J321" s="89"/>
      <c r="K321" s="1395"/>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5"/>
      <c r="AG321" s="90"/>
      <c r="AH321" s="90"/>
      <c r="AI321" s="90"/>
      <c r="AJ321" s="90"/>
      <c r="AK321" s="90"/>
      <c r="AL321" s="90"/>
      <c r="AM321" s="90"/>
      <c r="AN321" s="90"/>
      <c r="AO321" s="90"/>
      <c r="AP321" s="90"/>
      <c r="AQ321" s="90"/>
      <c r="AR321" s="90"/>
      <c r="AS321" s="90"/>
      <c r="AT321" s="91"/>
      <c r="AU321" s="92"/>
      <c r="AV321" s="1978">
        <f t="shared" si="204"/>
        <v>0</v>
      </c>
      <c r="AW321" s="1978">
        <f t="shared" si="205"/>
        <v>0</v>
      </c>
      <c r="AX321" s="1978">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92"/>
      <c r="C322" s="1393"/>
      <c r="D322" s="78"/>
      <c r="E322" s="85">
        <f t="shared" si="203"/>
        <v>0</v>
      </c>
      <c r="F322" s="86"/>
      <c r="G322" s="87">
        <f t="shared" si="178"/>
        <v>0</v>
      </c>
      <c r="H322" s="88">
        <f t="shared" si="179"/>
        <v>0</v>
      </c>
      <c r="I322" s="1395"/>
      <c r="J322" s="89"/>
      <c r="K322" s="1395"/>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5"/>
      <c r="AG322" s="90"/>
      <c r="AH322" s="90"/>
      <c r="AI322" s="90"/>
      <c r="AJ322" s="90"/>
      <c r="AK322" s="90"/>
      <c r="AL322" s="90"/>
      <c r="AM322" s="90"/>
      <c r="AN322" s="90"/>
      <c r="AO322" s="90"/>
      <c r="AP322" s="90"/>
      <c r="AQ322" s="90"/>
      <c r="AR322" s="90"/>
      <c r="AS322" s="90"/>
      <c r="AT322" s="91"/>
      <c r="AU322" s="92"/>
      <c r="AV322" s="1978">
        <f t="shared" si="204"/>
        <v>0</v>
      </c>
      <c r="AW322" s="1978">
        <f t="shared" si="205"/>
        <v>0</v>
      </c>
      <c r="AX322" s="1978">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92"/>
      <c r="C323" s="1393"/>
      <c r="D323" s="78"/>
      <c r="E323" s="85">
        <f t="shared" si="203"/>
        <v>0</v>
      </c>
      <c r="F323" s="86"/>
      <c r="G323" s="87">
        <f t="shared" si="178"/>
        <v>0</v>
      </c>
      <c r="H323" s="88">
        <f t="shared" si="179"/>
        <v>0</v>
      </c>
      <c r="I323" s="1395"/>
      <c r="J323" s="89"/>
      <c r="K323" s="1395"/>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3"/>
      <c r="AG323" s="90"/>
      <c r="AH323" s="90"/>
      <c r="AI323" s="90"/>
      <c r="AJ323" s="90"/>
      <c r="AK323" s="90"/>
      <c r="AL323" s="90"/>
      <c r="AM323" s="90"/>
      <c r="AN323" s="90"/>
      <c r="AO323" s="90"/>
      <c r="AP323" s="90"/>
      <c r="AQ323" s="90"/>
      <c r="AR323" s="90"/>
      <c r="AS323" s="90"/>
      <c r="AT323" s="91"/>
      <c r="AU323" s="92"/>
      <c r="AV323" s="1978">
        <f t="shared" si="204"/>
        <v>0</v>
      </c>
      <c r="AW323" s="1978">
        <f t="shared" si="205"/>
        <v>0</v>
      </c>
      <c r="AX323" s="1978">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92"/>
      <c r="C324" s="1393"/>
      <c r="D324" s="78"/>
      <c r="E324" s="85">
        <f t="shared" si="203"/>
        <v>0</v>
      </c>
      <c r="F324" s="86"/>
      <c r="G324" s="87">
        <f t="shared" si="178"/>
        <v>0</v>
      </c>
      <c r="H324" s="88">
        <f t="shared" si="179"/>
        <v>0</v>
      </c>
      <c r="I324" s="1393"/>
      <c r="J324" s="89"/>
      <c r="K324" s="1393"/>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3"/>
      <c r="AG324" s="90"/>
      <c r="AH324" s="90"/>
      <c r="AI324" s="90"/>
      <c r="AJ324" s="90"/>
      <c r="AK324" s="90"/>
      <c r="AL324" s="90"/>
      <c r="AM324" s="90"/>
      <c r="AN324" s="90"/>
      <c r="AO324" s="90"/>
      <c r="AP324" s="90"/>
      <c r="AQ324" s="90"/>
      <c r="AR324" s="90"/>
      <c r="AS324" s="90"/>
      <c r="AT324" s="91"/>
      <c r="AU324" s="92"/>
      <c r="AV324" s="1978">
        <f t="shared" si="204"/>
        <v>0</v>
      </c>
      <c r="AW324" s="1978">
        <f t="shared" si="205"/>
        <v>0</v>
      </c>
      <c r="AX324" s="1978">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92"/>
      <c r="C325" s="1393"/>
      <c r="D325" s="78"/>
      <c r="E325" s="85">
        <f t="shared" si="203"/>
        <v>0</v>
      </c>
      <c r="F325" s="86"/>
      <c r="G325" s="87">
        <f t="shared" si="178"/>
        <v>0</v>
      </c>
      <c r="H325" s="88">
        <f t="shared" si="179"/>
        <v>0</v>
      </c>
      <c r="I325" s="1393"/>
      <c r="J325" s="89"/>
      <c r="K325" s="1393"/>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3"/>
      <c r="AG325" s="90"/>
      <c r="AH325" s="90"/>
      <c r="AI325" s="90"/>
      <c r="AJ325" s="90"/>
      <c r="AK325" s="90"/>
      <c r="AL325" s="90"/>
      <c r="AM325" s="90"/>
      <c r="AN325" s="90"/>
      <c r="AO325" s="90"/>
      <c r="AP325" s="90"/>
      <c r="AQ325" s="90"/>
      <c r="AR325" s="90"/>
      <c r="AS325" s="90"/>
      <c r="AT325" s="91"/>
      <c r="AU325" s="92"/>
      <c r="AV325" s="1978">
        <f t="shared" si="204"/>
        <v>0</v>
      </c>
      <c r="AW325" s="1978">
        <f t="shared" si="205"/>
        <v>0</v>
      </c>
      <c r="AX325" s="1978">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92"/>
      <c r="C326" s="1393"/>
      <c r="D326" s="78"/>
      <c r="E326" s="85">
        <f t="shared" si="203"/>
        <v>0</v>
      </c>
      <c r="F326" s="86"/>
      <c r="G326" s="87">
        <f t="shared" ref="G326:G357" si="207">H326+AC326+AT326</f>
        <v>0</v>
      </c>
      <c r="H326" s="88">
        <f t="shared" ref="H326:H357" si="208">SUMIF(I$12:AB$12,"总值",I326:AB326)</f>
        <v>0</v>
      </c>
      <c r="I326" s="1393"/>
      <c r="J326" s="89"/>
      <c r="K326" s="1393"/>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3"/>
      <c r="AG326" s="90"/>
      <c r="AH326" s="90"/>
      <c r="AI326" s="90"/>
      <c r="AJ326" s="90"/>
      <c r="AK326" s="90"/>
      <c r="AL326" s="90"/>
      <c r="AM326" s="90"/>
      <c r="AN326" s="90"/>
      <c r="AO326" s="90"/>
      <c r="AP326" s="90"/>
      <c r="AQ326" s="90"/>
      <c r="AR326" s="90"/>
      <c r="AS326" s="90"/>
      <c r="AT326" s="91"/>
      <c r="AU326" s="92"/>
      <c r="AV326" s="1978">
        <f t="shared" si="204"/>
        <v>0</v>
      </c>
      <c r="AW326" s="1978">
        <f t="shared" si="205"/>
        <v>0</v>
      </c>
      <c r="AX326" s="1978">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92"/>
      <c r="C327" s="1393"/>
      <c r="D327" s="78"/>
      <c r="E327" s="85">
        <f t="shared" si="203"/>
        <v>0</v>
      </c>
      <c r="F327" s="86"/>
      <c r="G327" s="87">
        <f t="shared" si="207"/>
        <v>0</v>
      </c>
      <c r="H327" s="88">
        <f t="shared" si="208"/>
        <v>0</v>
      </c>
      <c r="I327" s="1393"/>
      <c r="J327" s="89"/>
      <c r="K327" s="1393"/>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3"/>
      <c r="AG327" s="90"/>
      <c r="AH327" s="90"/>
      <c r="AI327" s="90"/>
      <c r="AJ327" s="90"/>
      <c r="AK327" s="90"/>
      <c r="AL327" s="90"/>
      <c r="AM327" s="90"/>
      <c r="AN327" s="90"/>
      <c r="AO327" s="90"/>
      <c r="AP327" s="90"/>
      <c r="AQ327" s="90"/>
      <c r="AR327" s="90"/>
      <c r="AS327" s="90"/>
      <c r="AT327" s="91"/>
      <c r="AU327" s="92"/>
      <c r="AV327" s="1978">
        <f t="shared" si="204"/>
        <v>0</v>
      </c>
      <c r="AW327" s="1978">
        <f t="shared" si="205"/>
        <v>0</v>
      </c>
      <c r="AX327" s="1978">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92"/>
      <c r="C328" s="1393"/>
      <c r="D328" s="78"/>
      <c r="E328" s="85">
        <f t="shared" si="203"/>
        <v>0</v>
      </c>
      <c r="F328" s="86"/>
      <c r="G328" s="87">
        <f t="shared" si="207"/>
        <v>0</v>
      </c>
      <c r="H328" s="88">
        <f t="shared" si="208"/>
        <v>0</v>
      </c>
      <c r="I328" s="1393"/>
      <c r="J328" s="89"/>
      <c r="K328" s="1393"/>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3"/>
      <c r="AG328" s="90"/>
      <c r="AH328" s="90"/>
      <c r="AI328" s="90"/>
      <c r="AJ328" s="90"/>
      <c r="AK328" s="90"/>
      <c r="AL328" s="90"/>
      <c r="AM328" s="90"/>
      <c r="AN328" s="90"/>
      <c r="AO328" s="90"/>
      <c r="AP328" s="90"/>
      <c r="AQ328" s="90"/>
      <c r="AR328" s="90"/>
      <c r="AS328" s="90"/>
      <c r="AT328" s="91"/>
      <c r="AU328" s="92"/>
      <c r="AV328" s="1978">
        <f t="shared" si="204"/>
        <v>0</v>
      </c>
      <c r="AW328" s="1978">
        <f t="shared" si="205"/>
        <v>0</v>
      </c>
      <c r="AX328" s="1978">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92"/>
      <c r="C329" s="1393"/>
      <c r="D329" s="78"/>
      <c r="E329" s="85">
        <f t="shared" ref="E329:E360" si="232">IF($C$3="是",ROUND($A$3*G329/$B$3,2),ROUND($A$3*(G329-AT329)/$B$3,2))</f>
        <v>0</v>
      </c>
      <c r="F329" s="86"/>
      <c r="G329" s="87">
        <f t="shared" si="207"/>
        <v>0</v>
      </c>
      <c r="H329" s="88">
        <f t="shared" si="208"/>
        <v>0</v>
      </c>
      <c r="I329" s="1393"/>
      <c r="J329" s="89"/>
      <c r="K329" s="1393"/>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3"/>
      <c r="AG329" s="90"/>
      <c r="AH329" s="90"/>
      <c r="AI329" s="90"/>
      <c r="AJ329" s="90"/>
      <c r="AK329" s="90"/>
      <c r="AL329" s="90"/>
      <c r="AM329" s="90"/>
      <c r="AN329" s="90"/>
      <c r="AO329" s="90"/>
      <c r="AP329" s="90"/>
      <c r="AQ329" s="90"/>
      <c r="AR329" s="90"/>
      <c r="AS329" s="90"/>
      <c r="AT329" s="91"/>
      <c r="AU329" s="92"/>
      <c r="AV329" s="1978">
        <f t="shared" ref="AV329:AV360" si="233">A329</f>
        <v>0</v>
      </c>
      <c r="AW329" s="1978">
        <f t="shared" ref="AW329:AW360" si="234">B329</f>
        <v>0</v>
      </c>
      <c r="AX329" s="1978">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92"/>
      <c r="C330" s="1393"/>
      <c r="D330" s="78"/>
      <c r="E330" s="85">
        <f t="shared" si="232"/>
        <v>0</v>
      </c>
      <c r="F330" s="86"/>
      <c r="G330" s="87">
        <f t="shared" si="207"/>
        <v>0</v>
      </c>
      <c r="H330" s="88">
        <f t="shared" si="208"/>
        <v>0</v>
      </c>
      <c r="I330" s="1393"/>
      <c r="J330" s="89"/>
      <c r="K330" s="1393"/>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3"/>
      <c r="AG330" s="90"/>
      <c r="AH330" s="90"/>
      <c r="AI330" s="90"/>
      <c r="AJ330" s="90"/>
      <c r="AK330" s="90"/>
      <c r="AL330" s="90"/>
      <c r="AM330" s="90"/>
      <c r="AN330" s="90"/>
      <c r="AO330" s="90"/>
      <c r="AP330" s="90"/>
      <c r="AQ330" s="90"/>
      <c r="AR330" s="90"/>
      <c r="AS330" s="90"/>
      <c r="AT330" s="91"/>
      <c r="AU330" s="92"/>
      <c r="AV330" s="1978">
        <f t="shared" si="233"/>
        <v>0</v>
      </c>
      <c r="AW330" s="1978">
        <f t="shared" si="234"/>
        <v>0</v>
      </c>
      <c r="AX330" s="1978">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4"/>
      <c r="C331" s="1395"/>
      <c r="D331" s="78"/>
      <c r="E331" s="85">
        <f t="shared" si="232"/>
        <v>0</v>
      </c>
      <c r="F331" s="86"/>
      <c r="G331" s="87">
        <f t="shared" si="207"/>
        <v>0</v>
      </c>
      <c r="H331" s="88">
        <f t="shared" si="208"/>
        <v>0</v>
      </c>
      <c r="I331" s="1393"/>
      <c r="J331" s="89"/>
      <c r="K331" s="1393"/>
      <c r="L331" s="89"/>
      <c r="M331" s="1393"/>
      <c r="N331" s="89"/>
      <c r="O331" s="89"/>
      <c r="P331" s="89"/>
      <c r="Q331" s="89"/>
      <c r="R331" s="89"/>
      <c r="S331" s="89"/>
      <c r="T331" s="89"/>
      <c r="U331" s="89"/>
      <c r="V331" s="89"/>
      <c r="W331" s="89"/>
      <c r="X331" s="89"/>
      <c r="Y331" s="89"/>
      <c r="Z331" s="89"/>
      <c r="AA331" s="89"/>
      <c r="AB331" s="89"/>
      <c r="AC331" s="85">
        <f t="shared" si="209"/>
        <v>0</v>
      </c>
      <c r="AD331" s="90"/>
      <c r="AE331" s="90"/>
      <c r="AF331" s="1393"/>
      <c r="AG331" s="90"/>
      <c r="AH331" s="90"/>
      <c r="AI331" s="90"/>
      <c r="AJ331" s="90"/>
      <c r="AK331" s="90"/>
      <c r="AL331" s="90"/>
      <c r="AM331" s="90"/>
      <c r="AN331" s="90"/>
      <c r="AO331" s="90"/>
      <c r="AP331" s="90"/>
      <c r="AQ331" s="90"/>
      <c r="AR331" s="90"/>
      <c r="AS331" s="90"/>
      <c r="AT331" s="91"/>
      <c r="AU331" s="92"/>
      <c r="AV331" s="1978">
        <f t="shared" si="233"/>
        <v>0</v>
      </c>
      <c r="AW331" s="1978">
        <f t="shared" si="234"/>
        <v>0</v>
      </c>
      <c r="AX331" s="1978">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8">
        <f t="shared" si="233"/>
        <v>0</v>
      </c>
      <c r="AW332" s="1978">
        <f t="shared" si="234"/>
        <v>0</v>
      </c>
      <c r="AX332" s="1978">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8">
        <f t="shared" si="233"/>
        <v>0</v>
      </c>
      <c r="AW333" s="1978">
        <f t="shared" si="234"/>
        <v>0</v>
      </c>
      <c r="AX333" s="1978">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8">
        <f t="shared" si="233"/>
        <v>0</v>
      </c>
      <c r="AW334" s="1978">
        <f t="shared" si="234"/>
        <v>0</v>
      </c>
      <c r="AX334" s="1978">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8">
        <f t="shared" si="233"/>
        <v>0</v>
      </c>
      <c r="AW335" s="1978">
        <f t="shared" si="234"/>
        <v>0</v>
      </c>
      <c r="AX335" s="1978">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8">
        <f t="shared" si="233"/>
        <v>0</v>
      </c>
      <c r="AW336" s="1978">
        <f t="shared" si="234"/>
        <v>0</v>
      </c>
      <c r="AX336" s="1978">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8">
        <f t="shared" si="233"/>
        <v>0</v>
      </c>
      <c r="AW337" s="1978">
        <f t="shared" si="234"/>
        <v>0</v>
      </c>
      <c r="AX337" s="1978">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8">
        <f t="shared" si="233"/>
        <v>0</v>
      </c>
      <c r="AW338" s="1978">
        <f t="shared" si="234"/>
        <v>0</v>
      </c>
      <c r="AX338" s="1978">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8">
        <f t="shared" si="233"/>
        <v>0</v>
      </c>
      <c r="AW339" s="1978">
        <f t="shared" si="234"/>
        <v>0</v>
      </c>
      <c r="AX339" s="1978">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8">
        <f t="shared" si="233"/>
        <v>0</v>
      </c>
      <c r="AW340" s="1978">
        <f t="shared" si="234"/>
        <v>0</v>
      </c>
      <c r="AX340" s="1978">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8">
        <f t="shared" si="233"/>
        <v>0</v>
      </c>
      <c r="AW341" s="1978">
        <f t="shared" si="234"/>
        <v>0</v>
      </c>
      <c r="AX341" s="1978">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8">
        <f t="shared" si="233"/>
        <v>0</v>
      </c>
      <c r="AW342" s="1978">
        <f t="shared" si="234"/>
        <v>0</v>
      </c>
      <c r="AX342" s="1978">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8">
        <f t="shared" si="233"/>
        <v>0</v>
      </c>
      <c r="AW343" s="1978">
        <f t="shared" si="234"/>
        <v>0</v>
      </c>
      <c r="AX343" s="1978">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8">
        <f t="shared" si="233"/>
        <v>0</v>
      </c>
      <c r="AW344" s="1978">
        <f t="shared" si="234"/>
        <v>0</v>
      </c>
      <c r="AX344" s="1978">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8">
        <f t="shared" si="233"/>
        <v>0</v>
      </c>
      <c r="AW345" s="1978">
        <f t="shared" si="234"/>
        <v>0</v>
      </c>
      <c r="AX345" s="1978">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8">
        <f t="shared" si="233"/>
        <v>0</v>
      </c>
      <c r="AW346" s="1978">
        <f t="shared" si="234"/>
        <v>0</v>
      </c>
      <c r="AX346" s="1978">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8">
        <f t="shared" si="233"/>
        <v>0</v>
      </c>
      <c r="AW347" s="1978">
        <f t="shared" si="234"/>
        <v>0</v>
      </c>
      <c r="AX347" s="1978">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8">
        <f t="shared" si="233"/>
        <v>0</v>
      </c>
      <c r="AW348" s="1978">
        <f t="shared" si="234"/>
        <v>0</v>
      </c>
      <c r="AX348" s="1978">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8">
        <f t="shared" si="233"/>
        <v>0</v>
      </c>
      <c r="AW349" s="1978">
        <f t="shared" si="234"/>
        <v>0</v>
      </c>
      <c r="AX349" s="1978">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8">
        <f t="shared" si="233"/>
        <v>0</v>
      </c>
      <c r="AW350" s="1978">
        <f t="shared" si="234"/>
        <v>0</v>
      </c>
      <c r="AX350" s="1978">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8">
        <f t="shared" si="233"/>
        <v>0</v>
      </c>
      <c r="AW351" s="1978">
        <f t="shared" si="234"/>
        <v>0</v>
      </c>
      <c r="AX351" s="1978">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8">
        <f t="shared" si="233"/>
        <v>0</v>
      </c>
      <c r="AW352" s="1978">
        <f t="shared" si="234"/>
        <v>0</v>
      </c>
      <c r="AX352" s="1978">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8">
        <f t="shared" si="233"/>
        <v>0</v>
      </c>
      <c r="AW353" s="1978">
        <f t="shared" si="234"/>
        <v>0</v>
      </c>
      <c r="AX353" s="1978">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8">
        <f t="shared" si="233"/>
        <v>0</v>
      </c>
      <c r="AW354" s="1978">
        <f t="shared" si="234"/>
        <v>0</v>
      </c>
      <c r="AX354" s="1978">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8">
        <f t="shared" si="233"/>
        <v>0</v>
      </c>
      <c r="AW355" s="1978">
        <f t="shared" si="234"/>
        <v>0</v>
      </c>
      <c r="AX355" s="1978">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8">
        <f t="shared" si="233"/>
        <v>0</v>
      </c>
      <c r="AW356" s="1978">
        <f t="shared" si="234"/>
        <v>0</v>
      </c>
      <c r="AX356" s="1978">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8">
        <f t="shared" si="233"/>
        <v>0</v>
      </c>
      <c r="AW357" s="1978">
        <f t="shared" si="234"/>
        <v>0</v>
      </c>
      <c r="AX357" s="1978">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8">
        <f t="shared" si="233"/>
        <v>0</v>
      </c>
      <c r="AW358" s="1978">
        <f t="shared" si="234"/>
        <v>0</v>
      </c>
      <c r="AX358" s="1978">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8">
        <f t="shared" si="233"/>
        <v>0</v>
      </c>
      <c r="AW359" s="1978">
        <f t="shared" si="234"/>
        <v>0</v>
      </c>
      <c r="AX359" s="1978">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8">
        <f t="shared" si="233"/>
        <v>0</v>
      </c>
      <c r="AW360" s="1978">
        <f t="shared" si="234"/>
        <v>0</v>
      </c>
      <c r="AX360" s="1978">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8">
        <f t="shared" ref="AV361:AV388" si="262">A361</f>
        <v>0</v>
      </c>
      <c r="AW361" s="1978">
        <f t="shared" ref="AW361:AW388" si="263">B361</f>
        <v>0</v>
      </c>
      <c r="AX361" s="1978">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8">
        <f t="shared" si="262"/>
        <v>0</v>
      </c>
      <c r="AW362" s="1978">
        <f t="shared" si="263"/>
        <v>0</v>
      </c>
      <c r="AX362" s="1978">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8">
        <f t="shared" si="262"/>
        <v>0</v>
      </c>
      <c r="AW363" s="1978">
        <f t="shared" si="263"/>
        <v>0</v>
      </c>
      <c r="AX363" s="1978">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8">
        <f t="shared" si="262"/>
        <v>0</v>
      </c>
      <c r="AW364" s="1978">
        <f t="shared" si="263"/>
        <v>0</v>
      </c>
      <c r="AX364" s="1978">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8">
        <f t="shared" si="262"/>
        <v>0</v>
      </c>
      <c r="AW365" s="1978">
        <f t="shared" si="263"/>
        <v>0</v>
      </c>
      <c r="AX365" s="1978">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8">
        <f t="shared" si="262"/>
        <v>0</v>
      </c>
      <c r="AW366" s="1978">
        <f t="shared" si="263"/>
        <v>0</v>
      </c>
      <c r="AX366" s="1978">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8">
        <f t="shared" si="262"/>
        <v>0</v>
      </c>
      <c r="AW367" s="1978">
        <f t="shared" si="263"/>
        <v>0</v>
      </c>
      <c r="AX367" s="1978">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8">
        <f t="shared" si="262"/>
        <v>0</v>
      </c>
      <c r="AW368" s="1978">
        <f t="shared" si="263"/>
        <v>0</v>
      </c>
      <c r="AX368" s="1978">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8">
        <f t="shared" si="262"/>
        <v>0</v>
      </c>
      <c r="AW369" s="1978">
        <f t="shared" si="263"/>
        <v>0</v>
      </c>
      <c r="AX369" s="1978">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8">
        <f t="shared" si="262"/>
        <v>0</v>
      </c>
      <c r="AW370" s="1978">
        <f t="shared" si="263"/>
        <v>0</v>
      </c>
      <c r="AX370" s="1978">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8">
        <f t="shared" si="262"/>
        <v>0</v>
      </c>
      <c r="AW371" s="1978">
        <f t="shared" si="263"/>
        <v>0</v>
      </c>
      <c r="AX371" s="1978">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8">
        <f t="shared" si="262"/>
        <v>0</v>
      </c>
      <c r="AW372" s="1978">
        <f t="shared" si="263"/>
        <v>0</v>
      </c>
      <c r="AX372" s="1978">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8">
        <f t="shared" si="262"/>
        <v>0</v>
      </c>
      <c r="AW373" s="1978">
        <f t="shared" si="263"/>
        <v>0</v>
      </c>
      <c r="AX373" s="1978">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8">
        <f t="shared" si="262"/>
        <v>0</v>
      </c>
      <c r="AW374" s="1978">
        <f t="shared" si="263"/>
        <v>0</v>
      </c>
      <c r="AX374" s="1978">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8">
        <f t="shared" si="262"/>
        <v>0</v>
      </c>
      <c r="AW375" s="1978">
        <f t="shared" si="263"/>
        <v>0</v>
      </c>
      <c r="AX375" s="1978">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8">
        <f t="shared" si="262"/>
        <v>0</v>
      </c>
      <c r="AW376" s="1978">
        <f t="shared" si="263"/>
        <v>0</v>
      </c>
      <c r="AX376" s="1978">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8">
        <f t="shared" si="262"/>
        <v>0</v>
      </c>
      <c r="AW377" s="1978">
        <f t="shared" si="263"/>
        <v>0</v>
      </c>
      <c r="AX377" s="1978">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8">
        <f t="shared" si="262"/>
        <v>0</v>
      </c>
      <c r="AW378" s="1978">
        <f t="shared" si="263"/>
        <v>0</v>
      </c>
      <c r="AX378" s="1978">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8">
        <f t="shared" si="262"/>
        <v>0</v>
      </c>
      <c r="AW379" s="1978">
        <f t="shared" si="263"/>
        <v>0</v>
      </c>
      <c r="AX379" s="1978">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8">
        <f t="shared" si="262"/>
        <v>0</v>
      </c>
      <c r="AW380" s="1978">
        <f t="shared" si="263"/>
        <v>0</v>
      </c>
      <c r="AX380" s="1978">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8">
        <f t="shared" si="262"/>
        <v>0</v>
      </c>
      <c r="AW381" s="1978">
        <f t="shared" si="263"/>
        <v>0</v>
      </c>
      <c r="AX381" s="1978">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8">
        <f t="shared" si="262"/>
        <v>0</v>
      </c>
      <c r="AW382" s="1978">
        <f t="shared" si="263"/>
        <v>0</v>
      </c>
      <c r="AX382" s="1978">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8">
        <f t="shared" si="262"/>
        <v>0</v>
      </c>
      <c r="AW383" s="1978">
        <f t="shared" si="263"/>
        <v>0</v>
      </c>
      <c r="AX383" s="1978">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8">
        <f t="shared" si="262"/>
        <v>0</v>
      </c>
      <c r="AW384" s="1978">
        <f t="shared" si="263"/>
        <v>0</v>
      </c>
      <c r="AX384" s="1978">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8">
        <f t="shared" si="262"/>
        <v>0</v>
      </c>
      <c r="AW385" s="1978">
        <f t="shared" si="263"/>
        <v>0</v>
      </c>
      <c r="AX385" s="1978">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8">
        <f t="shared" si="262"/>
        <v>0</v>
      </c>
      <c r="AW386" s="1978">
        <f t="shared" si="263"/>
        <v>0</v>
      </c>
      <c r="AX386" s="1978">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8">
        <f t="shared" si="262"/>
        <v>0</v>
      </c>
      <c r="AW387" s="1978">
        <f t="shared" si="263"/>
        <v>0</v>
      </c>
      <c r="AX387" s="1978">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8">
        <f t="shared" si="262"/>
        <v>0</v>
      </c>
      <c r="AW388" s="1978">
        <f t="shared" si="263"/>
        <v>0</v>
      </c>
      <c r="AX388" s="1978">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92"/>
      <c r="C389" s="1393"/>
      <c r="D389" s="78"/>
      <c r="E389" s="85">
        <f t="shared" ref="E389:E480" si="265">IF($C$3="是",ROUND($A$3*G389/$B$3,2),ROUND($A$3*(G389-AT389)/$B$3,2))</f>
        <v>0</v>
      </c>
      <c r="F389" s="86"/>
      <c r="G389" s="87">
        <f t="shared" ref="G389:G477" si="266">H389+AC389+AT389</f>
        <v>0</v>
      </c>
      <c r="H389" s="88">
        <f t="shared" ref="H389:H477" si="267">SUMIF(I$12:AB$12,"总值",I389:AB389)</f>
        <v>0</v>
      </c>
      <c r="I389" s="1395"/>
      <c r="J389" s="89"/>
      <c r="K389" s="1395"/>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6"/>
      <c r="AG389" s="90"/>
      <c r="AH389" s="90"/>
      <c r="AI389" s="90"/>
      <c r="AJ389" s="90"/>
      <c r="AK389" s="90"/>
      <c r="AL389" s="90"/>
      <c r="AM389" s="90"/>
      <c r="AN389" s="1362"/>
      <c r="AO389" s="90"/>
      <c r="AP389" s="90"/>
      <c r="AQ389" s="90"/>
      <c r="AR389" s="90"/>
      <c r="AS389" s="90"/>
      <c r="AT389" s="91"/>
      <c r="AU389" s="92"/>
      <c r="AV389" s="1978">
        <f t="shared" ref="AV389:AV480" si="269">A389</f>
        <v>0</v>
      </c>
      <c r="AW389" s="1978">
        <f t="shared" ref="AW389:AW480" si="270">B389</f>
        <v>0</v>
      </c>
      <c r="AX389" s="1978">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92"/>
      <c r="C390" s="1393"/>
      <c r="D390" s="78"/>
      <c r="E390" s="85">
        <f t="shared" si="265"/>
        <v>0</v>
      </c>
      <c r="F390" s="86"/>
      <c r="G390" s="87">
        <f t="shared" si="266"/>
        <v>0</v>
      </c>
      <c r="H390" s="88">
        <f t="shared" si="267"/>
        <v>0</v>
      </c>
      <c r="I390" s="1395"/>
      <c r="J390" s="89"/>
      <c r="K390" s="1395"/>
      <c r="L390" s="89"/>
      <c r="M390" s="1362"/>
      <c r="N390" s="89"/>
      <c r="O390" s="89"/>
      <c r="P390" s="89"/>
      <c r="Q390" s="89"/>
      <c r="R390" s="89"/>
      <c r="S390" s="89"/>
      <c r="T390" s="89"/>
      <c r="U390" s="89"/>
      <c r="V390" s="89"/>
      <c r="W390" s="89"/>
      <c r="X390" s="89"/>
      <c r="Y390" s="89"/>
      <c r="Z390" s="89"/>
      <c r="AA390" s="89"/>
      <c r="AB390" s="89"/>
      <c r="AC390" s="85">
        <f t="shared" si="268"/>
        <v>0</v>
      </c>
      <c r="AD390" s="1362"/>
      <c r="AE390" s="90"/>
      <c r="AF390" s="1396"/>
      <c r="AG390" s="90"/>
      <c r="AH390" s="90"/>
      <c r="AI390" s="90"/>
      <c r="AJ390" s="90"/>
      <c r="AK390" s="90"/>
      <c r="AL390" s="1362"/>
      <c r="AM390" s="90"/>
      <c r="AN390" s="1362"/>
      <c r="AO390" s="90"/>
      <c r="AP390" s="90"/>
      <c r="AQ390" s="90"/>
      <c r="AR390" s="90"/>
      <c r="AS390" s="90"/>
      <c r="AT390" s="91"/>
      <c r="AU390" s="92"/>
      <c r="AV390" s="1978">
        <f t="shared" si="269"/>
        <v>0</v>
      </c>
      <c r="AW390" s="1978">
        <f t="shared" si="270"/>
        <v>0</v>
      </c>
      <c r="AX390" s="1978">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92"/>
      <c r="C391" s="1393"/>
      <c r="D391" s="78"/>
      <c r="E391" s="85">
        <f t="shared" si="265"/>
        <v>0</v>
      </c>
      <c r="F391" s="86"/>
      <c r="G391" s="87">
        <f t="shared" si="266"/>
        <v>0</v>
      </c>
      <c r="H391" s="88">
        <f t="shared" si="267"/>
        <v>0</v>
      </c>
      <c r="I391" s="1395"/>
      <c r="J391" s="89"/>
      <c r="K391" s="1395"/>
      <c r="L391" s="89"/>
      <c r="M391" s="1362"/>
      <c r="N391" s="89"/>
      <c r="O391" s="89"/>
      <c r="P391" s="89"/>
      <c r="Q391" s="89"/>
      <c r="R391" s="89"/>
      <c r="S391" s="89"/>
      <c r="T391" s="89"/>
      <c r="U391" s="89"/>
      <c r="V391" s="89"/>
      <c r="W391" s="89"/>
      <c r="X391" s="89"/>
      <c r="Y391" s="89"/>
      <c r="Z391" s="89"/>
      <c r="AA391" s="89"/>
      <c r="AB391" s="89"/>
      <c r="AC391" s="85">
        <f t="shared" si="268"/>
        <v>0</v>
      </c>
      <c r="AD391" s="90"/>
      <c r="AE391" s="90"/>
      <c r="AF391" s="1396"/>
      <c r="AG391" s="90"/>
      <c r="AH391" s="90"/>
      <c r="AI391" s="90"/>
      <c r="AJ391" s="90"/>
      <c r="AK391" s="90"/>
      <c r="AL391" s="1362"/>
      <c r="AM391" s="90"/>
      <c r="AN391" s="1362"/>
      <c r="AO391" s="90"/>
      <c r="AP391" s="90"/>
      <c r="AQ391" s="90"/>
      <c r="AR391" s="90"/>
      <c r="AS391" s="90"/>
      <c r="AT391" s="91"/>
      <c r="AU391" s="92"/>
      <c r="AV391" s="1978">
        <f t="shared" si="269"/>
        <v>0</v>
      </c>
      <c r="AW391" s="1978">
        <f t="shared" si="270"/>
        <v>0</v>
      </c>
      <c r="AX391" s="1978">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92"/>
      <c r="C392" s="1393"/>
      <c r="D392" s="78"/>
      <c r="E392" s="85">
        <f t="shared" si="265"/>
        <v>0</v>
      </c>
      <c r="F392" s="86"/>
      <c r="G392" s="87">
        <f t="shared" si="266"/>
        <v>0</v>
      </c>
      <c r="H392" s="88">
        <f t="shared" si="267"/>
        <v>0</v>
      </c>
      <c r="I392" s="1395"/>
      <c r="J392" s="89"/>
      <c r="K392" s="1395"/>
      <c r="L392" s="89"/>
      <c r="M392" s="89"/>
      <c r="N392" s="89"/>
      <c r="O392" s="1362"/>
      <c r="P392" s="89"/>
      <c r="Q392" s="89"/>
      <c r="R392" s="89"/>
      <c r="S392" s="89"/>
      <c r="T392" s="89"/>
      <c r="U392" s="89"/>
      <c r="V392" s="89"/>
      <c r="W392" s="89"/>
      <c r="X392" s="89"/>
      <c r="Y392" s="89"/>
      <c r="Z392" s="89"/>
      <c r="AA392" s="89"/>
      <c r="AB392" s="89"/>
      <c r="AC392" s="85">
        <f t="shared" si="268"/>
        <v>0</v>
      </c>
      <c r="AD392" s="90"/>
      <c r="AE392" s="90"/>
      <c r="AF392" s="1396"/>
      <c r="AG392" s="90"/>
      <c r="AH392" s="90"/>
      <c r="AI392" s="90"/>
      <c r="AJ392" s="90"/>
      <c r="AK392" s="90"/>
      <c r="AL392" s="90"/>
      <c r="AM392" s="90"/>
      <c r="AN392" s="1362"/>
      <c r="AO392" s="90"/>
      <c r="AP392" s="90"/>
      <c r="AQ392" s="90"/>
      <c r="AR392" s="90"/>
      <c r="AS392" s="90"/>
      <c r="AT392" s="91"/>
      <c r="AU392" s="92"/>
      <c r="AV392" s="1978">
        <f t="shared" si="269"/>
        <v>0</v>
      </c>
      <c r="AW392" s="1978">
        <f t="shared" si="270"/>
        <v>0</v>
      </c>
      <c r="AX392" s="1978">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92"/>
      <c r="C393" s="1393"/>
      <c r="D393" s="78"/>
      <c r="E393" s="85">
        <f t="shared" si="265"/>
        <v>0</v>
      </c>
      <c r="F393" s="86"/>
      <c r="G393" s="87">
        <f t="shared" si="266"/>
        <v>0</v>
      </c>
      <c r="H393" s="88">
        <f t="shared" si="267"/>
        <v>0</v>
      </c>
      <c r="I393" s="1395"/>
      <c r="J393" s="89"/>
      <c r="K393" s="1395"/>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6"/>
      <c r="AG393" s="90"/>
      <c r="AH393" s="90"/>
      <c r="AI393" s="90"/>
      <c r="AJ393" s="90"/>
      <c r="AK393" s="90"/>
      <c r="AL393" s="90"/>
      <c r="AM393" s="90"/>
      <c r="AN393" s="90"/>
      <c r="AO393" s="90"/>
      <c r="AP393" s="90"/>
      <c r="AQ393" s="90"/>
      <c r="AR393" s="90"/>
      <c r="AS393" s="90"/>
      <c r="AT393" s="91"/>
      <c r="AU393" s="92"/>
      <c r="AV393" s="1978">
        <f t="shared" si="269"/>
        <v>0</v>
      </c>
      <c r="AW393" s="1978">
        <f t="shared" si="270"/>
        <v>0</v>
      </c>
      <c r="AX393" s="1978">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92"/>
      <c r="C394" s="1393"/>
      <c r="D394" s="78"/>
      <c r="E394" s="85">
        <f t="shared" si="265"/>
        <v>0</v>
      </c>
      <c r="F394" s="86"/>
      <c r="G394" s="87">
        <f t="shared" si="266"/>
        <v>0</v>
      </c>
      <c r="H394" s="88">
        <f t="shared" si="267"/>
        <v>0</v>
      </c>
      <c r="I394" s="1395"/>
      <c r="J394" s="89"/>
      <c r="K394" s="1395"/>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6"/>
      <c r="AG394" s="90"/>
      <c r="AH394" s="90"/>
      <c r="AI394" s="90"/>
      <c r="AJ394" s="90"/>
      <c r="AK394" s="90"/>
      <c r="AL394" s="90"/>
      <c r="AM394" s="90"/>
      <c r="AN394" s="90"/>
      <c r="AO394" s="90"/>
      <c r="AP394" s="90"/>
      <c r="AQ394" s="90"/>
      <c r="AR394" s="90"/>
      <c r="AS394" s="90"/>
      <c r="AT394" s="91"/>
      <c r="AU394" s="92"/>
      <c r="AV394" s="1978">
        <f t="shared" si="269"/>
        <v>0</v>
      </c>
      <c r="AW394" s="1978">
        <f t="shared" si="270"/>
        <v>0</v>
      </c>
      <c r="AX394" s="1978">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92"/>
      <c r="C395" s="1393"/>
      <c r="D395" s="78"/>
      <c r="E395" s="85">
        <f t="shared" si="265"/>
        <v>0</v>
      </c>
      <c r="F395" s="86"/>
      <c r="G395" s="87">
        <f t="shared" si="266"/>
        <v>0</v>
      </c>
      <c r="H395" s="88">
        <f t="shared" si="267"/>
        <v>0</v>
      </c>
      <c r="I395" s="1395"/>
      <c r="J395" s="89"/>
      <c r="K395" s="1395"/>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6"/>
      <c r="AG395" s="90"/>
      <c r="AH395" s="90"/>
      <c r="AI395" s="90"/>
      <c r="AJ395" s="90"/>
      <c r="AK395" s="90"/>
      <c r="AL395" s="90"/>
      <c r="AM395" s="90"/>
      <c r="AN395" s="90"/>
      <c r="AO395" s="90"/>
      <c r="AP395" s="90"/>
      <c r="AQ395" s="90"/>
      <c r="AR395" s="90"/>
      <c r="AS395" s="90"/>
      <c r="AT395" s="91"/>
      <c r="AU395" s="92"/>
      <c r="AV395" s="1978">
        <f t="shared" si="269"/>
        <v>0</v>
      </c>
      <c r="AW395" s="1978">
        <f t="shared" si="270"/>
        <v>0</v>
      </c>
      <c r="AX395" s="1978">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92"/>
      <c r="C396" s="1393"/>
      <c r="D396" s="78"/>
      <c r="E396" s="85">
        <f t="shared" si="265"/>
        <v>0</v>
      </c>
      <c r="F396" s="86"/>
      <c r="G396" s="87">
        <f t="shared" si="266"/>
        <v>0</v>
      </c>
      <c r="H396" s="88">
        <f t="shared" si="267"/>
        <v>0</v>
      </c>
      <c r="I396" s="1395"/>
      <c r="J396" s="89"/>
      <c r="K396" s="1395"/>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5"/>
      <c r="AG396" s="90"/>
      <c r="AH396" s="90"/>
      <c r="AI396" s="90"/>
      <c r="AJ396" s="90"/>
      <c r="AK396" s="90"/>
      <c r="AL396" s="90"/>
      <c r="AM396" s="90"/>
      <c r="AN396" s="90"/>
      <c r="AO396" s="90"/>
      <c r="AP396" s="90"/>
      <c r="AQ396" s="90"/>
      <c r="AR396" s="90"/>
      <c r="AS396" s="90"/>
      <c r="AT396" s="91"/>
      <c r="AU396" s="92"/>
      <c r="AV396" s="1978">
        <f t="shared" si="269"/>
        <v>0</v>
      </c>
      <c r="AW396" s="1978">
        <f t="shared" si="270"/>
        <v>0</v>
      </c>
      <c r="AX396" s="1978">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4"/>
      <c r="C397" s="1395"/>
      <c r="D397" s="78"/>
      <c r="E397" s="85">
        <f t="shared" si="265"/>
        <v>0</v>
      </c>
      <c r="F397" s="86"/>
      <c r="G397" s="87">
        <f t="shared" si="266"/>
        <v>0</v>
      </c>
      <c r="H397" s="88">
        <f t="shared" si="267"/>
        <v>0</v>
      </c>
      <c r="I397" s="1395"/>
      <c r="J397" s="89"/>
      <c r="K397" s="1395"/>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5"/>
      <c r="AG397" s="90"/>
      <c r="AH397" s="90"/>
      <c r="AI397" s="90"/>
      <c r="AJ397" s="90"/>
      <c r="AK397" s="90"/>
      <c r="AL397" s="90"/>
      <c r="AM397" s="90"/>
      <c r="AN397" s="90"/>
      <c r="AO397" s="90"/>
      <c r="AP397" s="90"/>
      <c r="AQ397" s="90"/>
      <c r="AR397" s="90"/>
      <c r="AS397" s="90"/>
      <c r="AT397" s="91"/>
      <c r="AU397" s="92"/>
      <c r="AV397" s="1978">
        <f t="shared" si="269"/>
        <v>0</v>
      </c>
      <c r="AW397" s="1978">
        <f t="shared" si="270"/>
        <v>0</v>
      </c>
      <c r="AX397" s="1978">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92"/>
      <c r="C398" s="1393"/>
      <c r="D398" s="78"/>
      <c r="E398" s="85">
        <f t="shared" si="265"/>
        <v>0</v>
      </c>
      <c r="F398" s="86"/>
      <c r="G398" s="87">
        <f t="shared" si="266"/>
        <v>0</v>
      </c>
      <c r="H398" s="88">
        <f t="shared" si="267"/>
        <v>0</v>
      </c>
      <c r="I398" s="1395"/>
      <c r="J398" s="89"/>
      <c r="K398" s="1395"/>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5"/>
      <c r="AG398" s="90"/>
      <c r="AH398" s="90"/>
      <c r="AI398" s="90"/>
      <c r="AJ398" s="90"/>
      <c r="AK398" s="90"/>
      <c r="AL398" s="90"/>
      <c r="AM398" s="90"/>
      <c r="AN398" s="90"/>
      <c r="AO398" s="90"/>
      <c r="AP398" s="90"/>
      <c r="AQ398" s="90"/>
      <c r="AR398" s="90"/>
      <c r="AS398" s="90"/>
      <c r="AT398" s="91"/>
      <c r="AU398" s="92"/>
      <c r="AV398" s="1978">
        <f t="shared" si="269"/>
        <v>0</v>
      </c>
      <c r="AW398" s="1978">
        <f t="shared" si="270"/>
        <v>0</v>
      </c>
      <c r="AX398" s="1978">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92"/>
      <c r="C399" s="1393"/>
      <c r="D399" s="78"/>
      <c r="E399" s="85">
        <f t="shared" si="265"/>
        <v>0</v>
      </c>
      <c r="F399" s="86"/>
      <c r="G399" s="87">
        <f t="shared" si="266"/>
        <v>0</v>
      </c>
      <c r="H399" s="88">
        <f t="shared" si="267"/>
        <v>0</v>
      </c>
      <c r="I399" s="1395"/>
      <c r="J399" s="89"/>
      <c r="K399" s="1395"/>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5"/>
      <c r="AG399" s="90"/>
      <c r="AH399" s="90"/>
      <c r="AI399" s="90"/>
      <c r="AJ399" s="90"/>
      <c r="AK399" s="90"/>
      <c r="AL399" s="90"/>
      <c r="AM399" s="90"/>
      <c r="AN399" s="90"/>
      <c r="AO399" s="90"/>
      <c r="AP399" s="90"/>
      <c r="AQ399" s="90"/>
      <c r="AR399" s="90"/>
      <c r="AS399" s="90"/>
      <c r="AT399" s="91"/>
      <c r="AU399" s="92"/>
      <c r="AV399" s="1978">
        <f t="shared" si="269"/>
        <v>0</v>
      </c>
      <c r="AW399" s="1978">
        <f t="shared" si="270"/>
        <v>0</v>
      </c>
      <c r="AX399" s="1978">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92"/>
      <c r="C400" s="1393"/>
      <c r="D400" s="78"/>
      <c r="E400" s="85">
        <f t="shared" si="265"/>
        <v>0</v>
      </c>
      <c r="F400" s="86"/>
      <c r="G400" s="87">
        <f t="shared" si="266"/>
        <v>0</v>
      </c>
      <c r="H400" s="88">
        <f t="shared" si="267"/>
        <v>0</v>
      </c>
      <c r="I400" s="1395"/>
      <c r="J400" s="89"/>
      <c r="K400" s="1395"/>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5"/>
      <c r="AG400" s="90"/>
      <c r="AH400" s="90"/>
      <c r="AI400" s="90"/>
      <c r="AJ400" s="90"/>
      <c r="AK400" s="90"/>
      <c r="AL400" s="90"/>
      <c r="AM400" s="90"/>
      <c r="AN400" s="90"/>
      <c r="AO400" s="90"/>
      <c r="AP400" s="90"/>
      <c r="AQ400" s="90"/>
      <c r="AR400" s="90"/>
      <c r="AS400" s="90"/>
      <c r="AT400" s="91"/>
      <c r="AU400" s="92"/>
      <c r="AV400" s="1978">
        <f t="shared" si="269"/>
        <v>0</v>
      </c>
      <c r="AW400" s="1978">
        <f t="shared" si="270"/>
        <v>0</v>
      </c>
      <c r="AX400" s="1978">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92"/>
      <c r="C401" s="1393"/>
      <c r="D401" s="78"/>
      <c r="E401" s="85">
        <f t="shared" si="265"/>
        <v>0</v>
      </c>
      <c r="F401" s="86"/>
      <c r="G401" s="87">
        <f t="shared" si="266"/>
        <v>0</v>
      </c>
      <c r="H401" s="88">
        <f t="shared" si="267"/>
        <v>0</v>
      </c>
      <c r="I401" s="1395"/>
      <c r="J401" s="89"/>
      <c r="K401" s="1395"/>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5"/>
      <c r="AG401" s="90"/>
      <c r="AH401" s="90"/>
      <c r="AI401" s="90"/>
      <c r="AJ401" s="90"/>
      <c r="AK401" s="90"/>
      <c r="AL401" s="90"/>
      <c r="AM401" s="90"/>
      <c r="AN401" s="90"/>
      <c r="AO401" s="90"/>
      <c r="AP401" s="90"/>
      <c r="AQ401" s="90"/>
      <c r="AR401" s="90"/>
      <c r="AS401" s="90"/>
      <c r="AT401" s="91"/>
      <c r="AU401" s="92"/>
      <c r="AV401" s="1978">
        <f t="shared" si="269"/>
        <v>0</v>
      </c>
      <c r="AW401" s="1978">
        <f t="shared" si="270"/>
        <v>0</v>
      </c>
      <c r="AX401" s="1978">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92"/>
      <c r="C402" s="1393"/>
      <c r="D402" s="78"/>
      <c r="E402" s="85">
        <f t="shared" si="265"/>
        <v>0</v>
      </c>
      <c r="F402" s="86"/>
      <c r="G402" s="87">
        <f t="shared" si="266"/>
        <v>0</v>
      </c>
      <c r="H402" s="88">
        <f t="shared" si="267"/>
        <v>0</v>
      </c>
      <c r="I402" s="1395"/>
      <c r="J402" s="89"/>
      <c r="K402" s="1395"/>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5"/>
      <c r="AG402" s="90"/>
      <c r="AH402" s="90"/>
      <c r="AI402" s="90"/>
      <c r="AJ402" s="90"/>
      <c r="AK402" s="90"/>
      <c r="AL402" s="90"/>
      <c r="AM402" s="90"/>
      <c r="AN402" s="90"/>
      <c r="AO402" s="90"/>
      <c r="AP402" s="90"/>
      <c r="AQ402" s="90"/>
      <c r="AR402" s="90"/>
      <c r="AS402" s="90"/>
      <c r="AT402" s="91"/>
      <c r="AU402" s="92"/>
      <c r="AV402" s="1978">
        <f t="shared" si="269"/>
        <v>0</v>
      </c>
      <c r="AW402" s="1978">
        <f t="shared" si="270"/>
        <v>0</v>
      </c>
      <c r="AX402" s="1978">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92"/>
      <c r="C403" s="1393"/>
      <c r="D403" s="78"/>
      <c r="E403" s="85">
        <f t="shared" si="265"/>
        <v>0</v>
      </c>
      <c r="F403" s="86"/>
      <c r="G403" s="87">
        <f t="shared" si="266"/>
        <v>0</v>
      </c>
      <c r="H403" s="88">
        <f t="shared" si="267"/>
        <v>0</v>
      </c>
      <c r="I403" s="1395"/>
      <c r="J403" s="89"/>
      <c r="K403" s="1395"/>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5"/>
      <c r="AG403" s="90"/>
      <c r="AH403" s="90"/>
      <c r="AI403" s="90"/>
      <c r="AJ403" s="90"/>
      <c r="AK403" s="90"/>
      <c r="AL403" s="90"/>
      <c r="AM403" s="90"/>
      <c r="AN403" s="90"/>
      <c r="AO403" s="90"/>
      <c r="AP403" s="90"/>
      <c r="AQ403" s="90"/>
      <c r="AR403" s="90"/>
      <c r="AS403" s="90"/>
      <c r="AT403" s="91"/>
      <c r="AU403" s="92"/>
      <c r="AV403" s="1978">
        <f t="shared" si="269"/>
        <v>0</v>
      </c>
      <c r="AW403" s="1978">
        <f t="shared" si="270"/>
        <v>0</v>
      </c>
      <c r="AX403" s="1978">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92"/>
      <c r="C404" s="1393"/>
      <c r="D404" s="78"/>
      <c r="E404" s="85">
        <f t="shared" si="265"/>
        <v>0</v>
      </c>
      <c r="F404" s="86"/>
      <c r="G404" s="87">
        <f t="shared" si="266"/>
        <v>0</v>
      </c>
      <c r="H404" s="88">
        <f t="shared" si="267"/>
        <v>0</v>
      </c>
      <c r="I404" s="1395"/>
      <c r="J404" s="89"/>
      <c r="K404" s="1395"/>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5"/>
      <c r="AG404" s="90"/>
      <c r="AH404" s="90"/>
      <c r="AI404" s="90"/>
      <c r="AJ404" s="90"/>
      <c r="AK404" s="90"/>
      <c r="AL404" s="90"/>
      <c r="AM404" s="90"/>
      <c r="AN404" s="90"/>
      <c r="AO404" s="90"/>
      <c r="AP404" s="90"/>
      <c r="AQ404" s="90"/>
      <c r="AR404" s="90"/>
      <c r="AS404" s="90"/>
      <c r="AT404" s="91"/>
      <c r="AU404" s="92"/>
      <c r="AV404" s="1978">
        <f t="shared" si="269"/>
        <v>0</v>
      </c>
      <c r="AW404" s="1978">
        <f t="shared" si="270"/>
        <v>0</v>
      </c>
      <c r="AX404" s="1978">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92"/>
      <c r="C405" s="1393"/>
      <c r="D405" s="78"/>
      <c r="E405" s="85">
        <f t="shared" si="265"/>
        <v>0</v>
      </c>
      <c r="F405" s="86"/>
      <c r="G405" s="87">
        <f t="shared" si="266"/>
        <v>0</v>
      </c>
      <c r="H405" s="88">
        <f t="shared" si="267"/>
        <v>0</v>
      </c>
      <c r="I405" s="1395"/>
      <c r="J405" s="89"/>
      <c r="K405" s="1395"/>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5"/>
      <c r="AG405" s="90"/>
      <c r="AH405" s="90"/>
      <c r="AI405" s="90"/>
      <c r="AJ405" s="90"/>
      <c r="AK405" s="90"/>
      <c r="AL405" s="90"/>
      <c r="AM405" s="90"/>
      <c r="AN405" s="90"/>
      <c r="AO405" s="90"/>
      <c r="AP405" s="90"/>
      <c r="AQ405" s="90"/>
      <c r="AR405" s="90"/>
      <c r="AS405" s="90"/>
      <c r="AT405" s="91"/>
      <c r="AU405" s="92"/>
      <c r="AV405" s="1978">
        <f t="shared" si="269"/>
        <v>0</v>
      </c>
      <c r="AW405" s="1978">
        <f t="shared" si="270"/>
        <v>0</v>
      </c>
      <c r="AX405" s="1978">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92"/>
      <c r="C406" s="1393"/>
      <c r="D406" s="78"/>
      <c r="E406" s="85">
        <f t="shared" si="265"/>
        <v>0</v>
      </c>
      <c r="F406" s="86"/>
      <c r="G406" s="87">
        <f t="shared" si="266"/>
        <v>0</v>
      </c>
      <c r="H406" s="88">
        <f t="shared" si="267"/>
        <v>0</v>
      </c>
      <c r="I406" s="1395"/>
      <c r="J406" s="89"/>
      <c r="K406" s="1395"/>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5"/>
      <c r="AG406" s="90"/>
      <c r="AH406" s="90"/>
      <c r="AI406" s="90"/>
      <c r="AJ406" s="90"/>
      <c r="AK406" s="90"/>
      <c r="AL406" s="90"/>
      <c r="AM406" s="90"/>
      <c r="AN406" s="90"/>
      <c r="AO406" s="90"/>
      <c r="AP406" s="90"/>
      <c r="AQ406" s="90"/>
      <c r="AR406" s="90"/>
      <c r="AS406" s="90"/>
      <c r="AT406" s="91"/>
      <c r="AU406" s="92"/>
      <c r="AV406" s="1978">
        <f t="shared" si="269"/>
        <v>0</v>
      </c>
      <c r="AW406" s="1978">
        <f t="shared" si="270"/>
        <v>0</v>
      </c>
      <c r="AX406" s="1978">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92"/>
      <c r="C407" s="1393"/>
      <c r="D407" s="78"/>
      <c r="E407" s="85">
        <f t="shared" si="265"/>
        <v>0</v>
      </c>
      <c r="F407" s="86"/>
      <c r="G407" s="87">
        <f t="shared" si="266"/>
        <v>0</v>
      </c>
      <c r="H407" s="88">
        <f t="shared" si="267"/>
        <v>0</v>
      </c>
      <c r="I407" s="1395"/>
      <c r="J407" s="89"/>
      <c r="K407" s="1395"/>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5"/>
      <c r="AG407" s="90"/>
      <c r="AH407" s="90"/>
      <c r="AI407" s="90"/>
      <c r="AJ407" s="90"/>
      <c r="AK407" s="90"/>
      <c r="AL407" s="90"/>
      <c r="AM407" s="90"/>
      <c r="AN407" s="90"/>
      <c r="AO407" s="90"/>
      <c r="AP407" s="90"/>
      <c r="AQ407" s="90"/>
      <c r="AR407" s="90"/>
      <c r="AS407" s="90"/>
      <c r="AT407" s="91"/>
      <c r="AU407" s="92"/>
      <c r="AV407" s="1978">
        <f t="shared" si="269"/>
        <v>0</v>
      </c>
      <c r="AW407" s="1978">
        <f t="shared" si="270"/>
        <v>0</v>
      </c>
      <c r="AX407" s="1978">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92"/>
      <c r="C408" s="1393"/>
      <c r="D408" s="78"/>
      <c r="E408" s="85">
        <f t="shared" si="265"/>
        <v>0</v>
      </c>
      <c r="F408" s="86"/>
      <c r="G408" s="87">
        <f t="shared" si="266"/>
        <v>0</v>
      </c>
      <c r="H408" s="88">
        <f t="shared" si="267"/>
        <v>0</v>
      </c>
      <c r="I408" s="1395"/>
      <c r="J408" s="89"/>
      <c r="K408" s="1395"/>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5"/>
      <c r="AG408" s="90"/>
      <c r="AH408" s="90"/>
      <c r="AI408" s="90"/>
      <c r="AJ408" s="90"/>
      <c r="AK408" s="90"/>
      <c r="AL408" s="90"/>
      <c r="AM408" s="90"/>
      <c r="AN408" s="90"/>
      <c r="AO408" s="90"/>
      <c r="AP408" s="90"/>
      <c r="AQ408" s="90"/>
      <c r="AR408" s="90"/>
      <c r="AS408" s="90"/>
      <c r="AT408" s="91"/>
      <c r="AU408" s="92"/>
      <c r="AV408" s="1978">
        <f t="shared" si="269"/>
        <v>0</v>
      </c>
      <c r="AW408" s="1978">
        <f t="shared" si="270"/>
        <v>0</v>
      </c>
      <c r="AX408" s="1978">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92"/>
      <c r="C409" s="1393"/>
      <c r="D409" s="78"/>
      <c r="E409" s="85">
        <f t="shared" si="265"/>
        <v>0</v>
      </c>
      <c r="F409" s="86"/>
      <c r="G409" s="87">
        <f t="shared" si="266"/>
        <v>0</v>
      </c>
      <c r="H409" s="88">
        <f t="shared" si="267"/>
        <v>0</v>
      </c>
      <c r="I409" s="1395"/>
      <c r="J409" s="89"/>
      <c r="K409" s="1395"/>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5"/>
      <c r="AG409" s="90"/>
      <c r="AH409" s="90"/>
      <c r="AI409" s="90"/>
      <c r="AJ409" s="90"/>
      <c r="AK409" s="90"/>
      <c r="AL409" s="90"/>
      <c r="AM409" s="90"/>
      <c r="AN409" s="90"/>
      <c r="AO409" s="90"/>
      <c r="AP409" s="90"/>
      <c r="AQ409" s="90"/>
      <c r="AR409" s="90"/>
      <c r="AS409" s="90"/>
      <c r="AT409" s="91"/>
      <c r="AU409" s="92"/>
      <c r="AV409" s="1978">
        <f t="shared" si="269"/>
        <v>0</v>
      </c>
      <c r="AW409" s="1978">
        <f t="shared" si="270"/>
        <v>0</v>
      </c>
      <c r="AX409" s="1978">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92"/>
      <c r="C410" s="1393"/>
      <c r="D410" s="78"/>
      <c r="E410" s="85">
        <f t="shared" si="265"/>
        <v>0</v>
      </c>
      <c r="F410" s="86"/>
      <c r="G410" s="87">
        <f t="shared" si="266"/>
        <v>0</v>
      </c>
      <c r="H410" s="88">
        <f t="shared" si="267"/>
        <v>0</v>
      </c>
      <c r="I410" s="1395"/>
      <c r="J410" s="89"/>
      <c r="K410" s="1395"/>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5"/>
      <c r="AG410" s="90"/>
      <c r="AH410" s="90"/>
      <c r="AI410" s="90"/>
      <c r="AJ410" s="90"/>
      <c r="AK410" s="90"/>
      <c r="AL410" s="90"/>
      <c r="AM410" s="90"/>
      <c r="AN410" s="90"/>
      <c r="AO410" s="90"/>
      <c r="AP410" s="90"/>
      <c r="AQ410" s="90"/>
      <c r="AR410" s="90"/>
      <c r="AS410" s="90"/>
      <c r="AT410" s="91"/>
      <c r="AU410" s="92"/>
      <c r="AV410" s="1978">
        <f t="shared" si="269"/>
        <v>0</v>
      </c>
      <c r="AW410" s="1978">
        <f t="shared" si="270"/>
        <v>0</v>
      </c>
      <c r="AX410" s="1978">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92"/>
      <c r="C411" s="1393"/>
      <c r="D411" s="78"/>
      <c r="E411" s="85">
        <f t="shared" si="265"/>
        <v>0</v>
      </c>
      <c r="F411" s="86"/>
      <c r="G411" s="87">
        <f t="shared" si="266"/>
        <v>0</v>
      </c>
      <c r="H411" s="88">
        <f t="shared" si="267"/>
        <v>0</v>
      </c>
      <c r="I411" s="1395"/>
      <c r="J411" s="89"/>
      <c r="K411" s="1395"/>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5"/>
      <c r="AG411" s="90"/>
      <c r="AH411" s="90"/>
      <c r="AI411" s="90"/>
      <c r="AJ411" s="90"/>
      <c r="AK411" s="90"/>
      <c r="AL411" s="90"/>
      <c r="AM411" s="90"/>
      <c r="AN411" s="90"/>
      <c r="AO411" s="90"/>
      <c r="AP411" s="90"/>
      <c r="AQ411" s="90"/>
      <c r="AR411" s="90"/>
      <c r="AS411" s="90"/>
      <c r="AT411" s="91"/>
      <c r="AU411" s="92"/>
      <c r="AV411" s="1978">
        <f t="shared" si="269"/>
        <v>0</v>
      </c>
      <c r="AW411" s="1978">
        <f t="shared" si="270"/>
        <v>0</v>
      </c>
      <c r="AX411" s="1978">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92"/>
      <c r="C412" s="1393"/>
      <c r="D412" s="78"/>
      <c r="E412" s="85">
        <f t="shared" si="265"/>
        <v>0</v>
      </c>
      <c r="F412" s="86"/>
      <c r="G412" s="87">
        <f t="shared" si="266"/>
        <v>0</v>
      </c>
      <c r="H412" s="88">
        <f t="shared" si="267"/>
        <v>0</v>
      </c>
      <c r="I412" s="1395"/>
      <c r="J412" s="89"/>
      <c r="K412" s="1395"/>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5"/>
      <c r="AG412" s="90"/>
      <c r="AH412" s="90"/>
      <c r="AI412" s="90"/>
      <c r="AJ412" s="90"/>
      <c r="AK412" s="90"/>
      <c r="AL412" s="90"/>
      <c r="AM412" s="90"/>
      <c r="AN412" s="90"/>
      <c r="AO412" s="90"/>
      <c r="AP412" s="90"/>
      <c r="AQ412" s="90"/>
      <c r="AR412" s="90"/>
      <c r="AS412" s="90"/>
      <c r="AT412" s="91"/>
      <c r="AU412" s="92"/>
      <c r="AV412" s="1978">
        <f t="shared" si="269"/>
        <v>0</v>
      </c>
      <c r="AW412" s="1978">
        <f t="shared" si="270"/>
        <v>0</v>
      </c>
      <c r="AX412" s="1978">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92"/>
      <c r="C413" s="1393"/>
      <c r="D413" s="78"/>
      <c r="E413" s="85">
        <f t="shared" si="265"/>
        <v>0</v>
      </c>
      <c r="F413" s="86"/>
      <c r="G413" s="87">
        <f t="shared" si="266"/>
        <v>0</v>
      </c>
      <c r="H413" s="88">
        <f t="shared" si="267"/>
        <v>0</v>
      </c>
      <c r="I413" s="1395"/>
      <c r="J413" s="89"/>
      <c r="K413" s="1395"/>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5"/>
      <c r="AG413" s="90"/>
      <c r="AH413" s="90"/>
      <c r="AI413" s="90"/>
      <c r="AJ413" s="90"/>
      <c r="AK413" s="90"/>
      <c r="AL413" s="90"/>
      <c r="AM413" s="90"/>
      <c r="AN413" s="90"/>
      <c r="AO413" s="90"/>
      <c r="AP413" s="90"/>
      <c r="AQ413" s="90"/>
      <c r="AR413" s="90"/>
      <c r="AS413" s="90"/>
      <c r="AT413" s="91"/>
      <c r="AU413" s="92"/>
      <c r="AV413" s="1978">
        <f t="shared" si="269"/>
        <v>0</v>
      </c>
      <c r="AW413" s="1978">
        <f t="shared" si="270"/>
        <v>0</v>
      </c>
      <c r="AX413" s="1978">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92"/>
      <c r="C414" s="1393"/>
      <c r="D414" s="78"/>
      <c r="E414" s="85">
        <f t="shared" si="265"/>
        <v>0</v>
      </c>
      <c r="F414" s="86"/>
      <c r="G414" s="87">
        <f t="shared" si="266"/>
        <v>0</v>
      </c>
      <c r="H414" s="88">
        <f t="shared" si="267"/>
        <v>0</v>
      </c>
      <c r="I414" s="1395"/>
      <c r="J414" s="89"/>
      <c r="K414" s="1395"/>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5"/>
      <c r="AG414" s="90"/>
      <c r="AH414" s="90"/>
      <c r="AI414" s="90"/>
      <c r="AJ414" s="90"/>
      <c r="AK414" s="90"/>
      <c r="AL414" s="90"/>
      <c r="AM414" s="90"/>
      <c r="AN414" s="90"/>
      <c r="AO414" s="90"/>
      <c r="AP414" s="90"/>
      <c r="AQ414" s="90"/>
      <c r="AR414" s="90"/>
      <c r="AS414" s="90"/>
      <c r="AT414" s="91"/>
      <c r="AU414" s="92"/>
      <c r="AV414" s="1978">
        <f t="shared" si="269"/>
        <v>0</v>
      </c>
      <c r="AW414" s="1978">
        <f t="shared" si="270"/>
        <v>0</v>
      </c>
      <c r="AX414" s="1978">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92"/>
      <c r="C415" s="1393"/>
      <c r="D415" s="78"/>
      <c r="E415" s="85">
        <f t="shared" si="265"/>
        <v>0</v>
      </c>
      <c r="F415" s="86"/>
      <c r="G415" s="87">
        <f t="shared" si="266"/>
        <v>0</v>
      </c>
      <c r="H415" s="88">
        <f t="shared" si="267"/>
        <v>0</v>
      </c>
      <c r="I415" s="1395"/>
      <c r="J415" s="89"/>
      <c r="K415" s="1395"/>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3"/>
      <c r="AG415" s="90"/>
      <c r="AH415" s="90"/>
      <c r="AI415" s="90"/>
      <c r="AJ415" s="90"/>
      <c r="AK415" s="90"/>
      <c r="AL415" s="90"/>
      <c r="AM415" s="90"/>
      <c r="AN415" s="90"/>
      <c r="AO415" s="90"/>
      <c r="AP415" s="90"/>
      <c r="AQ415" s="90"/>
      <c r="AR415" s="90"/>
      <c r="AS415" s="90"/>
      <c r="AT415" s="91"/>
      <c r="AU415" s="92"/>
      <c r="AV415" s="1978">
        <f t="shared" si="269"/>
        <v>0</v>
      </c>
      <c r="AW415" s="1978">
        <f t="shared" si="270"/>
        <v>0</v>
      </c>
      <c r="AX415" s="1978">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92"/>
      <c r="C416" s="1393"/>
      <c r="D416" s="78"/>
      <c r="E416" s="85">
        <f t="shared" si="265"/>
        <v>0</v>
      </c>
      <c r="F416" s="86"/>
      <c r="G416" s="87">
        <f t="shared" si="266"/>
        <v>0</v>
      </c>
      <c r="H416" s="88">
        <f t="shared" si="267"/>
        <v>0</v>
      </c>
      <c r="I416" s="1393"/>
      <c r="J416" s="89"/>
      <c r="K416" s="1393"/>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3"/>
      <c r="AG416" s="90"/>
      <c r="AH416" s="90"/>
      <c r="AI416" s="90"/>
      <c r="AJ416" s="90"/>
      <c r="AK416" s="90"/>
      <c r="AL416" s="90"/>
      <c r="AM416" s="90"/>
      <c r="AN416" s="90"/>
      <c r="AO416" s="90"/>
      <c r="AP416" s="90"/>
      <c r="AQ416" s="90"/>
      <c r="AR416" s="90"/>
      <c r="AS416" s="90"/>
      <c r="AT416" s="91"/>
      <c r="AU416" s="92"/>
      <c r="AV416" s="1978">
        <f t="shared" si="269"/>
        <v>0</v>
      </c>
      <c r="AW416" s="1978">
        <f t="shared" si="270"/>
        <v>0</v>
      </c>
      <c r="AX416" s="1978">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92"/>
      <c r="C417" s="1393"/>
      <c r="D417" s="78"/>
      <c r="E417" s="85">
        <f t="shared" si="265"/>
        <v>0</v>
      </c>
      <c r="F417" s="86"/>
      <c r="G417" s="87">
        <f t="shared" si="266"/>
        <v>0</v>
      </c>
      <c r="H417" s="88">
        <f t="shared" si="267"/>
        <v>0</v>
      </c>
      <c r="I417" s="1393"/>
      <c r="J417" s="89"/>
      <c r="K417" s="1393"/>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3"/>
      <c r="AG417" s="90"/>
      <c r="AH417" s="90"/>
      <c r="AI417" s="90"/>
      <c r="AJ417" s="90"/>
      <c r="AK417" s="90"/>
      <c r="AL417" s="90"/>
      <c r="AM417" s="90"/>
      <c r="AN417" s="90"/>
      <c r="AO417" s="90"/>
      <c r="AP417" s="90"/>
      <c r="AQ417" s="90"/>
      <c r="AR417" s="90"/>
      <c r="AS417" s="90"/>
      <c r="AT417" s="91"/>
      <c r="AU417" s="92"/>
      <c r="AV417" s="1978">
        <f t="shared" si="269"/>
        <v>0</v>
      </c>
      <c r="AW417" s="1978">
        <f t="shared" si="270"/>
        <v>0</v>
      </c>
      <c r="AX417" s="1978">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92"/>
      <c r="C418" s="1393"/>
      <c r="D418" s="78"/>
      <c r="E418" s="85">
        <f t="shared" si="265"/>
        <v>0</v>
      </c>
      <c r="F418" s="86"/>
      <c r="G418" s="87">
        <f t="shared" si="266"/>
        <v>0</v>
      </c>
      <c r="H418" s="88">
        <f t="shared" si="267"/>
        <v>0</v>
      </c>
      <c r="I418" s="1393"/>
      <c r="J418" s="89"/>
      <c r="K418" s="1393"/>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3"/>
      <c r="AG418" s="90"/>
      <c r="AH418" s="90"/>
      <c r="AI418" s="90"/>
      <c r="AJ418" s="90"/>
      <c r="AK418" s="90"/>
      <c r="AL418" s="90"/>
      <c r="AM418" s="90"/>
      <c r="AN418" s="90"/>
      <c r="AO418" s="90"/>
      <c r="AP418" s="90"/>
      <c r="AQ418" s="90"/>
      <c r="AR418" s="90"/>
      <c r="AS418" s="90"/>
      <c r="AT418" s="91"/>
      <c r="AU418" s="92"/>
      <c r="AV418" s="1978">
        <f t="shared" si="269"/>
        <v>0</v>
      </c>
      <c r="AW418" s="1978">
        <f t="shared" si="270"/>
        <v>0</v>
      </c>
      <c r="AX418" s="1978">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92"/>
      <c r="C419" s="1393"/>
      <c r="D419" s="78"/>
      <c r="E419" s="85">
        <f t="shared" si="265"/>
        <v>0</v>
      </c>
      <c r="F419" s="86"/>
      <c r="G419" s="87">
        <f t="shared" si="266"/>
        <v>0</v>
      </c>
      <c r="H419" s="88">
        <f t="shared" si="267"/>
        <v>0</v>
      </c>
      <c r="I419" s="1393"/>
      <c r="J419" s="89"/>
      <c r="K419" s="1393"/>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3"/>
      <c r="AG419" s="90"/>
      <c r="AH419" s="90"/>
      <c r="AI419" s="90"/>
      <c r="AJ419" s="90"/>
      <c r="AK419" s="90"/>
      <c r="AL419" s="90"/>
      <c r="AM419" s="90"/>
      <c r="AN419" s="90"/>
      <c r="AO419" s="90"/>
      <c r="AP419" s="90"/>
      <c r="AQ419" s="90"/>
      <c r="AR419" s="90"/>
      <c r="AS419" s="90"/>
      <c r="AT419" s="91"/>
      <c r="AU419" s="92"/>
      <c r="AV419" s="1978">
        <f t="shared" si="269"/>
        <v>0</v>
      </c>
      <c r="AW419" s="1978">
        <f t="shared" si="270"/>
        <v>0</v>
      </c>
      <c r="AX419" s="1978">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92"/>
      <c r="C420" s="1393"/>
      <c r="D420" s="78"/>
      <c r="E420" s="85">
        <f t="shared" si="265"/>
        <v>0</v>
      </c>
      <c r="F420" s="86"/>
      <c r="G420" s="87">
        <f t="shared" si="266"/>
        <v>0</v>
      </c>
      <c r="H420" s="88">
        <f t="shared" si="267"/>
        <v>0</v>
      </c>
      <c r="I420" s="1393"/>
      <c r="J420" s="89"/>
      <c r="K420" s="1393"/>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3"/>
      <c r="AG420" s="90"/>
      <c r="AH420" s="90"/>
      <c r="AI420" s="90"/>
      <c r="AJ420" s="90"/>
      <c r="AK420" s="90"/>
      <c r="AL420" s="90"/>
      <c r="AM420" s="90"/>
      <c r="AN420" s="90"/>
      <c r="AO420" s="90"/>
      <c r="AP420" s="90"/>
      <c r="AQ420" s="90"/>
      <c r="AR420" s="90"/>
      <c r="AS420" s="90"/>
      <c r="AT420" s="91"/>
      <c r="AU420" s="92"/>
      <c r="AV420" s="1978">
        <f t="shared" si="269"/>
        <v>0</v>
      </c>
      <c r="AW420" s="1978">
        <f t="shared" si="270"/>
        <v>0</v>
      </c>
      <c r="AX420" s="1978">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92"/>
      <c r="C421" s="1393"/>
      <c r="D421" s="78"/>
      <c r="E421" s="85">
        <f t="shared" si="265"/>
        <v>0</v>
      </c>
      <c r="F421" s="86"/>
      <c r="G421" s="87">
        <f t="shared" si="266"/>
        <v>0</v>
      </c>
      <c r="H421" s="88">
        <f t="shared" si="267"/>
        <v>0</v>
      </c>
      <c r="I421" s="1393"/>
      <c r="J421" s="89"/>
      <c r="K421" s="1393"/>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3"/>
      <c r="AG421" s="90"/>
      <c r="AH421" s="90"/>
      <c r="AI421" s="90"/>
      <c r="AJ421" s="90"/>
      <c r="AK421" s="90"/>
      <c r="AL421" s="90"/>
      <c r="AM421" s="90"/>
      <c r="AN421" s="90"/>
      <c r="AO421" s="90"/>
      <c r="AP421" s="90"/>
      <c r="AQ421" s="90"/>
      <c r="AR421" s="90"/>
      <c r="AS421" s="90"/>
      <c r="AT421" s="91"/>
      <c r="AU421" s="92"/>
      <c r="AV421" s="1978">
        <f t="shared" si="269"/>
        <v>0</v>
      </c>
      <c r="AW421" s="1978">
        <f t="shared" si="270"/>
        <v>0</v>
      </c>
      <c r="AX421" s="1978">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92"/>
      <c r="C422" s="1393"/>
      <c r="D422" s="78"/>
      <c r="E422" s="85">
        <f t="shared" si="265"/>
        <v>0</v>
      </c>
      <c r="F422" s="86"/>
      <c r="G422" s="87">
        <f t="shared" si="266"/>
        <v>0</v>
      </c>
      <c r="H422" s="88">
        <f t="shared" si="267"/>
        <v>0</v>
      </c>
      <c r="I422" s="1393"/>
      <c r="J422" s="89"/>
      <c r="K422" s="1393"/>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3"/>
      <c r="AG422" s="90"/>
      <c r="AH422" s="90"/>
      <c r="AI422" s="90"/>
      <c r="AJ422" s="90"/>
      <c r="AK422" s="90"/>
      <c r="AL422" s="90"/>
      <c r="AM422" s="90"/>
      <c r="AN422" s="90"/>
      <c r="AO422" s="90"/>
      <c r="AP422" s="90"/>
      <c r="AQ422" s="90"/>
      <c r="AR422" s="90"/>
      <c r="AS422" s="90"/>
      <c r="AT422" s="91"/>
      <c r="AU422" s="92"/>
      <c r="AV422" s="1978">
        <f t="shared" si="269"/>
        <v>0</v>
      </c>
      <c r="AW422" s="1978">
        <f t="shared" si="270"/>
        <v>0</v>
      </c>
      <c r="AX422" s="1978">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4"/>
      <c r="C423" s="1395"/>
      <c r="D423" s="78"/>
      <c r="E423" s="85">
        <f t="shared" si="265"/>
        <v>0</v>
      </c>
      <c r="F423" s="86"/>
      <c r="G423" s="87">
        <f t="shared" si="266"/>
        <v>0</v>
      </c>
      <c r="H423" s="88">
        <f t="shared" si="267"/>
        <v>0</v>
      </c>
      <c r="I423" s="1393"/>
      <c r="J423" s="89"/>
      <c r="K423" s="1393"/>
      <c r="L423" s="89"/>
      <c r="M423" s="1393"/>
      <c r="N423" s="89"/>
      <c r="O423" s="89"/>
      <c r="P423" s="89"/>
      <c r="Q423" s="89"/>
      <c r="R423" s="89"/>
      <c r="S423" s="89"/>
      <c r="T423" s="89"/>
      <c r="U423" s="89"/>
      <c r="V423" s="89"/>
      <c r="W423" s="89"/>
      <c r="X423" s="89"/>
      <c r="Y423" s="89"/>
      <c r="Z423" s="89"/>
      <c r="AA423" s="89"/>
      <c r="AB423" s="89"/>
      <c r="AC423" s="85">
        <f t="shared" si="268"/>
        <v>0</v>
      </c>
      <c r="AD423" s="90"/>
      <c r="AE423" s="90"/>
      <c r="AF423" s="1393"/>
      <c r="AG423" s="90"/>
      <c r="AH423" s="90"/>
      <c r="AI423" s="90"/>
      <c r="AJ423" s="90"/>
      <c r="AK423" s="90"/>
      <c r="AL423" s="90"/>
      <c r="AM423" s="90"/>
      <c r="AN423" s="90"/>
      <c r="AO423" s="90"/>
      <c r="AP423" s="90"/>
      <c r="AQ423" s="90"/>
      <c r="AR423" s="90"/>
      <c r="AS423" s="90"/>
      <c r="AT423" s="91"/>
      <c r="AU423" s="92"/>
      <c r="AV423" s="1978">
        <f t="shared" si="269"/>
        <v>0</v>
      </c>
      <c r="AW423" s="1978">
        <f t="shared" si="270"/>
        <v>0</v>
      </c>
      <c r="AX423" s="1978">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8">
        <f t="shared" si="269"/>
        <v>0</v>
      </c>
      <c r="AW424" s="1978">
        <f t="shared" si="270"/>
        <v>0</v>
      </c>
      <c r="AX424" s="1978">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8">
        <f t="shared" si="269"/>
        <v>0</v>
      </c>
      <c r="AW425" s="1978">
        <f t="shared" si="270"/>
        <v>0</v>
      </c>
      <c r="AX425" s="1978">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8">
        <f t="shared" si="269"/>
        <v>0</v>
      </c>
      <c r="AW426" s="1978">
        <f t="shared" si="270"/>
        <v>0</v>
      </c>
      <c r="AX426" s="1978">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8">
        <f t="shared" si="269"/>
        <v>0</v>
      </c>
      <c r="AW427" s="1978">
        <f t="shared" si="270"/>
        <v>0</v>
      </c>
      <c r="AX427" s="1978">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8">
        <f t="shared" si="269"/>
        <v>0</v>
      </c>
      <c r="AW428" s="1978">
        <f t="shared" si="270"/>
        <v>0</v>
      </c>
      <c r="AX428" s="1978">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8">
        <f t="shared" si="269"/>
        <v>0</v>
      </c>
      <c r="AW429" s="1978">
        <f t="shared" si="270"/>
        <v>0</v>
      </c>
      <c r="AX429" s="1978">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8">
        <f t="shared" si="269"/>
        <v>0</v>
      </c>
      <c r="AW430" s="1978">
        <f t="shared" si="270"/>
        <v>0</v>
      </c>
      <c r="AX430" s="1978">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8">
        <f t="shared" si="269"/>
        <v>0</v>
      </c>
      <c r="AW431" s="1978">
        <f t="shared" si="270"/>
        <v>0</v>
      </c>
      <c r="AX431" s="1978">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8">
        <f t="shared" si="269"/>
        <v>0</v>
      </c>
      <c r="AW432" s="1978">
        <f t="shared" si="270"/>
        <v>0</v>
      </c>
      <c r="AX432" s="1978">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8">
        <f t="shared" si="269"/>
        <v>0</v>
      </c>
      <c r="AW433" s="1978">
        <f t="shared" si="270"/>
        <v>0</v>
      </c>
      <c r="AX433" s="1978">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8">
        <f t="shared" si="269"/>
        <v>0</v>
      </c>
      <c r="AW434" s="1978">
        <f t="shared" si="270"/>
        <v>0</v>
      </c>
      <c r="AX434" s="1978">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8">
        <f t="shared" si="269"/>
        <v>0</v>
      </c>
      <c r="AW435" s="1978">
        <f t="shared" si="270"/>
        <v>0</v>
      </c>
      <c r="AX435" s="1978">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8">
        <f t="shared" si="269"/>
        <v>0</v>
      </c>
      <c r="AW436" s="1978">
        <f t="shared" si="270"/>
        <v>0</v>
      </c>
      <c r="AX436" s="1978">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8">
        <f t="shared" si="269"/>
        <v>0</v>
      </c>
      <c r="AW437" s="1978">
        <f t="shared" si="270"/>
        <v>0</v>
      </c>
      <c r="AX437" s="1978">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8">
        <f t="shared" si="269"/>
        <v>0</v>
      </c>
      <c r="AW438" s="1978">
        <f t="shared" si="270"/>
        <v>0</v>
      </c>
      <c r="AX438" s="1978">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8">
        <f t="shared" si="269"/>
        <v>0</v>
      </c>
      <c r="AW439" s="1978">
        <f t="shared" si="270"/>
        <v>0</v>
      </c>
      <c r="AX439" s="1978">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8">
        <f t="shared" si="269"/>
        <v>0</v>
      </c>
      <c r="AW440" s="1978">
        <f t="shared" si="270"/>
        <v>0</v>
      </c>
      <c r="AX440" s="1978">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8">
        <f t="shared" si="269"/>
        <v>0</v>
      </c>
      <c r="AW441" s="1978">
        <f t="shared" si="270"/>
        <v>0</v>
      </c>
      <c r="AX441" s="1978">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8">
        <f t="shared" si="269"/>
        <v>0</v>
      </c>
      <c r="AW442" s="1978">
        <f t="shared" si="270"/>
        <v>0</v>
      </c>
      <c r="AX442" s="1978">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8">
        <f t="shared" si="269"/>
        <v>0</v>
      </c>
      <c r="AW443" s="1978">
        <f t="shared" si="270"/>
        <v>0</v>
      </c>
      <c r="AX443" s="1978">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8">
        <f t="shared" si="269"/>
        <v>0</v>
      </c>
      <c r="AW444" s="1978">
        <f t="shared" si="270"/>
        <v>0</v>
      </c>
      <c r="AX444" s="1978">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8">
        <f t="shared" si="269"/>
        <v>0</v>
      </c>
      <c r="AW445" s="1978">
        <f t="shared" si="270"/>
        <v>0</v>
      </c>
      <c r="AX445" s="1978">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8">
        <f t="shared" si="269"/>
        <v>0</v>
      </c>
      <c r="AW446" s="1978">
        <f t="shared" si="270"/>
        <v>0</v>
      </c>
      <c r="AX446" s="1978">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8">
        <f t="shared" si="269"/>
        <v>0</v>
      </c>
      <c r="AW447" s="1978">
        <f t="shared" si="270"/>
        <v>0</v>
      </c>
      <c r="AX447" s="1978">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8">
        <f t="shared" si="269"/>
        <v>0</v>
      </c>
      <c r="AW448" s="1978">
        <f t="shared" si="270"/>
        <v>0</v>
      </c>
      <c r="AX448" s="1978">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8">
        <f t="shared" si="269"/>
        <v>0</v>
      </c>
      <c r="AW449" s="1978">
        <f t="shared" si="270"/>
        <v>0</v>
      </c>
      <c r="AX449" s="1978">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8">
        <f t="shared" si="269"/>
        <v>0</v>
      </c>
      <c r="AW450" s="1978">
        <f t="shared" si="270"/>
        <v>0</v>
      </c>
      <c r="AX450" s="1978">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8">
        <f t="shared" si="269"/>
        <v>0</v>
      </c>
      <c r="AW451" s="1978">
        <f t="shared" si="270"/>
        <v>0</v>
      </c>
      <c r="AX451" s="1978">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8">
        <f t="shared" si="269"/>
        <v>0</v>
      </c>
      <c r="AW452" s="1978">
        <f t="shared" si="270"/>
        <v>0</v>
      </c>
      <c r="AX452" s="1978">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8">
        <f t="shared" si="269"/>
        <v>0</v>
      </c>
      <c r="AW453" s="1978">
        <f t="shared" si="270"/>
        <v>0</v>
      </c>
      <c r="AX453" s="1978">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8">
        <f t="shared" si="269"/>
        <v>0</v>
      </c>
      <c r="AW454" s="1978">
        <f t="shared" si="270"/>
        <v>0</v>
      </c>
      <c r="AX454" s="1978">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8">
        <f t="shared" si="269"/>
        <v>0</v>
      </c>
      <c r="AW455" s="1978">
        <f t="shared" si="270"/>
        <v>0</v>
      </c>
      <c r="AX455" s="1978">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8">
        <f t="shared" si="269"/>
        <v>0</v>
      </c>
      <c r="AW456" s="1978">
        <f t="shared" si="270"/>
        <v>0</v>
      </c>
      <c r="AX456" s="1978">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8">
        <f t="shared" si="269"/>
        <v>0</v>
      </c>
      <c r="AW457" s="1978">
        <f t="shared" si="270"/>
        <v>0</v>
      </c>
      <c r="AX457" s="1978">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8">
        <f t="shared" si="269"/>
        <v>0</v>
      </c>
      <c r="AW458" s="1978">
        <f t="shared" si="270"/>
        <v>0</v>
      </c>
      <c r="AX458" s="1978">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8">
        <f t="shared" si="269"/>
        <v>0</v>
      </c>
      <c r="AW459" s="1978">
        <f t="shared" si="270"/>
        <v>0</v>
      </c>
      <c r="AX459" s="1978">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8">
        <f t="shared" si="269"/>
        <v>0</v>
      </c>
      <c r="AW460" s="1978">
        <f t="shared" si="270"/>
        <v>0</v>
      </c>
      <c r="AX460" s="1978">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8">
        <f t="shared" si="269"/>
        <v>0</v>
      </c>
      <c r="AW461" s="1978">
        <f t="shared" si="270"/>
        <v>0</v>
      </c>
      <c r="AX461" s="1978">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8">
        <f t="shared" si="269"/>
        <v>0</v>
      </c>
      <c r="AW462" s="1978">
        <f t="shared" si="270"/>
        <v>0</v>
      </c>
      <c r="AX462" s="1978">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8">
        <f t="shared" si="269"/>
        <v>0</v>
      </c>
      <c r="AW463" s="1978">
        <f t="shared" si="270"/>
        <v>0</v>
      </c>
      <c r="AX463" s="1978">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8">
        <f t="shared" si="269"/>
        <v>0</v>
      </c>
      <c r="AW464" s="1978">
        <f t="shared" si="270"/>
        <v>0</v>
      </c>
      <c r="AX464" s="1978">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8">
        <f t="shared" si="269"/>
        <v>0</v>
      </c>
      <c r="AW465" s="1978">
        <f t="shared" si="270"/>
        <v>0</v>
      </c>
      <c r="AX465" s="1978">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8">
        <f t="shared" si="269"/>
        <v>0</v>
      </c>
      <c r="AW466" s="1978">
        <f t="shared" si="270"/>
        <v>0</v>
      </c>
      <c r="AX466" s="1978">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8">
        <f t="shared" si="269"/>
        <v>0</v>
      </c>
      <c r="AW467" s="1978">
        <f t="shared" si="270"/>
        <v>0</v>
      </c>
      <c r="AX467" s="1978">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8">
        <f t="shared" si="269"/>
        <v>0</v>
      </c>
      <c r="AW468" s="1978">
        <f t="shared" si="270"/>
        <v>0</v>
      </c>
      <c r="AX468" s="1978">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8">
        <f t="shared" si="269"/>
        <v>0</v>
      </c>
      <c r="AW469" s="1978">
        <f t="shared" si="270"/>
        <v>0</v>
      </c>
      <c r="AX469" s="1978">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8">
        <f t="shared" si="269"/>
        <v>0</v>
      </c>
      <c r="AW470" s="1978">
        <f t="shared" si="270"/>
        <v>0</v>
      </c>
      <c r="AX470" s="1978">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8">
        <f t="shared" si="269"/>
        <v>0</v>
      </c>
      <c r="AW471" s="1978">
        <f t="shared" si="270"/>
        <v>0</v>
      </c>
      <c r="AX471" s="1978">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8">
        <f t="shared" si="269"/>
        <v>0</v>
      </c>
      <c r="AW472" s="1978">
        <f t="shared" si="270"/>
        <v>0</v>
      </c>
      <c r="AX472" s="1978">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8">
        <f t="shared" si="269"/>
        <v>0</v>
      </c>
      <c r="AW473" s="1978">
        <f t="shared" si="270"/>
        <v>0</v>
      </c>
      <c r="AX473" s="1978">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8">
        <f t="shared" si="269"/>
        <v>0</v>
      </c>
      <c r="AW474" s="1978">
        <f t="shared" si="270"/>
        <v>0</v>
      </c>
      <c r="AX474" s="1978">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8">
        <f t="shared" si="269"/>
        <v>0</v>
      </c>
      <c r="AW475" s="1978">
        <f t="shared" si="270"/>
        <v>0</v>
      </c>
      <c r="AX475" s="1978">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8">
        <f t="shared" si="269"/>
        <v>0</v>
      </c>
      <c r="AW476" s="1978">
        <f t="shared" si="270"/>
        <v>0</v>
      </c>
      <c r="AX476" s="1978">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8">
        <f t="shared" si="269"/>
        <v>0</v>
      </c>
      <c r="AW477" s="1978">
        <f t="shared" si="270"/>
        <v>0</v>
      </c>
      <c r="AX477" s="1978">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8">
        <f t="shared" si="269"/>
        <v>0</v>
      </c>
      <c r="AW478" s="1978">
        <f t="shared" si="270"/>
        <v>0</v>
      </c>
      <c r="AX478" s="1978">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8">
        <f t="shared" si="269"/>
        <v>0</v>
      </c>
      <c r="AW479" s="1978">
        <f t="shared" si="270"/>
        <v>0</v>
      </c>
      <c r="AX479" s="1978">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8">
        <f t="shared" si="269"/>
        <v>0</v>
      </c>
      <c r="AW480" s="1978">
        <f t="shared" si="270"/>
        <v>0</v>
      </c>
      <c r="AX480" s="1978">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92"/>
      <c r="C481" s="1393"/>
      <c r="D481" s="78"/>
      <c r="E481" s="85">
        <f t="shared" ref="E481:E504" si="319">IF($C$3="是",ROUND($A$3*G481/$B$3,2),ROUND($A$3*(G481-AT481)/$B$3,2))</f>
        <v>0</v>
      </c>
      <c r="F481" s="86"/>
      <c r="G481" s="87">
        <f t="shared" si="294"/>
        <v>0</v>
      </c>
      <c r="H481" s="88">
        <f t="shared" si="295"/>
        <v>0</v>
      </c>
      <c r="I481" s="1395"/>
      <c r="J481" s="89"/>
      <c r="K481" s="1395"/>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6"/>
      <c r="AG481" s="90"/>
      <c r="AH481" s="90"/>
      <c r="AI481" s="90"/>
      <c r="AJ481" s="90"/>
      <c r="AK481" s="90"/>
      <c r="AL481" s="90"/>
      <c r="AM481" s="90"/>
      <c r="AN481" s="1362"/>
      <c r="AO481" s="90"/>
      <c r="AP481" s="90"/>
      <c r="AQ481" s="90"/>
      <c r="AR481" s="90"/>
      <c r="AS481" s="90"/>
      <c r="AT481" s="91"/>
      <c r="AU481" s="92"/>
      <c r="AV481" s="990">
        <f t="shared" ref="AV481:AV505" si="320">A481</f>
        <v>0</v>
      </c>
      <c r="AW481" s="990">
        <f t="shared" ref="AW481:AW505" si="321">B481</f>
        <v>0</v>
      </c>
      <c r="AX481" s="99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92"/>
      <c r="C482" s="1393"/>
      <c r="D482" s="78"/>
      <c r="E482" s="85">
        <f t="shared" si="319"/>
        <v>0</v>
      </c>
      <c r="F482" s="86"/>
      <c r="G482" s="87">
        <f t="shared" si="294"/>
        <v>0</v>
      </c>
      <c r="H482" s="88">
        <f t="shared" si="295"/>
        <v>0</v>
      </c>
      <c r="I482" s="1395"/>
      <c r="J482" s="89"/>
      <c r="K482" s="1395"/>
      <c r="L482" s="89"/>
      <c r="M482" s="1362"/>
      <c r="N482" s="89"/>
      <c r="O482" s="89"/>
      <c r="P482" s="89"/>
      <c r="Q482" s="89"/>
      <c r="R482" s="89"/>
      <c r="S482" s="89"/>
      <c r="T482" s="89"/>
      <c r="U482" s="89"/>
      <c r="V482" s="89"/>
      <c r="W482" s="89"/>
      <c r="X482" s="89"/>
      <c r="Y482" s="89"/>
      <c r="Z482" s="89"/>
      <c r="AA482" s="89"/>
      <c r="AB482" s="89"/>
      <c r="AC482" s="85">
        <f t="shared" si="296"/>
        <v>0</v>
      </c>
      <c r="AD482" s="1362"/>
      <c r="AE482" s="90"/>
      <c r="AF482" s="1396"/>
      <c r="AG482" s="90"/>
      <c r="AH482" s="90"/>
      <c r="AI482" s="90"/>
      <c r="AJ482" s="90"/>
      <c r="AK482" s="90"/>
      <c r="AL482" s="1362"/>
      <c r="AM482" s="90"/>
      <c r="AN482" s="1362"/>
      <c r="AO482" s="90"/>
      <c r="AP482" s="90"/>
      <c r="AQ482" s="90"/>
      <c r="AR482" s="90"/>
      <c r="AS482" s="90"/>
      <c r="AT482" s="91"/>
      <c r="AU482" s="92"/>
      <c r="AV482" s="990">
        <f t="shared" si="320"/>
        <v>0</v>
      </c>
      <c r="AW482" s="990">
        <f t="shared" si="321"/>
        <v>0</v>
      </c>
      <c r="AX482" s="99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92"/>
      <c r="C483" s="1393"/>
      <c r="D483" s="78"/>
      <c r="E483" s="85">
        <f t="shared" si="319"/>
        <v>0</v>
      </c>
      <c r="F483" s="86"/>
      <c r="G483" s="87">
        <f t="shared" si="294"/>
        <v>0</v>
      </c>
      <c r="H483" s="88">
        <f t="shared" si="295"/>
        <v>0</v>
      </c>
      <c r="I483" s="1395"/>
      <c r="J483" s="89"/>
      <c r="K483" s="1395"/>
      <c r="L483" s="89"/>
      <c r="M483" s="1362"/>
      <c r="N483" s="89"/>
      <c r="O483" s="89"/>
      <c r="P483" s="89"/>
      <c r="Q483" s="89"/>
      <c r="R483" s="89"/>
      <c r="S483" s="89"/>
      <c r="T483" s="89"/>
      <c r="U483" s="89"/>
      <c r="V483" s="89"/>
      <c r="W483" s="89"/>
      <c r="X483" s="89"/>
      <c r="Y483" s="89"/>
      <c r="Z483" s="89"/>
      <c r="AA483" s="89"/>
      <c r="AB483" s="89"/>
      <c r="AC483" s="85">
        <f t="shared" si="296"/>
        <v>0</v>
      </c>
      <c r="AD483" s="90"/>
      <c r="AE483" s="90"/>
      <c r="AF483" s="1396"/>
      <c r="AG483" s="90"/>
      <c r="AH483" s="90"/>
      <c r="AI483" s="90"/>
      <c r="AJ483" s="90"/>
      <c r="AK483" s="90"/>
      <c r="AL483" s="1362"/>
      <c r="AM483" s="90"/>
      <c r="AN483" s="1362"/>
      <c r="AO483" s="90"/>
      <c r="AP483" s="90"/>
      <c r="AQ483" s="90"/>
      <c r="AR483" s="90"/>
      <c r="AS483" s="90"/>
      <c r="AT483" s="91"/>
      <c r="AU483" s="92"/>
      <c r="AV483" s="990">
        <f t="shared" si="320"/>
        <v>0</v>
      </c>
      <c r="AW483" s="990">
        <f t="shared" si="321"/>
        <v>0</v>
      </c>
      <c r="AX483" s="99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92"/>
      <c r="C484" s="1393"/>
      <c r="D484" s="78"/>
      <c r="E484" s="85">
        <f t="shared" si="319"/>
        <v>0</v>
      </c>
      <c r="F484" s="86"/>
      <c r="G484" s="87">
        <f t="shared" si="294"/>
        <v>0</v>
      </c>
      <c r="H484" s="88">
        <f t="shared" si="295"/>
        <v>0</v>
      </c>
      <c r="I484" s="1395"/>
      <c r="J484" s="89"/>
      <c r="K484" s="1395"/>
      <c r="L484" s="89"/>
      <c r="M484" s="89"/>
      <c r="N484" s="89"/>
      <c r="O484" s="1362"/>
      <c r="P484" s="89"/>
      <c r="Q484" s="89"/>
      <c r="R484" s="89"/>
      <c r="S484" s="89"/>
      <c r="T484" s="89"/>
      <c r="U484" s="89"/>
      <c r="V484" s="89"/>
      <c r="W484" s="89"/>
      <c r="X484" s="89"/>
      <c r="Y484" s="89"/>
      <c r="Z484" s="89"/>
      <c r="AA484" s="89"/>
      <c r="AB484" s="89"/>
      <c r="AC484" s="85">
        <f t="shared" si="296"/>
        <v>0</v>
      </c>
      <c r="AD484" s="90"/>
      <c r="AE484" s="90"/>
      <c r="AF484" s="1396"/>
      <c r="AG484" s="90"/>
      <c r="AH484" s="90"/>
      <c r="AI484" s="90"/>
      <c r="AJ484" s="90"/>
      <c r="AK484" s="90"/>
      <c r="AL484" s="90"/>
      <c r="AM484" s="90"/>
      <c r="AN484" s="1362"/>
      <c r="AO484" s="90"/>
      <c r="AP484" s="90"/>
      <c r="AQ484" s="90"/>
      <c r="AR484" s="90"/>
      <c r="AS484" s="90"/>
      <c r="AT484" s="91"/>
      <c r="AU484" s="92"/>
      <c r="AV484" s="990">
        <f t="shared" si="320"/>
        <v>0</v>
      </c>
      <c r="AW484" s="990">
        <f t="shared" si="321"/>
        <v>0</v>
      </c>
      <c r="AX484" s="99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92"/>
      <c r="C485" s="1393"/>
      <c r="D485" s="78"/>
      <c r="E485" s="85">
        <f t="shared" si="319"/>
        <v>0</v>
      </c>
      <c r="F485" s="86"/>
      <c r="G485" s="87">
        <f t="shared" si="294"/>
        <v>0</v>
      </c>
      <c r="H485" s="88">
        <f t="shared" si="295"/>
        <v>0</v>
      </c>
      <c r="I485" s="1395"/>
      <c r="J485" s="89"/>
      <c r="K485" s="1395"/>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6"/>
      <c r="AG485" s="90"/>
      <c r="AH485" s="90"/>
      <c r="AI485" s="90"/>
      <c r="AJ485" s="90"/>
      <c r="AK485" s="90"/>
      <c r="AL485" s="90"/>
      <c r="AM485" s="90"/>
      <c r="AN485" s="90"/>
      <c r="AO485" s="90"/>
      <c r="AP485" s="90"/>
      <c r="AQ485" s="90"/>
      <c r="AR485" s="90"/>
      <c r="AS485" s="90"/>
      <c r="AT485" s="91"/>
      <c r="AU485" s="92"/>
      <c r="AV485" s="990">
        <f t="shared" si="320"/>
        <v>0</v>
      </c>
      <c r="AW485" s="990">
        <f t="shared" si="321"/>
        <v>0</v>
      </c>
      <c r="AX485" s="99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92"/>
      <c r="C486" s="1393"/>
      <c r="D486" s="78"/>
      <c r="E486" s="85">
        <f t="shared" si="319"/>
        <v>0</v>
      </c>
      <c r="F486" s="86"/>
      <c r="G486" s="87">
        <f t="shared" si="294"/>
        <v>0</v>
      </c>
      <c r="H486" s="88">
        <f t="shared" si="295"/>
        <v>0</v>
      </c>
      <c r="I486" s="1395"/>
      <c r="J486" s="89"/>
      <c r="K486" s="1395"/>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6"/>
      <c r="AG486" s="90"/>
      <c r="AH486" s="90"/>
      <c r="AI486" s="90"/>
      <c r="AJ486" s="90"/>
      <c r="AK486" s="90"/>
      <c r="AL486" s="90"/>
      <c r="AM486" s="90"/>
      <c r="AN486" s="90"/>
      <c r="AO486" s="90"/>
      <c r="AP486" s="90"/>
      <c r="AQ486" s="90"/>
      <c r="AR486" s="90"/>
      <c r="AS486" s="90"/>
      <c r="AT486" s="91"/>
      <c r="AU486" s="92"/>
      <c r="AV486" s="990">
        <f t="shared" si="320"/>
        <v>0</v>
      </c>
      <c r="AW486" s="990">
        <f t="shared" si="321"/>
        <v>0</v>
      </c>
      <c r="AX486" s="99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92"/>
      <c r="C487" s="1393"/>
      <c r="D487" s="78"/>
      <c r="E487" s="85">
        <f t="shared" si="319"/>
        <v>0</v>
      </c>
      <c r="F487" s="86"/>
      <c r="G487" s="87">
        <f t="shared" si="294"/>
        <v>0</v>
      </c>
      <c r="H487" s="88">
        <f t="shared" si="295"/>
        <v>0</v>
      </c>
      <c r="I487" s="1395"/>
      <c r="J487" s="89"/>
      <c r="K487" s="1395"/>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6"/>
      <c r="AG487" s="90"/>
      <c r="AH487" s="90"/>
      <c r="AI487" s="90"/>
      <c r="AJ487" s="90"/>
      <c r="AK487" s="90"/>
      <c r="AL487" s="90"/>
      <c r="AM487" s="90"/>
      <c r="AN487" s="90"/>
      <c r="AO487" s="90"/>
      <c r="AP487" s="90"/>
      <c r="AQ487" s="90"/>
      <c r="AR487" s="90"/>
      <c r="AS487" s="90"/>
      <c r="AT487" s="91"/>
      <c r="AU487" s="92"/>
      <c r="AV487" s="990">
        <f t="shared" si="320"/>
        <v>0</v>
      </c>
      <c r="AW487" s="990">
        <f t="shared" si="321"/>
        <v>0</v>
      </c>
      <c r="AX487" s="99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92"/>
      <c r="C488" s="1393"/>
      <c r="D488" s="78"/>
      <c r="E488" s="85">
        <f t="shared" si="319"/>
        <v>0</v>
      </c>
      <c r="F488" s="86"/>
      <c r="G488" s="87">
        <f t="shared" si="294"/>
        <v>0</v>
      </c>
      <c r="H488" s="88">
        <f t="shared" si="295"/>
        <v>0</v>
      </c>
      <c r="I488" s="1395"/>
      <c r="J488" s="89"/>
      <c r="K488" s="1395"/>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5"/>
      <c r="AG488" s="90"/>
      <c r="AH488" s="90"/>
      <c r="AI488" s="90"/>
      <c r="AJ488" s="90"/>
      <c r="AK488" s="90"/>
      <c r="AL488" s="90"/>
      <c r="AM488" s="90"/>
      <c r="AN488" s="90"/>
      <c r="AO488" s="90"/>
      <c r="AP488" s="90"/>
      <c r="AQ488" s="90"/>
      <c r="AR488" s="90"/>
      <c r="AS488" s="90"/>
      <c r="AT488" s="91"/>
      <c r="AU488" s="92"/>
      <c r="AV488" s="990">
        <f t="shared" si="320"/>
        <v>0</v>
      </c>
      <c r="AW488" s="990">
        <f t="shared" si="321"/>
        <v>0</v>
      </c>
      <c r="AX488" s="99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4"/>
      <c r="C489" s="1395"/>
      <c r="D489" s="78"/>
      <c r="E489" s="85">
        <f t="shared" si="319"/>
        <v>0</v>
      </c>
      <c r="F489" s="86"/>
      <c r="G489" s="87">
        <f t="shared" si="294"/>
        <v>0</v>
      </c>
      <c r="H489" s="88">
        <f t="shared" si="295"/>
        <v>0</v>
      </c>
      <c r="I489" s="1395"/>
      <c r="J489" s="89"/>
      <c r="K489" s="1395"/>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5"/>
      <c r="AG489" s="90"/>
      <c r="AH489" s="90"/>
      <c r="AI489" s="90"/>
      <c r="AJ489" s="90"/>
      <c r="AK489" s="90"/>
      <c r="AL489" s="90"/>
      <c r="AM489" s="90"/>
      <c r="AN489" s="90"/>
      <c r="AO489" s="90"/>
      <c r="AP489" s="90"/>
      <c r="AQ489" s="90"/>
      <c r="AR489" s="90"/>
      <c r="AS489" s="90"/>
      <c r="AT489" s="91"/>
      <c r="AU489" s="92"/>
      <c r="AV489" s="990">
        <f t="shared" si="320"/>
        <v>0</v>
      </c>
      <c r="AW489" s="990">
        <f t="shared" si="321"/>
        <v>0</v>
      </c>
      <c r="AX489" s="99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92"/>
      <c r="C490" s="1393"/>
      <c r="D490" s="78"/>
      <c r="E490" s="85">
        <f t="shared" si="319"/>
        <v>0</v>
      </c>
      <c r="F490" s="86"/>
      <c r="G490" s="87">
        <f t="shared" si="294"/>
        <v>0</v>
      </c>
      <c r="H490" s="88">
        <f t="shared" si="295"/>
        <v>0</v>
      </c>
      <c r="I490" s="1395"/>
      <c r="J490" s="89"/>
      <c r="K490" s="1395"/>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5"/>
      <c r="AG490" s="90"/>
      <c r="AH490" s="90"/>
      <c r="AI490" s="90"/>
      <c r="AJ490" s="90"/>
      <c r="AK490" s="90"/>
      <c r="AL490" s="90"/>
      <c r="AM490" s="90"/>
      <c r="AN490" s="90"/>
      <c r="AO490" s="90"/>
      <c r="AP490" s="90"/>
      <c r="AQ490" s="90"/>
      <c r="AR490" s="90"/>
      <c r="AS490" s="90"/>
      <c r="AT490" s="91"/>
      <c r="AU490" s="92"/>
      <c r="AV490" s="990">
        <f t="shared" si="320"/>
        <v>0</v>
      </c>
      <c r="AW490" s="990">
        <f t="shared" si="321"/>
        <v>0</v>
      </c>
      <c r="AX490" s="99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92"/>
      <c r="C491" s="1393"/>
      <c r="D491" s="78"/>
      <c r="E491" s="85">
        <f t="shared" si="319"/>
        <v>0</v>
      </c>
      <c r="F491" s="86"/>
      <c r="G491" s="87">
        <f t="shared" si="294"/>
        <v>0</v>
      </c>
      <c r="H491" s="88">
        <f t="shared" si="295"/>
        <v>0</v>
      </c>
      <c r="I491" s="1395"/>
      <c r="J491" s="89"/>
      <c r="K491" s="1395"/>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5"/>
      <c r="AG491" s="90"/>
      <c r="AH491" s="90"/>
      <c r="AI491" s="90"/>
      <c r="AJ491" s="90"/>
      <c r="AK491" s="90"/>
      <c r="AL491" s="90"/>
      <c r="AM491" s="90"/>
      <c r="AN491" s="90"/>
      <c r="AO491" s="90"/>
      <c r="AP491" s="90"/>
      <c r="AQ491" s="90"/>
      <c r="AR491" s="90"/>
      <c r="AS491" s="90"/>
      <c r="AT491" s="91"/>
      <c r="AU491" s="92"/>
      <c r="AV491" s="990">
        <f t="shared" si="320"/>
        <v>0</v>
      </c>
      <c r="AW491" s="990">
        <f t="shared" si="321"/>
        <v>0</v>
      </c>
      <c r="AX491" s="99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92"/>
      <c r="C492" s="1393"/>
      <c r="D492" s="78"/>
      <c r="E492" s="85">
        <f t="shared" si="319"/>
        <v>0</v>
      </c>
      <c r="F492" s="86"/>
      <c r="G492" s="87">
        <f t="shared" si="294"/>
        <v>0</v>
      </c>
      <c r="H492" s="88">
        <f t="shared" si="295"/>
        <v>0</v>
      </c>
      <c r="I492" s="1395"/>
      <c r="J492" s="89"/>
      <c r="K492" s="1395"/>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5"/>
      <c r="AG492" s="90"/>
      <c r="AH492" s="90"/>
      <c r="AI492" s="90"/>
      <c r="AJ492" s="90"/>
      <c r="AK492" s="90"/>
      <c r="AL492" s="90"/>
      <c r="AM492" s="90"/>
      <c r="AN492" s="90"/>
      <c r="AO492" s="90"/>
      <c r="AP492" s="90"/>
      <c r="AQ492" s="90"/>
      <c r="AR492" s="90"/>
      <c r="AS492" s="90"/>
      <c r="AT492" s="91"/>
      <c r="AU492" s="92"/>
      <c r="AV492" s="990">
        <f t="shared" si="320"/>
        <v>0</v>
      </c>
      <c r="AW492" s="990">
        <f t="shared" si="321"/>
        <v>0</v>
      </c>
      <c r="AX492" s="99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92"/>
      <c r="C493" s="1393"/>
      <c r="D493" s="78"/>
      <c r="E493" s="85">
        <f t="shared" si="319"/>
        <v>0</v>
      </c>
      <c r="F493" s="86"/>
      <c r="G493" s="87">
        <f t="shared" si="294"/>
        <v>0</v>
      </c>
      <c r="H493" s="88">
        <f t="shared" si="295"/>
        <v>0</v>
      </c>
      <c r="I493" s="1395"/>
      <c r="J493" s="89"/>
      <c r="K493" s="1395"/>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5"/>
      <c r="AG493" s="90"/>
      <c r="AH493" s="90"/>
      <c r="AI493" s="90"/>
      <c r="AJ493" s="90"/>
      <c r="AK493" s="90"/>
      <c r="AL493" s="90"/>
      <c r="AM493" s="90"/>
      <c r="AN493" s="90"/>
      <c r="AO493" s="90"/>
      <c r="AP493" s="90"/>
      <c r="AQ493" s="90"/>
      <c r="AR493" s="90"/>
      <c r="AS493" s="90"/>
      <c r="AT493" s="91"/>
      <c r="AU493" s="92"/>
      <c r="AV493" s="990">
        <f t="shared" si="320"/>
        <v>0</v>
      </c>
      <c r="AW493" s="990">
        <f t="shared" si="321"/>
        <v>0</v>
      </c>
      <c r="AX493" s="99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92"/>
      <c r="C494" s="1393"/>
      <c r="D494" s="78"/>
      <c r="E494" s="85">
        <f t="shared" si="319"/>
        <v>0</v>
      </c>
      <c r="F494" s="86"/>
      <c r="G494" s="87">
        <f t="shared" si="294"/>
        <v>0</v>
      </c>
      <c r="H494" s="88">
        <f t="shared" si="295"/>
        <v>0</v>
      </c>
      <c r="I494" s="1395"/>
      <c r="J494" s="89"/>
      <c r="K494" s="1395"/>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5"/>
      <c r="AG494" s="90"/>
      <c r="AH494" s="90"/>
      <c r="AI494" s="90"/>
      <c r="AJ494" s="90"/>
      <c r="AK494" s="90"/>
      <c r="AL494" s="90"/>
      <c r="AM494" s="90"/>
      <c r="AN494" s="90"/>
      <c r="AO494" s="90"/>
      <c r="AP494" s="90"/>
      <c r="AQ494" s="90"/>
      <c r="AR494" s="90"/>
      <c r="AS494" s="90"/>
      <c r="AT494" s="91"/>
      <c r="AU494" s="92"/>
      <c r="AV494" s="990">
        <f t="shared" si="320"/>
        <v>0</v>
      </c>
      <c r="AW494" s="990">
        <f t="shared" si="321"/>
        <v>0</v>
      </c>
      <c r="AX494" s="99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92"/>
      <c r="C495" s="1393"/>
      <c r="D495" s="78"/>
      <c r="E495" s="85">
        <f t="shared" si="319"/>
        <v>0</v>
      </c>
      <c r="F495" s="86"/>
      <c r="G495" s="87">
        <f t="shared" si="294"/>
        <v>0</v>
      </c>
      <c r="H495" s="88">
        <f t="shared" si="295"/>
        <v>0</v>
      </c>
      <c r="I495" s="1395"/>
      <c r="J495" s="89"/>
      <c r="K495" s="1395"/>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5"/>
      <c r="AG495" s="90"/>
      <c r="AH495" s="90"/>
      <c r="AI495" s="90"/>
      <c r="AJ495" s="90"/>
      <c r="AK495" s="90"/>
      <c r="AL495" s="90"/>
      <c r="AM495" s="90"/>
      <c r="AN495" s="90"/>
      <c r="AO495" s="90"/>
      <c r="AP495" s="90"/>
      <c r="AQ495" s="90"/>
      <c r="AR495" s="90"/>
      <c r="AS495" s="90"/>
      <c r="AT495" s="91"/>
      <c r="AU495" s="92"/>
      <c r="AV495" s="990">
        <f t="shared" si="320"/>
        <v>0</v>
      </c>
      <c r="AW495" s="990">
        <f t="shared" si="321"/>
        <v>0</v>
      </c>
      <c r="AX495" s="99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92"/>
      <c r="C496" s="1393"/>
      <c r="D496" s="78"/>
      <c r="E496" s="85">
        <f t="shared" si="319"/>
        <v>0</v>
      </c>
      <c r="F496" s="86"/>
      <c r="G496" s="87">
        <f t="shared" si="294"/>
        <v>0</v>
      </c>
      <c r="H496" s="88">
        <f t="shared" si="295"/>
        <v>0</v>
      </c>
      <c r="I496" s="1395"/>
      <c r="J496" s="89"/>
      <c r="K496" s="1395"/>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5"/>
      <c r="AG496" s="90"/>
      <c r="AH496" s="90"/>
      <c r="AI496" s="90"/>
      <c r="AJ496" s="90"/>
      <c r="AK496" s="90"/>
      <c r="AL496" s="90"/>
      <c r="AM496" s="90"/>
      <c r="AN496" s="90"/>
      <c r="AO496" s="90"/>
      <c r="AP496" s="90"/>
      <c r="AQ496" s="90"/>
      <c r="AR496" s="90"/>
      <c r="AS496" s="90"/>
      <c r="AT496" s="91"/>
      <c r="AU496" s="92"/>
      <c r="AV496" s="990">
        <f t="shared" si="320"/>
        <v>0</v>
      </c>
      <c r="AW496" s="990">
        <f t="shared" si="321"/>
        <v>0</v>
      </c>
      <c r="AX496" s="99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92"/>
      <c r="C497" s="1393"/>
      <c r="D497" s="78"/>
      <c r="E497" s="85">
        <f t="shared" si="319"/>
        <v>0</v>
      </c>
      <c r="F497" s="86"/>
      <c r="G497" s="87">
        <f t="shared" si="294"/>
        <v>0</v>
      </c>
      <c r="H497" s="88">
        <f t="shared" si="295"/>
        <v>0</v>
      </c>
      <c r="I497" s="1395"/>
      <c r="J497" s="89"/>
      <c r="K497" s="1395"/>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5"/>
      <c r="AG497" s="90"/>
      <c r="AH497" s="90"/>
      <c r="AI497" s="90"/>
      <c r="AJ497" s="90"/>
      <c r="AK497" s="90"/>
      <c r="AL497" s="90"/>
      <c r="AM497" s="90"/>
      <c r="AN497" s="90"/>
      <c r="AO497" s="90"/>
      <c r="AP497" s="90"/>
      <c r="AQ497" s="90"/>
      <c r="AR497" s="90"/>
      <c r="AS497" s="90"/>
      <c r="AT497" s="91"/>
      <c r="AU497" s="92"/>
      <c r="AV497" s="990">
        <f t="shared" si="320"/>
        <v>0</v>
      </c>
      <c r="AW497" s="990">
        <f t="shared" si="321"/>
        <v>0</v>
      </c>
      <c r="AX497" s="99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92"/>
      <c r="C498" s="1393"/>
      <c r="D498" s="78"/>
      <c r="E498" s="85">
        <f t="shared" si="319"/>
        <v>0</v>
      </c>
      <c r="F498" s="86"/>
      <c r="G498" s="87">
        <f t="shared" si="294"/>
        <v>0</v>
      </c>
      <c r="H498" s="88">
        <f t="shared" si="295"/>
        <v>0</v>
      </c>
      <c r="I498" s="1395"/>
      <c r="J498" s="89"/>
      <c r="K498" s="1395"/>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5"/>
      <c r="AG498" s="90"/>
      <c r="AH498" s="90"/>
      <c r="AI498" s="90"/>
      <c r="AJ498" s="90"/>
      <c r="AK498" s="90"/>
      <c r="AL498" s="90"/>
      <c r="AM498" s="90"/>
      <c r="AN498" s="90"/>
      <c r="AO498" s="90"/>
      <c r="AP498" s="90"/>
      <c r="AQ498" s="90"/>
      <c r="AR498" s="90"/>
      <c r="AS498" s="90"/>
      <c r="AT498" s="91"/>
      <c r="AU498" s="92"/>
      <c r="AV498" s="990">
        <f t="shared" si="320"/>
        <v>0</v>
      </c>
      <c r="AW498" s="990">
        <f t="shared" si="321"/>
        <v>0</v>
      </c>
      <c r="AX498" s="99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92"/>
      <c r="C499" s="1393"/>
      <c r="D499" s="78"/>
      <c r="E499" s="85">
        <f t="shared" si="319"/>
        <v>0</v>
      </c>
      <c r="F499" s="86"/>
      <c r="G499" s="87">
        <f t="shared" si="294"/>
        <v>0</v>
      </c>
      <c r="H499" s="88">
        <f t="shared" si="295"/>
        <v>0</v>
      </c>
      <c r="I499" s="1395"/>
      <c r="J499" s="89"/>
      <c r="K499" s="1395"/>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5"/>
      <c r="AG499" s="90"/>
      <c r="AH499" s="90"/>
      <c r="AI499" s="90"/>
      <c r="AJ499" s="90"/>
      <c r="AK499" s="90"/>
      <c r="AL499" s="90"/>
      <c r="AM499" s="90"/>
      <c r="AN499" s="90"/>
      <c r="AO499" s="90"/>
      <c r="AP499" s="90"/>
      <c r="AQ499" s="90"/>
      <c r="AR499" s="90"/>
      <c r="AS499" s="90"/>
      <c r="AT499" s="91"/>
      <c r="AU499" s="92"/>
      <c r="AV499" s="990">
        <f t="shared" si="320"/>
        <v>0</v>
      </c>
      <c r="AW499" s="990">
        <f t="shared" si="321"/>
        <v>0</v>
      </c>
      <c r="AX499" s="99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92"/>
      <c r="C500" s="1393"/>
      <c r="D500" s="78"/>
      <c r="E500" s="85">
        <f t="shared" si="319"/>
        <v>0</v>
      </c>
      <c r="F500" s="86"/>
      <c r="G500" s="87">
        <f t="shared" si="294"/>
        <v>0</v>
      </c>
      <c r="H500" s="88">
        <f t="shared" si="295"/>
        <v>0</v>
      </c>
      <c r="I500" s="1395"/>
      <c r="J500" s="89"/>
      <c r="K500" s="1395"/>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5"/>
      <c r="AG500" s="90"/>
      <c r="AH500" s="90"/>
      <c r="AI500" s="90"/>
      <c r="AJ500" s="90"/>
      <c r="AK500" s="90"/>
      <c r="AL500" s="90"/>
      <c r="AM500" s="90"/>
      <c r="AN500" s="90"/>
      <c r="AO500" s="90"/>
      <c r="AP500" s="90"/>
      <c r="AQ500" s="90"/>
      <c r="AR500" s="90"/>
      <c r="AS500" s="90"/>
      <c r="AT500" s="91"/>
      <c r="AU500" s="92"/>
      <c r="AV500" s="990">
        <f t="shared" si="320"/>
        <v>0</v>
      </c>
      <c r="AW500" s="990">
        <f t="shared" si="321"/>
        <v>0</v>
      </c>
      <c r="AX500" s="99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92"/>
      <c r="C501" s="1393"/>
      <c r="D501" s="78"/>
      <c r="E501" s="85">
        <f t="shared" si="319"/>
        <v>0</v>
      </c>
      <c r="F501" s="86"/>
      <c r="G501" s="87">
        <f t="shared" si="294"/>
        <v>0</v>
      </c>
      <c r="H501" s="88">
        <f t="shared" si="295"/>
        <v>0</v>
      </c>
      <c r="I501" s="1395"/>
      <c r="J501" s="89"/>
      <c r="K501" s="1395"/>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5"/>
      <c r="AG501" s="90"/>
      <c r="AH501" s="90"/>
      <c r="AI501" s="90"/>
      <c r="AJ501" s="90"/>
      <c r="AK501" s="90"/>
      <c r="AL501" s="90"/>
      <c r="AM501" s="90"/>
      <c r="AN501" s="90"/>
      <c r="AO501" s="90"/>
      <c r="AP501" s="90"/>
      <c r="AQ501" s="90"/>
      <c r="AR501" s="90"/>
      <c r="AS501" s="90"/>
      <c r="AT501" s="91"/>
      <c r="AU501" s="92"/>
      <c r="AV501" s="990">
        <f t="shared" si="320"/>
        <v>0</v>
      </c>
      <c r="AW501" s="990">
        <f t="shared" si="321"/>
        <v>0</v>
      </c>
      <c r="AX501" s="99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92"/>
      <c r="C502" s="1393"/>
      <c r="D502" s="78"/>
      <c r="E502" s="85">
        <f t="shared" si="319"/>
        <v>0</v>
      </c>
      <c r="F502" s="86"/>
      <c r="G502" s="87">
        <f t="shared" si="294"/>
        <v>0</v>
      </c>
      <c r="H502" s="88">
        <f t="shared" si="295"/>
        <v>0</v>
      </c>
      <c r="I502" s="1395"/>
      <c r="J502" s="89"/>
      <c r="K502" s="1395"/>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5"/>
      <c r="AG502" s="90"/>
      <c r="AH502" s="90"/>
      <c r="AI502" s="90"/>
      <c r="AJ502" s="90"/>
      <c r="AK502" s="90"/>
      <c r="AL502" s="90"/>
      <c r="AM502" s="90"/>
      <c r="AN502" s="90"/>
      <c r="AO502" s="90"/>
      <c r="AP502" s="90"/>
      <c r="AQ502" s="90"/>
      <c r="AR502" s="90"/>
      <c r="AS502" s="90"/>
      <c r="AT502" s="91"/>
      <c r="AU502" s="92"/>
      <c r="AV502" s="990">
        <f t="shared" si="320"/>
        <v>0</v>
      </c>
      <c r="AW502" s="990">
        <f t="shared" si="321"/>
        <v>0</v>
      </c>
      <c r="AX502" s="99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92"/>
      <c r="C503" s="1393"/>
      <c r="D503" s="78"/>
      <c r="E503" s="85">
        <f t="shared" si="319"/>
        <v>0</v>
      </c>
      <c r="F503" s="86"/>
      <c r="G503" s="87">
        <f t="shared" si="294"/>
        <v>0</v>
      </c>
      <c r="H503" s="88">
        <f t="shared" si="295"/>
        <v>0</v>
      </c>
      <c r="I503" s="1395"/>
      <c r="J503" s="89"/>
      <c r="K503" s="1395"/>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5"/>
      <c r="AG503" s="90"/>
      <c r="AH503" s="90"/>
      <c r="AI503" s="90"/>
      <c r="AJ503" s="90"/>
      <c r="AK503" s="90"/>
      <c r="AL503" s="90"/>
      <c r="AM503" s="90"/>
      <c r="AN503" s="90"/>
      <c r="AO503" s="90"/>
      <c r="AP503" s="90"/>
      <c r="AQ503" s="90"/>
      <c r="AR503" s="90"/>
      <c r="AS503" s="90"/>
      <c r="AT503" s="91"/>
      <c r="AU503" s="92"/>
      <c r="AV503" s="990">
        <f t="shared" si="320"/>
        <v>0</v>
      </c>
      <c r="AW503" s="990">
        <f t="shared" si="321"/>
        <v>0</v>
      </c>
      <c r="AX503" s="99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92"/>
      <c r="C504" s="1393"/>
      <c r="D504" s="78"/>
      <c r="E504" s="85">
        <f t="shared" si="319"/>
        <v>0</v>
      </c>
      <c r="F504" s="86"/>
      <c r="G504" s="87">
        <f t="shared" si="294"/>
        <v>0</v>
      </c>
      <c r="H504" s="88">
        <f t="shared" si="295"/>
        <v>0</v>
      </c>
      <c r="I504" s="1395"/>
      <c r="J504" s="89"/>
      <c r="K504" s="1395"/>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5"/>
      <c r="AG504" s="90"/>
      <c r="AH504" s="90"/>
      <c r="AI504" s="90"/>
      <c r="AJ504" s="90"/>
      <c r="AK504" s="90"/>
      <c r="AL504" s="90"/>
      <c r="AM504" s="90"/>
      <c r="AN504" s="90"/>
      <c r="AO504" s="90"/>
      <c r="AP504" s="90"/>
      <c r="AQ504" s="90"/>
      <c r="AR504" s="90"/>
      <c r="AS504" s="90"/>
      <c r="AT504" s="91"/>
      <c r="AU504" s="92"/>
      <c r="AV504" s="990">
        <f t="shared" si="320"/>
        <v>0</v>
      </c>
      <c r="AW504" s="990">
        <f t="shared" si="321"/>
        <v>0</v>
      </c>
      <c r="AX504" s="99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92"/>
      <c r="C505" s="1393"/>
      <c r="D505" s="78"/>
      <c r="E505" s="85">
        <f t="shared" ref="E505:E536" si="323">IF($C$3="是",ROUND($A$3*G505/$B$3,2),ROUND($A$3*(G505-AT505)/$B$3,2))</f>
        <v>0</v>
      </c>
      <c r="F505" s="86"/>
      <c r="G505" s="87">
        <f t="shared" si="294"/>
        <v>0</v>
      </c>
      <c r="H505" s="88">
        <f t="shared" si="295"/>
        <v>0</v>
      </c>
      <c r="I505" s="1395"/>
      <c r="J505" s="89"/>
      <c r="K505" s="1395"/>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5"/>
      <c r="AG505" s="90"/>
      <c r="AH505" s="90"/>
      <c r="AI505" s="90"/>
      <c r="AJ505" s="90"/>
      <c r="AK505" s="90"/>
      <c r="AL505" s="90"/>
      <c r="AM505" s="90"/>
      <c r="AN505" s="90"/>
      <c r="AO505" s="90"/>
      <c r="AP505" s="90"/>
      <c r="AQ505" s="90"/>
      <c r="AR505" s="90"/>
      <c r="AS505" s="90"/>
      <c r="AT505" s="91"/>
      <c r="AU505" s="92"/>
      <c r="AV505" s="990">
        <f t="shared" si="320"/>
        <v>0</v>
      </c>
      <c r="AW505" s="990">
        <f t="shared" si="321"/>
        <v>0</v>
      </c>
      <c r="AX505" s="99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92"/>
      <c r="C506" s="1393"/>
      <c r="D506" s="78"/>
      <c r="E506" s="85">
        <f t="shared" si="323"/>
        <v>0</v>
      </c>
      <c r="F506" s="86"/>
      <c r="G506" s="87">
        <f t="shared" si="294"/>
        <v>0</v>
      </c>
      <c r="H506" s="88">
        <f t="shared" si="295"/>
        <v>0</v>
      </c>
      <c r="I506" s="1395"/>
      <c r="J506" s="89"/>
      <c r="K506" s="1395"/>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5"/>
      <c r="AG506" s="90"/>
      <c r="AH506" s="90"/>
      <c r="AI506" s="90"/>
      <c r="AJ506" s="90"/>
      <c r="AK506" s="90"/>
      <c r="AL506" s="90"/>
      <c r="AM506" s="90"/>
      <c r="AN506" s="90"/>
      <c r="AO506" s="90"/>
      <c r="AP506" s="90"/>
      <c r="AQ506" s="90"/>
      <c r="AR506" s="90"/>
      <c r="AS506" s="90"/>
      <c r="AT506" s="91"/>
      <c r="AU506" s="92"/>
      <c r="AV506" s="990">
        <f t="shared" ref="AV506:AV537" si="324">A506</f>
        <v>0</v>
      </c>
      <c r="AW506" s="990">
        <f t="shared" ref="AW506:AW537" si="325">B506</f>
        <v>0</v>
      </c>
      <c r="AX506" s="99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92"/>
      <c r="C507" s="1393"/>
      <c r="D507" s="78"/>
      <c r="E507" s="85">
        <f t="shared" si="323"/>
        <v>0</v>
      </c>
      <c r="F507" s="86"/>
      <c r="G507" s="87">
        <f t="shared" si="294"/>
        <v>0</v>
      </c>
      <c r="H507" s="88">
        <f t="shared" si="295"/>
        <v>0</v>
      </c>
      <c r="I507" s="1395"/>
      <c r="J507" s="89"/>
      <c r="K507" s="1395"/>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3"/>
      <c r="AG507" s="90"/>
      <c r="AH507" s="90"/>
      <c r="AI507" s="90"/>
      <c r="AJ507" s="90"/>
      <c r="AK507" s="90"/>
      <c r="AL507" s="90"/>
      <c r="AM507" s="90"/>
      <c r="AN507" s="90"/>
      <c r="AO507" s="90"/>
      <c r="AP507" s="90"/>
      <c r="AQ507" s="90"/>
      <c r="AR507" s="90"/>
      <c r="AS507" s="90"/>
      <c r="AT507" s="91"/>
      <c r="AU507" s="92"/>
      <c r="AV507" s="990">
        <f t="shared" si="324"/>
        <v>0</v>
      </c>
      <c r="AW507" s="990">
        <f t="shared" si="325"/>
        <v>0</v>
      </c>
      <c r="AX507" s="99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92"/>
      <c r="C508" s="1393"/>
      <c r="D508" s="78"/>
      <c r="E508" s="85">
        <f t="shared" si="323"/>
        <v>0</v>
      </c>
      <c r="F508" s="86"/>
      <c r="G508" s="87">
        <f t="shared" si="294"/>
        <v>0</v>
      </c>
      <c r="H508" s="88">
        <f t="shared" si="295"/>
        <v>0</v>
      </c>
      <c r="I508" s="1393"/>
      <c r="J508" s="89"/>
      <c r="K508" s="1393"/>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3"/>
      <c r="AG508" s="90"/>
      <c r="AH508" s="90"/>
      <c r="AI508" s="90"/>
      <c r="AJ508" s="90"/>
      <c r="AK508" s="90"/>
      <c r="AL508" s="90"/>
      <c r="AM508" s="90"/>
      <c r="AN508" s="90"/>
      <c r="AO508" s="90"/>
      <c r="AP508" s="90"/>
      <c r="AQ508" s="90"/>
      <c r="AR508" s="90"/>
      <c r="AS508" s="90"/>
      <c r="AT508" s="91"/>
      <c r="AU508" s="92"/>
      <c r="AV508" s="990">
        <f t="shared" si="324"/>
        <v>0</v>
      </c>
      <c r="AW508" s="990">
        <f t="shared" si="325"/>
        <v>0</v>
      </c>
      <c r="AX508" s="99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92"/>
      <c r="C509" s="1393"/>
      <c r="D509" s="78"/>
      <c r="E509" s="85">
        <f t="shared" si="323"/>
        <v>0</v>
      </c>
      <c r="F509" s="86"/>
      <c r="G509" s="87">
        <f t="shared" si="294"/>
        <v>0</v>
      </c>
      <c r="H509" s="88">
        <f t="shared" si="295"/>
        <v>0</v>
      </c>
      <c r="I509" s="1393"/>
      <c r="J509" s="89"/>
      <c r="K509" s="1393"/>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3"/>
      <c r="AG509" s="90"/>
      <c r="AH509" s="90"/>
      <c r="AI509" s="90"/>
      <c r="AJ509" s="90"/>
      <c r="AK509" s="90"/>
      <c r="AL509" s="90"/>
      <c r="AM509" s="90"/>
      <c r="AN509" s="90"/>
      <c r="AO509" s="90"/>
      <c r="AP509" s="90"/>
      <c r="AQ509" s="90"/>
      <c r="AR509" s="90"/>
      <c r="AS509" s="90"/>
      <c r="AT509" s="91"/>
      <c r="AU509" s="92"/>
      <c r="AV509" s="990">
        <f t="shared" si="324"/>
        <v>0</v>
      </c>
      <c r="AW509" s="990">
        <f t="shared" si="325"/>
        <v>0</v>
      </c>
      <c r="AX509" s="99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92"/>
      <c r="C510" s="1393"/>
      <c r="D510" s="78"/>
      <c r="E510" s="85">
        <f t="shared" si="323"/>
        <v>0</v>
      </c>
      <c r="F510" s="86"/>
      <c r="G510" s="87">
        <f t="shared" ref="G510:G537" si="327">H510+AC510+AT510</f>
        <v>0</v>
      </c>
      <c r="H510" s="88">
        <f t="shared" ref="H510:H537" si="328">SUMIF(I$12:AB$12,"总值",I510:AB510)</f>
        <v>0</v>
      </c>
      <c r="I510" s="1393"/>
      <c r="J510" s="89"/>
      <c r="K510" s="1393"/>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3"/>
      <c r="AG510" s="90"/>
      <c r="AH510" s="90"/>
      <c r="AI510" s="90"/>
      <c r="AJ510" s="90"/>
      <c r="AK510" s="90"/>
      <c r="AL510" s="90"/>
      <c r="AM510" s="90"/>
      <c r="AN510" s="90"/>
      <c r="AO510" s="90"/>
      <c r="AP510" s="90"/>
      <c r="AQ510" s="90"/>
      <c r="AR510" s="90"/>
      <c r="AS510" s="90"/>
      <c r="AT510" s="91"/>
      <c r="AU510" s="92"/>
      <c r="AV510" s="990">
        <f t="shared" si="324"/>
        <v>0</v>
      </c>
      <c r="AW510" s="990">
        <f t="shared" si="325"/>
        <v>0</v>
      </c>
      <c r="AX510" s="99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92"/>
      <c r="C511" s="1393"/>
      <c r="D511" s="78"/>
      <c r="E511" s="85">
        <f t="shared" si="323"/>
        <v>0</v>
      </c>
      <c r="F511" s="86"/>
      <c r="G511" s="87">
        <f t="shared" si="327"/>
        <v>0</v>
      </c>
      <c r="H511" s="88">
        <f t="shared" si="328"/>
        <v>0</v>
      </c>
      <c r="I511" s="1393"/>
      <c r="J511" s="89"/>
      <c r="K511" s="1393"/>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3"/>
      <c r="AG511" s="90"/>
      <c r="AH511" s="90"/>
      <c r="AI511" s="90"/>
      <c r="AJ511" s="90"/>
      <c r="AK511" s="90"/>
      <c r="AL511" s="90"/>
      <c r="AM511" s="90"/>
      <c r="AN511" s="90"/>
      <c r="AO511" s="90"/>
      <c r="AP511" s="90"/>
      <c r="AQ511" s="90"/>
      <c r="AR511" s="90"/>
      <c r="AS511" s="90"/>
      <c r="AT511" s="91"/>
      <c r="AU511" s="92"/>
      <c r="AV511" s="990">
        <f t="shared" si="324"/>
        <v>0</v>
      </c>
      <c r="AW511" s="990">
        <f t="shared" si="325"/>
        <v>0</v>
      </c>
      <c r="AX511" s="99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92"/>
      <c r="C512" s="1393"/>
      <c r="D512" s="78"/>
      <c r="E512" s="85">
        <f t="shared" si="323"/>
        <v>0</v>
      </c>
      <c r="F512" s="86"/>
      <c r="G512" s="87">
        <f t="shared" si="327"/>
        <v>0</v>
      </c>
      <c r="H512" s="88">
        <f t="shared" si="328"/>
        <v>0</v>
      </c>
      <c r="I512" s="1393"/>
      <c r="J512" s="89"/>
      <c r="K512" s="1393"/>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3"/>
      <c r="AG512" s="90"/>
      <c r="AH512" s="90"/>
      <c r="AI512" s="90"/>
      <c r="AJ512" s="90"/>
      <c r="AK512" s="90"/>
      <c r="AL512" s="90"/>
      <c r="AM512" s="90"/>
      <c r="AN512" s="90"/>
      <c r="AO512" s="90"/>
      <c r="AP512" s="90"/>
      <c r="AQ512" s="90"/>
      <c r="AR512" s="90"/>
      <c r="AS512" s="90"/>
      <c r="AT512" s="91"/>
      <c r="AU512" s="92"/>
      <c r="AV512" s="990">
        <f t="shared" si="324"/>
        <v>0</v>
      </c>
      <c r="AW512" s="990">
        <f t="shared" si="325"/>
        <v>0</v>
      </c>
      <c r="AX512" s="99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92"/>
      <c r="C513" s="1393"/>
      <c r="D513" s="78"/>
      <c r="E513" s="85">
        <f t="shared" si="323"/>
        <v>0</v>
      </c>
      <c r="F513" s="86"/>
      <c r="G513" s="87">
        <f t="shared" si="327"/>
        <v>0</v>
      </c>
      <c r="H513" s="88">
        <f t="shared" si="328"/>
        <v>0</v>
      </c>
      <c r="I513" s="1393"/>
      <c r="J513" s="89"/>
      <c r="K513" s="1393"/>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3"/>
      <c r="AG513" s="90"/>
      <c r="AH513" s="90"/>
      <c r="AI513" s="90"/>
      <c r="AJ513" s="90"/>
      <c r="AK513" s="90"/>
      <c r="AL513" s="90"/>
      <c r="AM513" s="90"/>
      <c r="AN513" s="90"/>
      <c r="AO513" s="90"/>
      <c r="AP513" s="90"/>
      <c r="AQ513" s="90"/>
      <c r="AR513" s="90"/>
      <c r="AS513" s="90"/>
      <c r="AT513" s="91"/>
      <c r="AU513" s="92"/>
      <c r="AV513" s="990">
        <f t="shared" si="324"/>
        <v>0</v>
      </c>
      <c r="AW513" s="990">
        <f t="shared" si="325"/>
        <v>0</v>
      </c>
      <c r="AX513" s="99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92"/>
      <c r="C514" s="1393"/>
      <c r="D514" s="78"/>
      <c r="E514" s="85">
        <f t="shared" si="323"/>
        <v>0</v>
      </c>
      <c r="F514" s="86"/>
      <c r="G514" s="87">
        <f t="shared" si="327"/>
        <v>0</v>
      </c>
      <c r="H514" s="88">
        <f t="shared" si="328"/>
        <v>0</v>
      </c>
      <c r="I514" s="1393"/>
      <c r="J514" s="89"/>
      <c r="K514" s="1393"/>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3"/>
      <c r="AG514" s="90"/>
      <c r="AH514" s="90"/>
      <c r="AI514" s="90"/>
      <c r="AJ514" s="90"/>
      <c r="AK514" s="90"/>
      <c r="AL514" s="90"/>
      <c r="AM514" s="90"/>
      <c r="AN514" s="90"/>
      <c r="AO514" s="90"/>
      <c r="AP514" s="90"/>
      <c r="AQ514" s="90"/>
      <c r="AR514" s="90"/>
      <c r="AS514" s="90"/>
      <c r="AT514" s="91"/>
      <c r="AU514" s="92"/>
      <c r="AV514" s="990">
        <f t="shared" si="324"/>
        <v>0</v>
      </c>
      <c r="AW514" s="990">
        <f t="shared" si="325"/>
        <v>0</v>
      </c>
      <c r="AX514" s="99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4"/>
      <c r="C515" s="1395"/>
      <c r="D515" s="78"/>
      <c r="E515" s="85">
        <f t="shared" si="323"/>
        <v>0</v>
      </c>
      <c r="F515" s="86"/>
      <c r="G515" s="87">
        <f t="shared" si="327"/>
        <v>0</v>
      </c>
      <c r="H515" s="88">
        <f t="shared" si="328"/>
        <v>0</v>
      </c>
      <c r="I515" s="1393"/>
      <c r="J515" s="89"/>
      <c r="K515" s="1393"/>
      <c r="L515" s="89"/>
      <c r="M515" s="1393"/>
      <c r="N515" s="89"/>
      <c r="O515" s="89"/>
      <c r="P515" s="89"/>
      <c r="Q515" s="89"/>
      <c r="R515" s="89"/>
      <c r="S515" s="89"/>
      <c r="T515" s="89"/>
      <c r="U515" s="89"/>
      <c r="V515" s="89"/>
      <c r="W515" s="89"/>
      <c r="X515" s="89"/>
      <c r="Y515" s="89"/>
      <c r="Z515" s="89"/>
      <c r="AA515" s="89"/>
      <c r="AB515" s="89"/>
      <c r="AC515" s="85">
        <f t="shared" si="329"/>
        <v>0</v>
      </c>
      <c r="AD515" s="90"/>
      <c r="AE515" s="90"/>
      <c r="AF515" s="1393"/>
      <c r="AG515" s="90"/>
      <c r="AH515" s="90"/>
      <c r="AI515" s="90"/>
      <c r="AJ515" s="90"/>
      <c r="AK515" s="90"/>
      <c r="AL515" s="90"/>
      <c r="AM515" s="90"/>
      <c r="AN515" s="90"/>
      <c r="AO515" s="90"/>
      <c r="AP515" s="90"/>
      <c r="AQ515" s="90"/>
      <c r="AR515" s="90"/>
      <c r="AS515" s="90"/>
      <c r="AT515" s="91"/>
      <c r="AU515" s="92"/>
      <c r="AV515" s="990">
        <f t="shared" si="324"/>
        <v>0</v>
      </c>
      <c r="AW515" s="990">
        <f t="shared" si="325"/>
        <v>0</v>
      </c>
      <c r="AX515" s="99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90">
        <f t="shared" si="324"/>
        <v>0</v>
      </c>
      <c r="AW516" s="990">
        <f t="shared" si="325"/>
        <v>0</v>
      </c>
      <c r="AX516" s="99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90">
        <f t="shared" si="324"/>
        <v>0</v>
      </c>
      <c r="AW517" s="990">
        <f t="shared" si="325"/>
        <v>0</v>
      </c>
      <c r="AX517" s="99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90">
        <f t="shared" si="324"/>
        <v>0</v>
      </c>
      <c r="AW518" s="990">
        <f t="shared" si="325"/>
        <v>0</v>
      </c>
      <c r="AX518" s="99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90">
        <f t="shared" si="324"/>
        <v>0</v>
      </c>
      <c r="AW519" s="990">
        <f t="shared" si="325"/>
        <v>0</v>
      </c>
      <c r="AX519" s="99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90">
        <f t="shared" si="324"/>
        <v>0</v>
      </c>
      <c r="AW520" s="990">
        <f t="shared" si="325"/>
        <v>0</v>
      </c>
      <c r="AX520" s="99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90">
        <f t="shared" si="324"/>
        <v>0</v>
      </c>
      <c r="AW521" s="990">
        <f t="shared" si="325"/>
        <v>0</v>
      </c>
      <c r="AX521" s="99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90">
        <f t="shared" si="324"/>
        <v>0</v>
      </c>
      <c r="AW522" s="990">
        <f t="shared" si="325"/>
        <v>0</v>
      </c>
      <c r="AX522" s="99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90">
        <f t="shared" si="324"/>
        <v>0</v>
      </c>
      <c r="AW523" s="990">
        <f t="shared" si="325"/>
        <v>0</v>
      </c>
      <c r="AX523" s="99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90">
        <f t="shared" si="324"/>
        <v>0</v>
      </c>
      <c r="AW524" s="990">
        <f t="shared" si="325"/>
        <v>0</v>
      </c>
      <c r="AX524" s="99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90">
        <f t="shared" si="324"/>
        <v>0</v>
      </c>
      <c r="AW525" s="990">
        <f t="shared" si="325"/>
        <v>0</v>
      </c>
      <c r="AX525" s="99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90">
        <f t="shared" si="324"/>
        <v>0</v>
      </c>
      <c r="AW526" s="990">
        <f t="shared" si="325"/>
        <v>0</v>
      </c>
      <c r="AX526" s="99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90">
        <f t="shared" si="324"/>
        <v>0</v>
      </c>
      <c r="AW527" s="990">
        <f t="shared" si="325"/>
        <v>0</v>
      </c>
      <c r="AX527" s="99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90">
        <f t="shared" si="324"/>
        <v>0</v>
      </c>
      <c r="AW528" s="990">
        <f t="shared" si="325"/>
        <v>0</v>
      </c>
      <c r="AX528" s="99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90">
        <f t="shared" si="324"/>
        <v>0</v>
      </c>
      <c r="AW529" s="990">
        <f t="shared" si="325"/>
        <v>0</v>
      </c>
      <c r="AX529" s="99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90">
        <f t="shared" si="324"/>
        <v>0</v>
      </c>
      <c r="AW530" s="990">
        <f t="shared" si="325"/>
        <v>0</v>
      </c>
      <c r="AX530" s="99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90">
        <f t="shared" si="324"/>
        <v>0</v>
      </c>
      <c r="AW531" s="990">
        <f t="shared" si="325"/>
        <v>0</v>
      </c>
      <c r="AX531" s="99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90">
        <f t="shared" si="324"/>
        <v>0</v>
      </c>
      <c r="AW532" s="990">
        <f t="shared" si="325"/>
        <v>0</v>
      </c>
      <c r="AX532" s="99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90">
        <f t="shared" si="324"/>
        <v>0</v>
      </c>
      <c r="AW533" s="990">
        <f t="shared" si="325"/>
        <v>0</v>
      </c>
      <c r="AX533" s="99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90">
        <f t="shared" si="324"/>
        <v>0</v>
      </c>
      <c r="AW534" s="990">
        <f t="shared" si="325"/>
        <v>0</v>
      </c>
      <c r="AX534" s="99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90">
        <f t="shared" si="324"/>
        <v>0</v>
      </c>
      <c r="AW535" s="990">
        <f t="shared" si="325"/>
        <v>0</v>
      </c>
      <c r="AX535" s="99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90">
        <f t="shared" si="324"/>
        <v>0</v>
      </c>
      <c r="AW536" s="990">
        <f t="shared" si="325"/>
        <v>0</v>
      </c>
      <c r="AX536" s="99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90">
        <f t="shared" si="324"/>
        <v>0</v>
      </c>
      <c r="AW537" s="990">
        <f t="shared" si="325"/>
        <v>0</v>
      </c>
      <c r="AX537" s="99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90">
        <f t="shared" ref="AV538:AV572" si="356">A538</f>
        <v>0</v>
      </c>
      <c r="AW538" s="990">
        <f t="shared" ref="AW538:AW572" si="357">B538</f>
        <v>0</v>
      </c>
      <c r="AX538" s="99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90">
        <f t="shared" si="356"/>
        <v>0</v>
      </c>
      <c r="AW539" s="990">
        <f t="shared" si="357"/>
        <v>0</v>
      </c>
      <c r="AX539" s="99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90">
        <f t="shared" si="356"/>
        <v>0</v>
      </c>
      <c r="AW540" s="990">
        <f t="shared" si="357"/>
        <v>0</v>
      </c>
      <c r="AX540" s="99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90">
        <f t="shared" si="356"/>
        <v>0</v>
      </c>
      <c r="AW541" s="990">
        <f t="shared" si="357"/>
        <v>0</v>
      </c>
      <c r="AX541" s="99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90">
        <f t="shared" si="356"/>
        <v>0</v>
      </c>
      <c r="AW542" s="990">
        <f t="shared" si="357"/>
        <v>0</v>
      </c>
      <c r="AX542" s="99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90">
        <f t="shared" si="356"/>
        <v>0</v>
      </c>
      <c r="AW543" s="990">
        <f t="shared" si="357"/>
        <v>0</v>
      </c>
      <c r="AX543" s="99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90">
        <f t="shared" si="356"/>
        <v>0</v>
      </c>
      <c r="AW544" s="990">
        <f t="shared" si="357"/>
        <v>0</v>
      </c>
      <c r="AX544" s="99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90">
        <f t="shared" si="356"/>
        <v>0</v>
      </c>
      <c r="AW545" s="990">
        <f t="shared" si="357"/>
        <v>0</v>
      </c>
      <c r="AX545" s="99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90">
        <f t="shared" si="356"/>
        <v>0</v>
      </c>
      <c r="AW546" s="990">
        <f t="shared" si="357"/>
        <v>0</v>
      </c>
      <c r="AX546" s="99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90">
        <f t="shared" si="356"/>
        <v>0</v>
      </c>
      <c r="AW547" s="990">
        <f t="shared" si="357"/>
        <v>0</v>
      </c>
      <c r="AX547" s="99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90">
        <f t="shared" si="356"/>
        <v>0</v>
      </c>
      <c r="AW548" s="990">
        <f t="shared" si="357"/>
        <v>0</v>
      </c>
      <c r="AX548" s="99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90">
        <f t="shared" si="356"/>
        <v>0</v>
      </c>
      <c r="AW549" s="990">
        <f t="shared" si="357"/>
        <v>0</v>
      </c>
      <c r="AX549" s="99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90">
        <f t="shared" si="356"/>
        <v>0</v>
      </c>
      <c r="AW550" s="990">
        <f t="shared" si="357"/>
        <v>0</v>
      </c>
      <c r="AX550" s="99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90">
        <f t="shared" si="356"/>
        <v>0</v>
      </c>
      <c r="AW551" s="990">
        <f t="shared" si="357"/>
        <v>0</v>
      </c>
      <c r="AX551" s="99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90">
        <f t="shared" si="356"/>
        <v>0</v>
      </c>
      <c r="AW552" s="990">
        <f t="shared" si="357"/>
        <v>0</v>
      </c>
      <c r="AX552" s="99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90">
        <f t="shared" si="356"/>
        <v>0</v>
      </c>
      <c r="AW553" s="990">
        <f t="shared" si="357"/>
        <v>0</v>
      </c>
      <c r="AX553" s="99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90">
        <f t="shared" si="356"/>
        <v>0</v>
      </c>
      <c r="AW554" s="990">
        <f t="shared" si="357"/>
        <v>0</v>
      </c>
      <c r="AX554" s="99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90">
        <f t="shared" si="356"/>
        <v>0</v>
      </c>
      <c r="AW555" s="990">
        <f t="shared" si="357"/>
        <v>0</v>
      </c>
      <c r="AX555" s="99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90">
        <f t="shared" si="356"/>
        <v>0</v>
      </c>
      <c r="AW556" s="990">
        <f t="shared" si="357"/>
        <v>0</v>
      </c>
      <c r="AX556" s="99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90">
        <f t="shared" si="356"/>
        <v>0</v>
      </c>
      <c r="AW557" s="990">
        <f t="shared" si="357"/>
        <v>0</v>
      </c>
      <c r="AX557" s="99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90">
        <f t="shared" si="356"/>
        <v>0</v>
      </c>
      <c r="AW558" s="990">
        <f t="shared" si="357"/>
        <v>0</v>
      </c>
      <c r="AX558" s="99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90">
        <f t="shared" si="356"/>
        <v>0</v>
      </c>
      <c r="AW559" s="990">
        <f t="shared" si="357"/>
        <v>0</v>
      </c>
      <c r="AX559" s="99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90">
        <f t="shared" si="356"/>
        <v>0</v>
      </c>
      <c r="AW560" s="990">
        <f t="shared" si="357"/>
        <v>0</v>
      </c>
      <c r="AX560" s="99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90">
        <f t="shared" si="356"/>
        <v>0</v>
      </c>
      <c r="AW561" s="990">
        <f t="shared" si="357"/>
        <v>0</v>
      </c>
      <c r="AX561" s="99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90">
        <f t="shared" si="356"/>
        <v>0</v>
      </c>
      <c r="AW562" s="990">
        <f t="shared" si="357"/>
        <v>0</v>
      </c>
      <c r="AX562" s="99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90">
        <f t="shared" si="356"/>
        <v>0</v>
      </c>
      <c r="AW563" s="990">
        <f t="shared" si="357"/>
        <v>0</v>
      </c>
      <c r="AX563" s="99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90">
        <f t="shared" si="356"/>
        <v>0</v>
      </c>
      <c r="AW564" s="990">
        <f t="shared" si="357"/>
        <v>0</v>
      </c>
      <c r="AX564" s="99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90">
        <f t="shared" si="356"/>
        <v>0</v>
      </c>
      <c r="AW565" s="990">
        <f t="shared" si="357"/>
        <v>0</v>
      </c>
      <c r="AX565" s="99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90">
        <f t="shared" si="356"/>
        <v>0</v>
      </c>
      <c r="AW566" s="990">
        <f t="shared" si="357"/>
        <v>0</v>
      </c>
      <c r="AX566" s="99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90">
        <f t="shared" si="356"/>
        <v>0</v>
      </c>
      <c r="AW567" s="990">
        <f t="shared" si="357"/>
        <v>0</v>
      </c>
      <c r="AX567" s="99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90">
        <f t="shared" si="356"/>
        <v>0</v>
      </c>
      <c r="AW568" s="990">
        <f t="shared" si="357"/>
        <v>0</v>
      </c>
      <c r="AX568" s="99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90">
        <f t="shared" si="356"/>
        <v>0</v>
      </c>
      <c r="AW569" s="990">
        <f t="shared" si="357"/>
        <v>0</v>
      </c>
      <c r="AX569" s="99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90">
        <f t="shared" si="356"/>
        <v>0</v>
      </c>
      <c r="AW570" s="990">
        <f t="shared" si="357"/>
        <v>0</v>
      </c>
      <c r="AX570" s="99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90">
        <f t="shared" si="356"/>
        <v>0</v>
      </c>
      <c r="AW571" s="990">
        <f t="shared" si="357"/>
        <v>0</v>
      </c>
      <c r="AX571" s="99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90">
        <f t="shared" si="356"/>
        <v>0</v>
      </c>
      <c r="AW572" s="990">
        <f t="shared" si="357"/>
        <v>0</v>
      </c>
      <c r="AX572" s="99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5"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5" t="s">
        <v>0</v>
      </c>
      <c r="B1" s="3335" t="s">
        <v>4</v>
      </c>
      <c r="C1" s="3335" t="s">
        <v>5</v>
      </c>
      <c r="D1" s="3336" t="s">
        <v>40</v>
      </c>
      <c r="E1" s="3336" t="s">
        <v>41</v>
      </c>
      <c r="F1" s="3336"/>
      <c r="G1" s="3336"/>
      <c r="H1" s="3336"/>
      <c r="I1" s="3336"/>
      <c r="J1" s="3336"/>
      <c r="K1" s="3336"/>
      <c r="L1" s="3336"/>
      <c r="M1" s="3336"/>
    </row>
    <row r="2" spans="1:13" ht="27" customHeight="1">
      <c r="A2" s="3335"/>
      <c r="B2" s="3335"/>
      <c r="C2" s="3335"/>
      <c r="D2" s="3336"/>
      <c r="E2" s="3336" t="s">
        <v>24</v>
      </c>
      <c r="F2" s="3336" t="s">
        <v>25</v>
      </c>
      <c r="G2" s="3336"/>
      <c r="H2" s="3336"/>
      <c r="I2" s="3336"/>
      <c r="J2" s="3336" t="s">
        <v>26</v>
      </c>
      <c r="K2" s="3336"/>
      <c r="L2" s="3336"/>
      <c r="M2" s="3336"/>
    </row>
    <row r="3" spans="1:13" ht="28.5">
      <c r="A3" s="3335"/>
      <c r="B3" s="3335"/>
      <c r="C3" s="3335"/>
      <c r="D3" s="3336"/>
      <c r="E3" s="333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6" t="s">
        <v>42</v>
      </c>
      <c r="B9" s="3336"/>
      <c r="C9" s="333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I31" sqref="I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2" t="s">
        <v>202</v>
      </c>
      <c r="B1" s="1983"/>
      <c r="C1" s="1983"/>
      <c r="D1" s="1983"/>
      <c r="E1" s="1983"/>
      <c r="F1" s="1983"/>
      <c r="G1" s="1983"/>
      <c r="H1" s="1983"/>
      <c r="I1" s="1983"/>
      <c r="J1" s="1983"/>
      <c r="K1" s="1983"/>
      <c r="L1" s="1983"/>
    </row>
    <row r="2" spans="1:16" ht="15">
      <c r="A2" s="3346" t="s">
        <v>203</v>
      </c>
      <c r="B2" s="3346"/>
      <c r="C2" s="3346"/>
      <c r="D2" s="1974" t="s">
        <v>204</v>
      </c>
      <c r="E2" s="104" t="s">
        <v>205</v>
      </c>
      <c r="F2" s="1983"/>
      <c r="G2" s="1196"/>
      <c r="H2" s="1197"/>
      <c r="I2" s="1198" t="s">
        <v>857</v>
      </c>
      <c r="J2" s="1983"/>
      <c r="K2" s="1983"/>
      <c r="L2" s="1983"/>
    </row>
    <row r="3" spans="1:16" ht="15.75" thickBot="1">
      <c r="A3" s="3347" t="s">
        <v>206</v>
      </c>
      <c r="B3" s="3347"/>
      <c r="C3" s="3347"/>
      <c r="D3" s="105">
        <f>'数据-基础表'!AY6</f>
        <v>2079.0700000000002</v>
      </c>
      <c r="E3" s="105">
        <f>'数据-基础表'!AZ5</f>
        <v>10000</v>
      </c>
      <c r="F3" s="1983"/>
      <c r="G3" s="278" t="s">
        <v>858</v>
      </c>
      <c r="H3" s="273" t="s">
        <v>859</v>
      </c>
      <c r="I3" s="1975">
        <f>ROUND('数据-基础表'!B3/'数据-基础表'!A3,2)</f>
        <v>4.8099999999999996</v>
      </c>
      <c r="J3" s="1983"/>
      <c r="K3" s="1983"/>
      <c r="L3" s="1983"/>
    </row>
    <row r="4" spans="1:16" ht="15">
      <c r="A4" s="3348"/>
      <c r="B4" s="3349"/>
      <c r="C4" s="3350"/>
      <c r="D4" s="106" t="s">
        <v>204</v>
      </c>
      <c r="E4" s="107" t="s">
        <v>205</v>
      </c>
      <c r="F4" s="1983"/>
      <c r="G4" s="1199"/>
      <c r="H4" s="273" t="s">
        <v>860</v>
      </c>
      <c r="I4" s="1975">
        <f>ROUND(SUMIF('数据-基础表'!I9:AS9,"地上",'数据-基础表'!I5:AS5)/'数据-基础表'!A3,2)</f>
        <v>4.8099999999999996</v>
      </c>
      <c r="J4" s="1983"/>
      <c r="K4" s="1983"/>
      <c r="L4" s="1983"/>
    </row>
    <row r="5" spans="1:16">
      <c r="A5" s="108" t="s">
        <v>207</v>
      </c>
      <c r="B5" s="3351" t="s">
        <v>230</v>
      </c>
      <c r="C5" s="3351"/>
      <c r="D5" s="109">
        <f>ROUND($D$3*E5/$E$3,2)</f>
        <v>0</v>
      </c>
      <c r="E5" s="110">
        <f>SUMIF('数据-基础表'!$11:$11,"住宅",'数据-基础表'!$5:$5)</f>
        <v>0</v>
      </c>
      <c r="F5" s="1983"/>
      <c r="G5" s="278" t="s">
        <v>861</v>
      </c>
      <c r="H5" s="273" t="s">
        <v>859</v>
      </c>
      <c r="I5" s="1975">
        <f>ROUND(E31/D31,2)</f>
        <v>4.8099999999999996</v>
      </c>
      <c r="J5" s="1983"/>
      <c r="K5" s="1983"/>
      <c r="L5" s="1983"/>
    </row>
    <row r="6" spans="1:16" ht="15" thickBot="1">
      <c r="A6" s="111"/>
      <c r="B6" s="3351" t="s">
        <v>208</v>
      </c>
      <c r="C6" s="3351"/>
      <c r="D6" s="109">
        <f>ROUND($D$3*E6/$E$3,2)</f>
        <v>2079.0700000000002</v>
      </c>
      <c r="E6" s="110">
        <f>E3-E5</f>
        <v>10000</v>
      </c>
      <c r="F6" s="1983"/>
      <c r="G6" s="1199"/>
      <c r="H6" s="273" t="s">
        <v>860</v>
      </c>
      <c r="I6" s="1975">
        <f>ROUND(F31/D31,2)</f>
        <v>4.8099999999999996</v>
      </c>
      <c r="J6" s="1983"/>
      <c r="K6" s="1983"/>
      <c r="L6" s="1983"/>
    </row>
    <row r="7" spans="1:16" ht="15">
      <c r="A7" s="3343"/>
      <c r="B7" s="3344"/>
      <c r="C7" s="3345"/>
      <c r="D7" s="106" t="s">
        <v>204</v>
      </c>
      <c r="E7" s="112" t="s">
        <v>231</v>
      </c>
      <c r="F7" s="1983"/>
      <c r="G7" s="1154" t="s">
        <v>1646</v>
      </c>
      <c r="H7" s="1155"/>
      <c r="I7" s="1845">
        <v>3.5</v>
      </c>
      <c r="J7" s="1983"/>
      <c r="K7" s="1983"/>
      <c r="L7" s="1983"/>
    </row>
    <row r="8" spans="1:16">
      <c r="A8" s="108" t="s">
        <v>209</v>
      </c>
      <c r="B8" s="113" t="s">
        <v>210</v>
      </c>
      <c r="C8" s="109" t="s">
        <v>211</v>
      </c>
      <c r="D8" s="109">
        <f t="shared" ref="D8:D15" si="0">ROUND($D$3*E8/$E$3,2)</f>
        <v>2079.0700000000002</v>
      </c>
      <c r="E8" s="114">
        <f>SUMIF('数据-基础表'!BB10:BK10,"地上",'数据-基础表'!BB5:BK5)</f>
        <v>10000</v>
      </c>
      <c r="F8" s="1983"/>
      <c r="G8" s="1985"/>
      <c r="H8" s="1985"/>
      <c r="I8" s="1983"/>
      <c r="J8" s="1983"/>
      <c r="K8" s="1983"/>
      <c r="L8" s="1983"/>
    </row>
    <row r="9" spans="1:16">
      <c r="A9" s="115"/>
      <c r="B9" s="116"/>
      <c r="C9" s="109" t="s">
        <v>212</v>
      </c>
      <c r="D9" s="109">
        <f t="shared" si="0"/>
        <v>0</v>
      </c>
      <c r="E9" s="117">
        <v>0</v>
      </c>
      <c r="F9" s="1983"/>
      <c r="G9" s="1985"/>
      <c r="H9" s="1985"/>
      <c r="I9" s="1983"/>
      <c r="J9" s="1983"/>
      <c r="K9" s="1983"/>
      <c r="L9" s="1983"/>
    </row>
    <row r="10" spans="1:16">
      <c r="A10" s="115"/>
      <c r="B10" s="116"/>
      <c r="C10" s="109" t="s">
        <v>213</v>
      </c>
      <c r="D10" s="109">
        <f t="shared" si="0"/>
        <v>0</v>
      </c>
      <c r="E10" s="114">
        <f>SUMPRODUCT(('数据-基础表'!BB10:BK10="地下")*('数据-基础表'!BB11:BK11="商业")*('数据-基础表'!BB5:BK5))</f>
        <v>0</v>
      </c>
      <c r="F10" s="1983"/>
      <c r="G10" s="1985"/>
      <c r="H10" s="1985"/>
      <c r="I10" s="1983"/>
      <c r="J10" s="1983"/>
      <c r="K10" s="1983"/>
      <c r="L10" s="1983"/>
    </row>
    <row r="11" spans="1:16">
      <c r="A11" s="115"/>
      <c r="B11" s="116"/>
      <c r="C11" s="2330" t="s">
        <v>2330</v>
      </c>
      <c r="D11" s="109">
        <f t="shared" si="0"/>
        <v>0</v>
      </c>
      <c r="E11" s="114">
        <f>SUMPRODUCT(('数据-基础表'!BB10:BK10="地下")*('数据-基础表'!BB11:BK11="办公")*('数据-基础表'!BB5:BK5))+'数据-基础表'!AJ5</f>
        <v>0</v>
      </c>
      <c r="F11" s="1983"/>
      <c r="G11" s="1985"/>
      <c r="H11" s="1985"/>
      <c r="I11" s="1983"/>
      <c r="J11" s="1983"/>
      <c r="K11" s="1983"/>
      <c r="L11" s="1983"/>
    </row>
    <row r="12" spans="1:16">
      <c r="A12" s="115"/>
      <c r="B12" s="116"/>
      <c r="C12" s="109" t="s">
        <v>214</v>
      </c>
      <c r="D12" s="109">
        <f t="shared" si="0"/>
        <v>0</v>
      </c>
      <c r="E12" s="114">
        <f>SUMPRODUCT(('数据-基础表'!BB10:BK10="地下")*('数据-基础表'!BB11:BK11="仓储")*('数据-基础表'!BB5:BK5))</f>
        <v>0</v>
      </c>
      <c r="F12" s="1983"/>
      <c r="G12" s="1985"/>
      <c r="H12" s="1985"/>
      <c r="I12" s="1983"/>
      <c r="J12" s="1983"/>
      <c r="K12" s="1983"/>
      <c r="L12" s="1983"/>
    </row>
    <row r="13" spans="1:16">
      <c r="A13" s="115"/>
      <c r="B13" s="116"/>
      <c r="C13" s="2330" t="s">
        <v>2337</v>
      </c>
      <c r="D13" s="109">
        <f t="shared" si="0"/>
        <v>0</v>
      </c>
      <c r="E13" s="114">
        <f>SUMPRODUCT(('数据-基础表'!BB10:BK10="地下")*('数据-基础表'!BB11:BK11="车库")*('数据-基础表'!BB5:BK5))</f>
        <v>0</v>
      </c>
      <c r="F13" s="1983"/>
      <c r="G13" s="1985"/>
      <c r="H13" s="1985"/>
      <c r="I13" s="1983"/>
      <c r="J13" s="1983"/>
      <c r="K13" s="1983"/>
      <c r="L13" s="1983"/>
    </row>
    <row r="14" spans="1:16">
      <c r="A14" s="115"/>
      <c r="B14" s="116"/>
      <c r="C14" s="109" t="s">
        <v>232</v>
      </c>
      <c r="D14" s="109">
        <f t="shared" si="0"/>
        <v>0</v>
      </c>
      <c r="E14" s="114">
        <f>SUMPRODUCT(('数据-基础表'!BB10:BK10="地下")*('数据-基础表'!BB11:BK11="车库—商业")*('数据-基础表'!BB5:BK5))</f>
        <v>0</v>
      </c>
      <c r="F14" s="1983"/>
      <c r="G14" s="1985"/>
      <c r="H14" s="1985"/>
      <c r="I14" s="1983"/>
      <c r="J14" s="1983"/>
      <c r="K14" s="1983"/>
      <c r="L14" s="1983"/>
    </row>
    <row r="15" spans="1:16" ht="15" thickBot="1">
      <c r="A15" s="115"/>
      <c r="B15" s="116"/>
      <c r="C15" s="109" t="s">
        <v>233</v>
      </c>
      <c r="D15" s="109">
        <f t="shared" si="0"/>
        <v>0</v>
      </c>
      <c r="E15" s="114">
        <f>SUMPRODUCT(('数据-基础表'!BB10:BK10="地下")*('数据-基础表'!BB11:BK11="车库—办公")*('数据-基础表'!BB5:BK5))</f>
        <v>0</v>
      </c>
      <c r="F15" s="1983"/>
      <c r="G15" s="1985"/>
      <c r="H15" s="1985"/>
      <c r="I15" s="1983"/>
      <c r="J15" s="1983"/>
      <c r="K15" s="1983"/>
      <c r="L15" s="1983"/>
    </row>
    <row r="16" spans="1:16" ht="15.75" thickBot="1">
      <c r="A16" s="111"/>
      <c r="B16" s="116"/>
      <c r="C16" s="113" t="s">
        <v>215</v>
      </c>
      <c r="D16" s="113">
        <f>SUM(D8:D15)</f>
        <v>2079.0700000000002</v>
      </c>
      <c r="E16" s="118">
        <f>SUM(E8:E15)</f>
        <v>10000</v>
      </c>
      <c r="F16" s="1983"/>
      <c r="G16" s="1985"/>
      <c r="H16" s="966" t="s">
        <v>219</v>
      </c>
      <c r="I16" s="967"/>
      <c r="J16" s="1983"/>
      <c r="K16" s="3337" t="s">
        <v>2570</v>
      </c>
      <c r="L16" s="3338"/>
      <c r="M16" s="3338"/>
      <c r="N16" s="3338"/>
      <c r="O16" s="3338"/>
      <c r="P16" s="3339"/>
    </row>
    <row r="17" spans="1:19" ht="15">
      <c r="A17" s="119" t="s">
        <v>216</v>
      </c>
      <c r="B17" s="120" t="s">
        <v>217</v>
      </c>
      <c r="C17" s="2297" t="s">
        <v>2316</v>
      </c>
      <c r="D17" s="106" t="s">
        <v>204</v>
      </c>
      <c r="E17" s="122" t="s">
        <v>205</v>
      </c>
      <c r="F17" s="123"/>
      <c r="G17" s="1364"/>
      <c r="H17" s="968" t="s">
        <v>218</v>
      </c>
      <c r="I17" s="969" t="s">
        <v>2315</v>
      </c>
      <c r="J17" s="1983"/>
      <c r="K17" s="3340" t="s">
        <v>2571</v>
      </c>
      <c r="L17" s="3341"/>
      <c r="M17" s="3342"/>
      <c r="N17" s="3340" t="s">
        <v>2572</v>
      </c>
      <c r="O17" s="3341"/>
      <c r="P17" s="3342"/>
      <c r="R17" s="2298" t="s">
        <v>2314</v>
      </c>
      <c r="S17" s="142"/>
    </row>
    <row r="18" spans="1:19" ht="15">
      <c r="A18" s="115"/>
      <c r="B18" s="126"/>
      <c r="C18" s="127"/>
      <c r="D18" s="2663"/>
      <c r="E18" s="128" t="s">
        <v>220</v>
      </c>
      <c r="F18" s="129" t="s">
        <v>221</v>
      </c>
      <c r="G18" s="1365" t="s">
        <v>222</v>
      </c>
      <c r="H18" s="970" t="s">
        <v>223</v>
      </c>
      <c r="I18" s="971" t="s">
        <v>224</v>
      </c>
      <c r="J18" s="1983"/>
      <c r="K18" s="2626" t="s">
        <v>2573</v>
      </c>
      <c r="L18" s="2627" t="s">
        <v>2574</v>
      </c>
      <c r="M18" s="2628" t="s">
        <v>2575</v>
      </c>
      <c r="N18" s="2626" t="s">
        <v>2573</v>
      </c>
      <c r="O18" s="2627" t="s">
        <v>2574</v>
      </c>
      <c r="P18" s="2628" t="s">
        <v>2575</v>
      </c>
      <c r="R18" s="2299" t="s">
        <v>2312</v>
      </c>
      <c r="S18" s="2299" t="s">
        <v>2313</v>
      </c>
    </row>
    <row r="19" spans="1:19">
      <c r="A19" s="131"/>
      <c r="B19" s="113" t="s">
        <v>225</v>
      </c>
      <c r="C19" s="3046" t="s">
        <v>2991</v>
      </c>
      <c r="D19" s="109">
        <f t="shared" ref="D19:D26" si="1">ROUND($D$3*E19/$E$3,2)</f>
        <v>2079.0700000000002</v>
      </c>
      <c r="E19" s="132">
        <f t="shared" ref="E19:E26" si="2">SUM(F19:G19)</f>
        <v>10000</v>
      </c>
      <c r="F19" s="133">
        <f>'数据-基础表'!B3</f>
        <v>10000</v>
      </c>
      <c r="G19" s="1366"/>
      <c r="H19" s="972">
        <f>ROUND($D$3*I19/$E$3,2)</f>
        <v>0</v>
      </c>
      <c r="I19" s="114">
        <f>IF($I$17="自定义",P19,M19)</f>
        <v>0</v>
      </c>
      <c r="J19" s="1983"/>
      <c r="K19" s="2629">
        <f t="shared" ref="K19:K26" si="3">ROUND(E$28*E19/E$27,2)</f>
        <v>0</v>
      </c>
      <c r="L19" s="273">
        <f t="shared" ref="L19:L26" si="4">ROUND(IF(COUNTIF(C19,"*住宅*")&gt;0,E$29*E19/E$32,0),2)</f>
        <v>0</v>
      </c>
      <c r="M19" s="2630">
        <f>K19+L19</f>
        <v>0</v>
      </c>
      <c r="N19" s="2631"/>
      <c r="O19" s="2632"/>
      <c r="P19" s="2633">
        <f>N19+O19</f>
        <v>0</v>
      </c>
      <c r="R19" s="273">
        <f t="shared" ref="R19:S26" si="5">D19+H19</f>
        <v>2079.0700000000002</v>
      </c>
      <c r="S19" s="2300">
        <f t="shared" si="5"/>
        <v>10000</v>
      </c>
    </row>
    <row r="20" spans="1:19">
      <c r="A20" s="136"/>
      <c r="B20" s="113" t="s">
        <v>226</v>
      </c>
      <c r="C20" s="3046"/>
      <c r="D20" s="109">
        <f t="shared" si="1"/>
        <v>0</v>
      </c>
      <c r="E20" s="132">
        <f t="shared" si="2"/>
        <v>0</v>
      </c>
      <c r="F20" s="133"/>
      <c r="G20" s="1366"/>
      <c r="H20" s="972">
        <f t="shared" ref="H20:H26" si="6">ROUND($D$3*I20/$E$3,2)</f>
        <v>0</v>
      </c>
      <c r="I20" s="114">
        <f t="shared" ref="I20:I26" si="7">IF($I$17="自定义",P20,M20)</f>
        <v>0</v>
      </c>
      <c r="J20" s="1983"/>
      <c r="K20" s="2629">
        <f t="shared" si="3"/>
        <v>0</v>
      </c>
      <c r="L20" s="273">
        <f t="shared" si="4"/>
        <v>0</v>
      </c>
      <c r="M20" s="2630">
        <f t="shared" ref="M20:M26" si="8">K20+L20</f>
        <v>0</v>
      </c>
      <c r="N20" s="2631"/>
      <c r="O20" s="2632"/>
      <c r="P20" s="2633">
        <f t="shared" ref="P20:P26" si="9">N20+O20</f>
        <v>0</v>
      </c>
      <c r="R20" s="273">
        <f t="shared" si="5"/>
        <v>0</v>
      </c>
      <c r="S20" s="2300">
        <f t="shared" si="5"/>
        <v>0</v>
      </c>
    </row>
    <row r="21" spans="1:19">
      <c r="A21" s="136"/>
      <c r="B21" s="113" t="s">
        <v>226</v>
      </c>
      <c r="C21" s="3046"/>
      <c r="D21" s="109">
        <f t="shared" si="1"/>
        <v>0</v>
      </c>
      <c r="E21" s="132">
        <f t="shared" si="2"/>
        <v>0</v>
      </c>
      <c r="F21" s="133"/>
      <c r="G21" s="1366"/>
      <c r="H21" s="972">
        <f t="shared" si="6"/>
        <v>0</v>
      </c>
      <c r="I21" s="114">
        <f t="shared" si="7"/>
        <v>0</v>
      </c>
      <c r="J21" s="1983"/>
      <c r="K21" s="2629">
        <f t="shared" si="3"/>
        <v>0</v>
      </c>
      <c r="L21" s="273">
        <f t="shared" si="4"/>
        <v>0</v>
      </c>
      <c r="M21" s="2630">
        <f t="shared" si="8"/>
        <v>0</v>
      </c>
      <c r="N21" s="2631"/>
      <c r="O21" s="2632"/>
      <c r="P21" s="2633">
        <f t="shared" si="9"/>
        <v>0</v>
      </c>
      <c r="R21" s="273">
        <f t="shared" si="5"/>
        <v>0</v>
      </c>
      <c r="S21" s="2300">
        <f t="shared" si="5"/>
        <v>0</v>
      </c>
    </row>
    <row r="22" spans="1:19">
      <c r="A22" s="136"/>
      <c r="B22" s="113" t="s">
        <v>226</v>
      </c>
      <c r="C22" s="1363"/>
      <c r="D22" s="109">
        <f t="shared" si="1"/>
        <v>0</v>
      </c>
      <c r="E22" s="132">
        <f t="shared" si="2"/>
        <v>0</v>
      </c>
      <c r="F22" s="138"/>
      <c r="G22" s="1367"/>
      <c r="H22" s="972">
        <f t="shared" si="6"/>
        <v>0</v>
      </c>
      <c r="I22" s="114">
        <f t="shared" si="7"/>
        <v>0</v>
      </c>
      <c r="J22" s="1983"/>
      <c r="K22" s="2629">
        <f t="shared" si="3"/>
        <v>0</v>
      </c>
      <c r="L22" s="273">
        <f t="shared" si="4"/>
        <v>0</v>
      </c>
      <c r="M22" s="2630">
        <f t="shared" si="8"/>
        <v>0</v>
      </c>
      <c r="N22" s="2631"/>
      <c r="O22" s="2632"/>
      <c r="P22" s="2633">
        <f t="shared" si="9"/>
        <v>0</v>
      </c>
      <c r="R22" s="273">
        <f t="shared" si="5"/>
        <v>0</v>
      </c>
      <c r="S22" s="2300">
        <f t="shared" si="5"/>
        <v>0</v>
      </c>
    </row>
    <row r="23" spans="1:19">
      <c r="A23" s="136"/>
      <c r="B23" s="113" t="s">
        <v>226</v>
      </c>
      <c r="C23" s="137"/>
      <c r="D23" s="109">
        <f>ROUND($D$3*E23/$E$3,2)</f>
        <v>0</v>
      </c>
      <c r="E23" s="132">
        <f>SUM(F23:G23)</f>
        <v>0</v>
      </c>
      <c r="F23" s="138"/>
      <c r="G23" s="1367"/>
      <c r="H23" s="972">
        <f>ROUND($D$3*I23/$E$3,2)</f>
        <v>0</v>
      </c>
      <c r="I23" s="114">
        <f t="shared" si="7"/>
        <v>0</v>
      </c>
      <c r="J23" s="1983"/>
      <c r="K23" s="2629">
        <f t="shared" si="3"/>
        <v>0</v>
      </c>
      <c r="L23" s="273">
        <f t="shared" si="4"/>
        <v>0</v>
      </c>
      <c r="M23" s="2630">
        <f t="shared" si="8"/>
        <v>0</v>
      </c>
      <c r="N23" s="2631"/>
      <c r="O23" s="2632"/>
      <c r="P23" s="2633">
        <f t="shared" si="9"/>
        <v>0</v>
      </c>
      <c r="R23" s="273">
        <f t="shared" si="5"/>
        <v>0</v>
      </c>
      <c r="S23" s="2300">
        <f t="shared" si="5"/>
        <v>0</v>
      </c>
    </row>
    <row r="24" spans="1:19">
      <c r="A24" s="136"/>
      <c r="B24" s="113" t="s">
        <v>226</v>
      </c>
      <c r="C24" s="137"/>
      <c r="D24" s="109">
        <f>ROUND($D$3*E24/$E$3,2)</f>
        <v>0</v>
      </c>
      <c r="E24" s="132">
        <f>SUM(F24:G24)</f>
        <v>0</v>
      </c>
      <c r="F24" s="138"/>
      <c r="G24" s="1367"/>
      <c r="H24" s="972">
        <f>ROUND($D$3*I24/$E$3,2)</f>
        <v>0</v>
      </c>
      <c r="I24" s="114">
        <f t="shared" si="7"/>
        <v>0</v>
      </c>
      <c r="J24" s="1983"/>
      <c r="K24" s="2629">
        <f t="shared" si="3"/>
        <v>0</v>
      </c>
      <c r="L24" s="273">
        <f t="shared" si="4"/>
        <v>0</v>
      </c>
      <c r="M24" s="2630">
        <f t="shared" si="8"/>
        <v>0</v>
      </c>
      <c r="N24" s="2631"/>
      <c r="O24" s="2632"/>
      <c r="P24" s="2633">
        <f t="shared" si="9"/>
        <v>0</v>
      </c>
      <c r="R24" s="273">
        <f t="shared" si="5"/>
        <v>0</v>
      </c>
      <c r="S24" s="2300">
        <f t="shared" si="5"/>
        <v>0</v>
      </c>
    </row>
    <row r="25" spans="1:19">
      <c r="A25" s="136"/>
      <c r="B25" s="113" t="s">
        <v>226</v>
      </c>
      <c r="C25" s="137"/>
      <c r="D25" s="109">
        <f t="shared" si="1"/>
        <v>0</v>
      </c>
      <c r="E25" s="132">
        <f t="shared" si="2"/>
        <v>0</v>
      </c>
      <c r="F25" s="138"/>
      <c r="G25" s="1367"/>
      <c r="H25" s="108">
        <f t="shared" si="6"/>
        <v>0</v>
      </c>
      <c r="I25" s="114">
        <f t="shared" si="7"/>
        <v>0</v>
      </c>
      <c r="J25" s="1983"/>
      <c r="K25" s="2629">
        <f t="shared" si="3"/>
        <v>0</v>
      </c>
      <c r="L25" s="273">
        <f t="shared" si="4"/>
        <v>0</v>
      </c>
      <c r="M25" s="2630">
        <f t="shared" si="8"/>
        <v>0</v>
      </c>
      <c r="N25" s="2631"/>
      <c r="O25" s="2632"/>
      <c r="P25" s="2633">
        <f t="shared" si="9"/>
        <v>0</v>
      </c>
      <c r="R25" s="273">
        <f t="shared" si="5"/>
        <v>0</v>
      </c>
      <c r="S25" s="2300">
        <f t="shared" si="5"/>
        <v>0</v>
      </c>
    </row>
    <row r="26" spans="1:19">
      <c r="A26" s="136"/>
      <c r="B26" s="113" t="s">
        <v>226</v>
      </c>
      <c r="C26" s="140"/>
      <c r="D26" s="109">
        <f t="shared" si="1"/>
        <v>0</v>
      </c>
      <c r="E26" s="132">
        <f t="shared" si="2"/>
        <v>0</v>
      </c>
      <c r="F26" s="138"/>
      <c r="G26" s="1367"/>
      <c r="H26" s="108">
        <f t="shared" si="6"/>
        <v>0</v>
      </c>
      <c r="I26" s="114">
        <f t="shared" si="7"/>
        <v>0</v>
      </c>
      <c r="J26" s="1983"/>
      <c r="K26" s="2634">
        <f t="shared" si="3"/>
        <v>0</v>
      </c>
      <c r="L26" s="278">
        <f t="shared" si="4"/>
        <v>0</v>
      </c>
      <c r="M26" s="144">
        <f t="shared" si="8"/>
        <v>0</v>
      </c>
      <c r="N26" s="2635"/>
      <c r="O26" s="2636"/>
      <c r="P26" s="2637">
        <f t="shared" si="9"/>
        <v>0</v>
      </c>
      <c r="R26" s="273">
        <f t="shared" si="5"/>
        <v>0</v>
      </c>
      <c r="S26" s="2300">
        <f t="shared" si="5"/>
        <v>0</v>
      </c>
    </row>
    <row r="27" spans="1:19" ht="15.75" thickBot="1">
      <c r="A27" s="136"/>
      <c r="B27" s="109"/>
      <c r="C27" s="125" t="s">
        <v>215</v>
      </c>
      <c r="D27" s="132">
        <f>SUM(D19:D26)</f>
        <v>2079.0700000000002</v>
      </c>
      <c r="E27" s="141">
        <f>IF(SUM(E19:E26)='数据-基础表'!BA5,SUM(E19:E26),IF(F27="地上面积有误","面积有误","地下面积有误"))</f>
        <v>10000</v>
      </c>
      <c r="F27" s="132">
        <f>IF(SUM(F19:F26)=E8,SUM(F19:F26),"地上面积有误")</f>
        <v>10000</v>
      </c>
      <c r="G27" s="110">
        <f>SUM(G19:G26)</f>
        <v>0</v>
      </c>
      <c r="H27" s="973">
        <f>SUM(H19:H26)</f>
        <v>0</v>
      </c>
      <c r="I27" s="974">
        <f>SUM(I19:I26)</f>
        <v>0</v>
      </c>
      <c r="J27" s="1983"/>
      <c r="K27" s="2638">
        <f>SUM(K19:K26)</f>
        <v>0</v>
      </c>
      <c r="L27" s="2639">
        <f>SUM(L19:L26)</f>
        <v>0</v>
      </c>
      <c r="M27" s="2640">
        <f>SUM(M19:M26)</f>
        <v>0</v>
      </c>
      <c r="N27" s="2638">
        <f t="shared" ref="N27:O27" si="10">SUM(N19:N26)</f>
        <v>0</v>
      </c>
      <c r="O27" s="2639">
        <f t="shared" si="10"/>
        <v>0</v>
      </c>
      <c r="P27" s="2641">
        <f>SUM(P19:P26)</f>
        <v>0</v>
      </c>
      <c r="R27" s="2304">
        <f>IF(SUM(R19:R26)=$D$3,SUM(R19:R26),SUM(R19:R26)&amp;"误差"&amp;ROUND(SUM(R19:R26)-$D$3,2))</f>
        <v>2079.0700000000002</v>
      </c>
      <c r="S27" s="273">
        <f>IF(SUM(S19:S26)=$E$3,SUM(S19:S26),SUM(S19:S26)&amp;"误差"&amp;ROUND(SUM(S19:S26)-E3,2))</f>
        <v>10000</v>
      </c>
    </row>
    <row r="28" spans="1:19">
      <c r="A28" s="136"/>
      <c r="B28" s="113" t="s">
        <v>227</v>
      </c>
      <c r="C28" s="134" t="s">
        <v>228</v>
      </c>
      <c r="D28" s="109">
        <f>ROUND($D$3*E28/$E$3,2)</f>
        <v>0</v>
      </c>
      <c r="E28" s="132">
        <f>SUM(F28:G28)</f>
        <v>0</v>
      </c>
      <c r="F28" s="142">
        <f>'数据-基础表'!BQ5+'数据-基础表'!BS5</f>
        <v>0</v>
      </c>
      <c r="G28" s="143">
        <f>'数据-基础表'!BR5+'数据-基础表'!BT5</f>
        <v>0</v>
      </c>
      <c r="H28" s="1983"/>
      <c r="I28" s="1983"/>
      <c r="J28" s="1983"/>
      <c r="K28" s="1983"/>
      <c r="L28" s="1983"/>
    </row>
    <row r="29" spans="1:19">
      <c r="A29" s="136"/>
      <c r="B29" s="113" t="s">
        <v>227</v>
      </c>
      <c r="C29" s="2312" t="s">
        <v>2323</v>
      </c>
      <c r="D29" s="109">
        <f>ROUND($D$3*E29/$E$3,2)</f>
        <v>0</v>
      </c>
      <c r="E29" s="132">
        <f>SUM(F29:G29)</f>
        <v>0</v>
      </c>
      <c r="F29" s="142">
        <f>'数据-基础表'!BM5+'数据-基础表'!BO5</f>
        <v>0</v>
      </c>
      <c r="G29" s="144">
        <f>'数据-基础表'!BN5+'数据-基础表'!BP5</f>
        <v>0</v>
      </c>
      <c r="H29" s="1983"/>
      <c r="I29" s="1983"/>
      <c r="J29" s="1983"/>
      <c r="K29" s="1983"/>
      <c r="L29" s="1983"/>
    </row>
    <row r="30" spans="1:19">
      <c r="A30" s="136"/>
      <c r="B30" s="109"/>
      <c r="C30" s="145" t="s">
        <v>215</v>
      </c>
      <c r="D30" s="132">
        <f>SUM(D28:D29)</f>
        <v>0</v>
      </c>
      <c r="E30" s="132">
        <f>SUM(E28:E29)</f>
        <v>0</v>
      </c>
      <c r="F30" s="132">
        <f>SUM(F28:F29)</f>
        <v>0</v>
      </c>
      <c r="G30" s="110">
        <f>SUM(G28:G29)</f>
        <v>0</v>
      </c>
      <c r="H30" s="1983"/>
      <c r="I30" s="1983"/>
      <c r="J30" s="1983"/>
      <c r="K30" s="1983"/>
      <c r="L30" s="1983"/>
    </row>
    <row r="31" spans="1:19" ht="32.25" customHeight="1" thickBot="1">
      <c r="A31" s="1368"/>
      <c r="B31" s="1369" t="s">
        <v>229</v>
      </c>
      <c r="C31" s="2329" t="s">
        <v>2325</v>
      </c>
      <c r="D31" s="1370">
        <f>D27+D30</f>
        <v>2079.0700000000002</v>
      </c>
      <c r="E31" s="1370">
        <f>E27+E30</f>
        <v>10000</v>
      </c>
      <c r="F31" s="1371">
        <f>F27+F30</f>
        <v>10000</v>
      </c>
      <c r="G31" s="1372">
        <f>G27+G30</f>
        <v>0</v>
      </c>
      <c r="H31" s="1983"/>
      <c r="I31" s="1983"/>
      <c r="J31" s="1983"/>
      <c r="K31" s="1983"/>
      <c r="L31" s="1983"/>
    </row>
    <row r="32" spans="1:19">
      <c r="A32" s="1983"/>
      <c r="B32" s="2362" t="s">
        <v>2324</v>
      </c>
      <c r="C32" s="2668"/>
      <c r="D32" s="1199"/>
      <c r="E32" s="1199">
        <f>SUMIF(C19:C26,"*住宅*",E19:E26)</f>
        <v>0</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P23" sqref="P23"/>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6"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7" t="s">
        <v>235</v>
      </c>
      <c r="B2" s="2337">
        <f>项目基本情况!D3</f>
        <v>43230</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48" t="s">
        <v>864</v>
      </c>
      <c r="B4" s="150"/>
      <c r="C4" s="151"/>
      <c r="D4" s="1206"/>
      <c r="E4" s="1207" t="s">
        <v>865</v>
      </c>
      <c r="F4" s="151"/>
      <c r="G4" s="151"/>
      <c r="H4" s="151"/>
      <c r="I4" s="151"/>
      <c r="J4" s="152"/>
      <c r="K4" s="1208"/>
      <c r="L4" s="1209"/>
      <c r="M4" s="151"/>
      <c r="N4" s="1207" t="s">
        <v>866</v>
      </c>
      <c r="O4" s="151"/>
      <c r="P4" s="151"/>
      <c r="Q4" s="151"/>
      <c r="R4" s="151"/>
      <c r="S4" s="152"/>
      <c r="T4" s="975" t="str">
        <f>'数据-汇总表'!I17</f>
        <v>按面积比例</v>
      </c>
      <c r="U4" s="150" t="s">
        <v>867</v>
      </c>
      <c r="V4" s="151"/>
      <c r="W4" s="151"/>
      <c r="X4" s="151"/>
      <c r="Y4" s="152"/>
      <c r="Z4" s="121" t="s">
        <v>868</v>
      </c>
      <c r="AA4" s="121"/>
      <c r="AB4" s="121"/>
      <c r="AC4" s="121"/>
      <c r="AD4" s="121"/>
      <c r="AE4" s="119" t="s">
        <v>869</v>
      </c>
      <c r="AF4" s="121"/>
      <c r="AG4" s="153"/>
      <c r="AH4" s="150"/>
      <c r="AI4" s="151"/>
      <c r="AJ4" s="151"/>
      <c r="AK4" s="151"/>
      <c r="AL4" s="151"/>
      <c r="AM4" s="152"/>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2327</v>
      </c>
      <c r="B5" s="154" t="s">
        <v>236</v>
      </c>
      <c r="C5" s="155" t="s">
        <v>237</v>
      </c>
      <c r="D5" s="156" t="s">
        <v>238</v>
      </c>
      <c r="E5" s="157" t="s">
        <v>239</v>
      </c>
      <c r="F5" s="158" t="s">
        <v>240</v>
      </c>
      <c r="G5" s="157" t="s">
        <v>241</v>
      </c>
      <c r="H5" s="157" t="s">
        <v>862</v>
      </c>
      <c r="I5" s="157" t="s">
        <v>863</v>
      </c>
      <c r="J5" s="159" t="s">
        <v>242</v>
      </c>
      <c r="K5" s="160" t="s">
        <v>243</v>
      </c>
      <c r="L5" s="161" t="s">
        <v>244</v>
      </c>
      <c r="M5" s="162" t="s">
        <v>245</v>
      </c>
      <c r="N5" s="1217" t="s">
        <v>3112</v>
      </c>
      <c r="O5" s="161" t="s">
        <v>246</v>
      </c>
      <c r="P5" s="163" t="s">
        <v>247</v>
      </c>
      <c r="Q5" s="164" t="s">
        <v>248</v>
      </c>
      <c r="R5" s="165" t="s">
        <v>249</v>
      </c>
      <c r="S5" s="2642" t="s">
        <v>2576</v>
      </c>
      <c r="T5" s="166" t="s">
        <v>250</v>
      </c>
      <c r="U5" s="167" t="s">
        <v>251</v>
      </c>
      <c r="V5" s="157" t="s">
        <v>252</v>
      </c>
      <c r="W5" s="157" t="s">
        <v>253</v>
      </c>
      <c r="X5" s="1817"/>
      <c r="Y5" s="168" t="s">
        <v>254</v>
      </c>
      <c r="Z5" s="169" t="s">
        <v>255</v>
      </c>
      <c r="AA5" s="157" t="s">
        <v>252</v>
      </c>
      <c r="AB5" s="157" t="s">
        <v>253</v>
      </c>
      <c r="AC5" s="1818"/>
      <c r="AD5" s="170" t="s">
        <v>254</v>
      </c>
      <c r="AE5" s="1" t="s">
        <v>870</v>
      </c>
      <c r="AF5" s="157" t="s">
        <v>256</v>
      </c>
      <c r="AG5" s="168" t="s">
        <v>257</v>
      </c>
      <c r="AH5" s="1818" t="s">
        <v>2326</v>
      </c>
      <c r="AI5" s="169" t="s">
        <v>2295</v>
      </c>
      <c r="AJ5" s="169" t="s">
        <v>258</v>
      </c>
      <c r="AK5" s="157" t="s">
        <v>259</v>
      </c>
      <c r="AL5" s="157" t="s">
        <v>260</v>
      </c>
      <c r="AM5" s="170" t="s">
        <v>261</v>
      </c>
      <c r="AN5" s="2414" t="s">
        <v>2377</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办公</v>
      </c>
      <c r="B6" s="2336" t="str">
        <f>IF(A6=0,"","经营性")</f>
        <v>经营性</v>
      </c>
      <c r="C6" s="171" t="s">
        <v>1678</v>
      </c>
      <c r="D6" s="2307">
        <f>SUMIF(项目基本情况!D$15:I$15,C6,项目基本情况!D$18:I$18)</f>
        <v>50</v>
      </c>
      <c r="E6" s="2308">
        <f>IF(B6="","",SUMIF(项目基本情况!D$15:I$15,C6,项目基本情况!D$17:I$17))</f>
        <v>65746</v>
      </c>
      <c r="F6" s="172">
        <f>SUMIF(项目基本情况!D$15:I$15,C6,项目基本情况!D$19:I$19)</f>
        <v>50</v>
      </c>
      <c r="G6" s="173">
        <f>IF(ISERROR(ROUND(POWER(1+H6,D6-F6)*(POWER(1+H6,F6)-1)/(POWER(1+H6,D6)-1),3)),0,ROUND(POWER(1+H6,D6-F6)*(POWER(1+H6,F6)-1)/(POWER(1+H6,D6)-1),3))</f>
        <v>1</v>
      </c>
      <c r="H6" s="3047">
        <v>0.04</v>
      </c>
      <c r="I6" s="3047">
        <v>0.05</v>
      </c>
      <c r="J6" s="174">
        <v>0.08</v>
      </c>
      <c r="K6" s="177">
        <f>SUMIF('数据-汇总表'!C$19:C$33,'数据-取费表'!A6,'数据-汇总表'!E$19:E$33)</f>
        <v>10000</v>
      </c>
      <c r="L6" s="3181">
        <v>2500</v>
      </c>
      <c r="M6" s="175">
        <f t="shared" ref="M6:M14" si="0">ROUND(K6*L6/10000,0)</f>
        <v>2500</v>
      </c>
      <c r="N6" s="3049">
        <v>0.93</v>
      </c>
      <c r="O6" s="175" t="str">
        <f>IF($N$5="成新度","——",ROUND(M6*N6,0))</f>
        <v>——</v>
      </c>
      <c r="P6" s="176" t="str">
        <f>IF($N$5="成新度","——",M6-O6)</f>
        <v>——</v>
      </c>
      <c r="Q6" s="3050">
        <v>0.25</v>
      </c>
      <c r="R6" s="177">
        <f>SUMIF('数据-汇总表'!C$19:C$33,A6,'数据-汇总表'!R$19:R$33)</f>
        <v>2079.0700000000002</v>
      </c>
      <c r="S6" s="130">
        <f>IF('数据-汇总表'!$I$17="按面积比例",SUMIF('数据-汇总表'!C$19:C$33,A6,'数据-汇总表'!K$19:K$33),SUMIF('数据-汇总表'!C$19:C$33,A6,'数据-汇总表'!N$19:N$33))</f>
        <v>0</v>
      </c>
      <c r="T6" s="2233" t="str">
        <f>IF($T$4="按面积比例",IF(ISERROR(ROUND($M$14*S6/S$16,0)),"0",ROUND($M$14*S6/S$16,0)),"需自行计算录入")</f>
        <v>0</v>
      </c>
      <c r="U6" s="178"/>
      <c r="V6" s="179"/>
      <c r="W6" s="179"/>
      <c r="X6" s="2320"/>
      <c r="Y6" s="180"/>
      <c r="Z6" s="181"/>
      <c r="AA6" s="174"/>
      <c r="AB6" s="174"/>
      <c r="AC6" s="2323"/>
      <c r="AD6" s="182"/>
      <c r="AE6" s="970">
        <f ca="1">IF(AN6="",0,SUMIF(INDIRECT("'"&amp;AN6&amp;"'"&amp;"!E:E"),$AE$5,INDIRECT("'"&amp;AN6&amp;"'"&amp;"!F:F")))</f>
        <v>0</v>
      </c>
      <c r="AF6" s="139"/>
      <c r="AG6" s="1211">
        <f>IF(AF6="",0,AE6-AF6)</f>
        <v>0</v>
      </c>
      <c r="AH6" s="139"/>
      <c r="AI6" s="185"/>
      <c r="AJ6" s="186"/>
      <c r="AK6" s="187"/>
      <c r="AL6" s="188"/>
      <c r="AM6" s="3061"/>
      <c r="AN6" s="2415"/>
      <c r="AO6" s="1999"/>
      <c r="AP6" s="1202">
        <f>ROUND(1-1/(1+H6)^F6,3)</f>
        <v>0.85899999999999999</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f>'数据-汇总表'!C20</f>
        <v>0</v>
      </c>
      <c r="B7" s="2336" t="str">
        <f t="shared" ref="B7:B13" si="1">IF(A7=0,"","经营性")</f>
        <v/>
      </c>
      <c r="C7" s="171" t="s">
        <v>3023</v>
      </c>
      <c r="D7" s="2307">
        <f>SUMIF(项目基本情况!D$15:I$15,C7,项目基本情况!D$18:I$18)</f>
        <v>50</v>
      </c>
      <c r="E7" s="2308" t="str">
        <f>IF(B7="","",SUMIF(项目基本情况!D$15:I$15,C7,项目基本情况!D$17:I$17))</f>
        <v/>
      </c>
      <c r="F7" s="172">
        <f>SUMIF(项目基本情况!D$15:I$15,C7,项目基本情况!D$19:I$19)</f>
        <v>50</v>
      </c>
      <c r="G7" s="173">
        <f t="shared" ref="G7:G11" si="2">IF(ISERROR(ROUND(POWER(1+H7,D7-F7)*(POWER(1+H7,F7)-1)/(POWER(1+H7,D7)-1),3)),0,ROUND(POWER(1+H7,D7-F7)*(POWER(1+H7,F7)-1)/(POWER(1+H7,D7)-1),3))</f>
        <v>0</v>
      </c>
      <c r="H7" s="3047"/>
      <c r="I7" s="3047"/>
      <c r="J7" s="174"/>
      <c r="K7" s="177">
        <f>SUMIF('数据-汇总表'!C$19:C$33,'数据-取费表'!A7,'数据-汇总表'!E$19:E$33)</f>
        <v>0</v>
      </c>
      <c r="L7" s="3048"/>
      <c r="M7" s="175">
        <f t="shared" si="0"/>
        <v>0</v>
      </c>
      <c r="N7" s="3049"/>
      <c r="O7" s="175" t="str">
        <f t="shared" ref="O7:O14" si="3">IF($N$5="成新度","——",ROUND(M7*N7,0))</f>
        <v>——</v>
      </c>
      <c r="P7" s="176" t="str">
        <f t="shared" ref="P7:P14" si="4">IF($N$5="成新度","——",M7-O7)</f>
        <v>——</v>
      </c>
      <c r="Q7" s="3050"/>
      <c r="R7" s="177">
        <f>SUMIF('数据-汇总表'!C$19:C$33,A7,'数据-汇总表'!R$19:R$33)</f>
        <v>0</v>
      </c>
      <c r="S7" s="130">
        <f>IF('数据-汇总表'!$I$17="按面积比例",SUMIF('数据-汇总表'!C$19:C$33,A7,'数据-汇总表'!K$19:K$33),SUMIF('数据-汇总表'!C$19:C$33,A7,'数据-汇总表'!N$19:N$33))</f>
        <v>0</v>
      </c>
      <c r="T7" s="2233" t="str">
        <f t="shared" ref="T7:T13" si="5">IF($T$4="按面积比例",IF(ISERROR(ROUND($M$14*S7/S$16,0)),"0",ROUND($M$14*S7/S$16,0)),"需自行计算录入")</f>
        <v>0</v>
      </c>
      <c r="U7" s="178"/>
      <c r="V7" s="179"/>
      <c r="W7" s="179"/>
      <c r="X7" s="2320"/>
      <c r="Y7" s="180"/>
      <c r="Z7" s="181"/>
      <c r="AA7" s="174"/>
      <c r="AB7" s="174"/>
      <c r="AC7" s="2323"/>
      <c r="AD7" s="182"/>
      <c r="AE7" s="970">
        <f t="shared" ref="AE7:AE13" ca="1" si="6">IF(AN7="",0,SUMIF(INDIRECT("'"&amp;AN7&amp;"'"&amp;"!E:E"),$AE$5,INDIRECT("'"&amp;AN7&amp;"'"&amp;"!F:F")))</f>
        <v>0</v>
      </c>
      <c r="AF7" s="139"/>
      <c r="AG7" s="1211">
        <f t="shared" ref="AG7:AG13" si="7">IF(AF7="",0,AE7-AF7)</f>
        <v>0</v>
      </c>
      <c r="AH7" s="139"/>
      <c r="AI7" s="185"/>
      <c r="AJ7" s="186"/>
      <c r="AK7" s="187"/>
      <c r="AL7" s="188"/>
      <c r="AM7" s="2413"/>
      <c r="AN7" s="2415"/>
      <c r="AO7" s="1999"/>
      <c r="AP7" s="1202">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f>'数据-汇总表'!C21</f>
        <v>0</v>
      </c>
      <c r="B8" s="2336" t="str">
        <f t="shared" si="1"/>
        <v/>
      </c>
      <c r="C8" s="171"/>
      <c r="D8" s="2307">
        <f>SUMIF(项目基本情况!D$15:I$15,C8,项目基本情况!D$18:I$18)</f>
        <v>0</v>
      </c>
      <c r="E8" s="2308" t="str">
        <f>IF(B8="","",SUMIF(项目基本情况!D$15:I$15,C8,项目基本情况!D$17:I$17))</f>
        <v/>
      </c>
      <c r="F8" s="172">
        <f>SUMIF(项目基本情况!D$15:I$15,C8,项目基本情况!D$19:I$19)</f>
        <v>0</v>
      </c>
      <c r="G8" s="173">
        <f t="shared" si="2"/>
        <v>0</v>
      </c>
      <c r="H8" s="3047"/>
      <c r="I8" s="3047"/>
      <c r="J8" s="174"/>
      <c r="K8" s="177">
        <f>SUMIF('数据-汇总表'!C$19:C$33,'数据-取费表'!A8,'数据-汇总表'!E$19:E$33)</f>
        <v>0</v>
      </c>
      <c r="L8" s="3048"/>
      <c r="M8" s="175">
        <f>ROUND(K8*L8/10000,0)</f>
        <v>0</v>
      </c>
      <c r="N8" s="3049"/>
      <c r="O8" s="175" t="str">
        <f t="shared" si="3"/>
        <v>——</v>
      </c>
      <c r="P8" s="176" t="str">
        <f t="shared" si="4"/>
        <v>——</v>
      </c>
      <c r="Q8" s="3050"/>
      <c r="R8" s="177">
        <f>SUMIF('数据-汇总表'!C$19:C$33,A8,'数据-汇总表'!R$19:R$33)</f>
        <v>0</v>
      </c>
      <c r="S8" s="130">
        <f>IF('数据-汇总表'!$I$17="按面积比例",SUMIF('数据-汇总表'!C$19:C$33,A8,'数据-汇总表'!K$19:K$33),SUMIF('数据-汇总表'!C$19:C$33,A8,'数据-汇总表'!N$19:N$33))</f>
        <v>0</v>
      </c>
      <c r="T8" s="2233" t="str">
        <f t="shared" si="5"/>
        <v>0</v>
      </c>
      <c r="U8" s="178"/>
      <c r="V8" s="179"/>
      <c r="W8" s="179"/>
      <c r="X8" s="2320"/>
      <c r="Y8" s="180"/>
      <c r="Z8" s="181"/>
      <c r="AA8" s="174"/>
      <c r="AB8" s="174"/>
      <c r="AC8" s="2323"/>
      <c r="AD8" s="182"/>
      <c r="AE8" s="970">
        <f t="shared" ca="1" si="6"/>
        <v>0</v>
      </c>
      <c r="AF8" s="139"/>
      <c r="AG8" s="1211">
        <f t="shared" si="7"/>
        <v>0</v>
      </c>
      <c r="AH8" s="139"/>
      <c r="AI8" s="185"/>
      <c r="AJ8" s="186"/>
      <c r="AK8" s="187"/>
      <c r="AL8" s="188"/>
      <c r="AM8" s="2413"/>
      <c r="AN8" s="2415"/>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f>'数据-汇总表'!C22</f>
        <v>0</v>
      </c>
      <c r="B9" s="2336" t="str">
        <f t="shared" si="1"/>
        <v/>
      </c>
      <c r="C9" s="171"/>
      <c r="D9" s="2307">
        <f>SUMIF(项目基本情况!D$15:I$15,C9,项目基本情况!D$18:I$18)</f>
        <v>0</v>
      </c>
      <c r="E9" s="230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0">
        <f>IF('数据-汇总表'!$I$17="按面积比例",SUMIF('数据-汇总表'!C$19:C$33,A9,'数据-汇总表'!K$19:K$33),SUMIF('数据-汇总表'!C$19:C$33,A9,'数据-汇总表'!N$19:N$33))</f>
        <v>0</v>
      </c>
      <c r="T9" s="2233" t="str">
        <f t="shared" si="5"/>
        <v>0</v>
      </c>
      <c r="U9" s="178"/>
      <c r="V9" s="179"/>
      <c r="W9" s="179"/>
      <c r="X9" s="2320"/>
      <c r="Y9" s="180"/>
      <c r="Z9" s="181"/>
      <c r="AA9" s="174"/>
      <c r="AB9" s="174"/>
      <c r="AC9" s="2323"/>
      <c r="AD9" s="182"/>
      <c r="AE9" s="970">
        <f t="shared" ca="1" si="6"/>
        <v>0</v>
      </c>
      <c r="AF9" s="139"/>
      <c r="AG9" s="1211">
        <f t="shared" si="7"/>
        <v>0</v>
      </c>
      <c r="AH9" s="139"/>
      <c r="AI9" s="185"/>
      <c r="AJ9" s="186"/>
      <c r="AK9" s="187"/>
      <c r="AL9" s="188"/>
      <c r="AM9" s="2413"/>
      <c r="AN9" s="2415"/>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1"/>
      <c r="D10" s="2307">
        <f>SUMIF(项目基本情况!D$15:I$15,C10,项目基本情况!D$18:I$18)</f>
        <v>0</v>
      </c>
      <c r="E10" s="230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0">
        <f>IF('数据-汇总表'!$I$17="按面积比例",SUMIF('数据-汇总表'!C$19:C$33,A10,'数据-汇总表'!K$19:K$33),SUMIF('数据-汇总表'!C$19:C$33,A10,'数据-汇总表'!N$19:N$33))</f>
        <v>0</v>
      </c>
      <c r="T10" s="2233" t="str">
        <f t="shared" si="5"/>
        <v>0</v>
      </c>
      <c r="U10" s="178"/>
      <c r="V10" s="179"/>
      <c r="W10" s="179"/>
      <c r="X10" s="2320"/>
      <c r="Y10" s="180"/>
      <c r="Z10" s="181"/>
      <c r="AA10" s="174"/>
      <c r="AB10" s="174"/>
      <c r="AC10" s="2323"/>
      <c r="AD10" s="182"/>
      <c r="AE10" s="970">
        <f t="shared" ca="1" si="6"/>
        <v>0</v>
      </c>
      <c r="AF10" s="139"/>
      <c r="AG10" s="1211">
        <f t="shared" si="7"/>
        <v>0</v>
      </c>
      <c r="AH10" s="139"/>
      <c r="AI10" s="185"/>
      <c r="AJ10" s="186"/>
      <c r="AK10" s="187"/>
      <c r="AL10" s="188"/>
      <c r="AM10" s="2413"/>
      <c r="AN10" s="2415"/>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1"/>
      <c r="D11" s="2307">
        <f>SUMIF(项目基本情况!D$15:I$15,C11,项目基本情况!D$18:I$18)</f>
        <v>0</v>
      </c>
      <c r="E11" s="230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0">
        <f>IF('数据-汇总表'!$I$17="按面积比例",SUMIF('数据-汇总表'!C$19:C$33,A11,'数据-汇总表'!K$19:K$33),SUMIF('数据-汇总表'!C$19:C$33,A11,'数据-汇总表'!N$19:N$33))</f>
        <v>0</v>
      </c>
      <c r="T11" s="2233" t="str">
        <f t="shared" si="5"/>
        <v>0</v>
      </c>
      <c r="U11" s="183"/>
      <c r="V11" s="174"/>
      <c r="W11" s="174"/>
      <c r="X11" s="2323"/>
      <c r="Y11" s="180"/>
      <c r="Z11" s="193"/>
      <c r="AA11" s="174"/>
      <c r="AB11" s="174"/>
      <c r="AC11" s="2323"/>
      <c r="AD11" s="182"/>
      <c r="AE11" s="970">
        <f t="shared" ca="1" si="6"/>
        <v>0</v>
      </c>
      <c r="AF11" s="139"/>
      <c r="AG11" s="1211">
        <f t="shared" si="7"/>
        <v>0</v>
      </c>
      <c r="AH11" s="139"/>
      <c r="AI11" s="185"/>
      <c r="AJ11" s="186"/>
      <c r="AK11" s="194"/>
      <c r="AL11" s="195"/>
      <c r="AM11" s="1816"/>
      <c r="AN11" s="2415"/>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1"/>
      <c r="D12" s="2307">
        <f>SUMIF(项目基本情况!D$15:I$15,C12,项目基本情况!D$18:I$18)</f>
        <v>0</v>
      </c>
      <c r="E12" s="230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0">
        <f>IF('数据-汇总表'!$I$17="按面积比例",SUMIF('数据-汇总表'!C$19:C$33,A12,'数据-汇总表'!K$19:K$33),SUMIF('数据-汇总表'!C$19:C$33,A12,'数据-汇总表'!N$19:N$33))</f>
        <v>0</v>
      </c>
      <c r="T12" s="2233" t="str">
        <f t="shared" si="5"/>
        <v>0</v>
      </c>
      <c r="U12" s="183"/>
      <c r="V12" s="174"/>
      <c r="W12" s="174"/>
      <c r="X12" s="2323"/>
      <c r="Y12" s="180"/>
      <c r="Z12" s="193"/>
      <c r="AA12" s="174"/>
      <c r="AB12" s="174"/>
      <c r="AC12" s="2323"/>
      <c r="AD12" s="182"/>
      <c r="AE12" s="970">
        <f t="shared" ca="1" si="6"/>
        <v>0</v>
      </c>
      <c r="AF12" s="139"/>
      <c r="AG12" s="1211">
        <f t="shared" si="7"/>
        <v>0</v>
      </c>
      <c r="AH12" s="139"/>
      <c r="AI12" s="185"/>
      <c r="AJ12" s="186"/>
      <c r="AK12" s="194"/>
      <c r="AL12" s="195"/>
      <c r="AM12" s="1816"/>
      <c r="AN12" s="2415"/>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1"/>
      <c r="D13" s="2307">
        <f>SUMIF(项目基本情况!D$15:I$15,C13,项目基本情况!D$18:I$18)</f>
        <v>0</v>
      </c>
      <c r="E13" s="230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0">
        <f>IF('数据-汇总表'!$I$17="按面积比例",SUMIF('数据-汇总表'!C$19:C$33,A13,'数据-汇总表'!K$19:K$33),SUMIF('数据-汇总表'!C$19:C$33,A13,'数据-汇总表'!N$19:N$33))</f>
        <v>0</v>
      </c>
      <c r="T13" s="2233" t="str">
        <f t="shared" si="5"/>
        <v>0</v>
      </c>
      <c r="U13" s="178"/>
      <c r="V13" s="179"/>
      <c r="W13" s="179"/>
      <c r="X13" s="2320"/>
      <c r="Y13" s="180"/>
      <c r="Z13" s="181"/>
      <c r="AA13" s="174"/>
      <c r="AB13" s="174"/>
      <c r="AC13" s="2323"/>
      <c r="AD13" s="182"/>
      <c r="AE13" s="970">
        <f t="shared" ca="1" si="6"/>
        <v>0</v>
      </c>
      <c r="AF13" s="139"/>
      <c r="AG13" s="1211">
        <f t="shared" si="7"/>
        <v>0</v>
      </c>
      <c r="AH13" s="139"/>
      <c r="AI13" s="185"/>
      <c r="AJ13" s="186"/>
      <c r="AK13" s="187"/>
      <c r="AL13" s="188"/>
      <c r="AM13" s="2413"/>
      <c r="AN13" s="2415"/>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2317</v>
      </c>
      <c r="B14" s="2305" t="s">
        <v>1680</v>
      </c>
      <c r="C14" s="2306" t="s">
        <v>2317</v>
      </c>
      <c r="D14" s="2307"/>
      <c r="E14" s="2308"/>
      <c r="F14" s="172"/>
      <c r="G14" s="173"/>
      <c r="H14" s="2309"/>
      <c r="I14" s="2309"/>
      <c r="J14" s="2309"/>
      <c r="K14" s="177">
        <f>SUMIF('数据-汇总表'!C$19:C$33,'数据-取费表'!A14,'数据-汇总表'!E$19:E$33)</f>
        <v>0</v>
      </c>
      <c r="L14" s="191"/>
      <c r="M14" s="175">
        <f t="shared" si="0"/>
        <v>0</v>
      </c>
      <c r="N14" s="192"/>
      <c r="O14" s="175" t="str">
        <f t="shared" si="3"/>
        <v>——</v>
      </c>
      <c r="P14" s="176" t="str">
        <f t="shared" si="4"/>
        <v>——</v>
      </c>
      <c r="Q14" s="2317"/>
      <c r="R14" s="177"/>
      <c r="S14" s="130"/>
      <c r="T14" s="2316"/>
      <c r="U14" s="972"/>
      <c r="V14" s="2319"/>
      <c r="W14" s="2319"/>
      <c r="X14" s="2320"/>
      <c r="Y14" s="2321"/>
      <c r="Z14" s="134"/>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2319</v>
      </c>
      <c r="B15" s="2305" t="s">
        <v>1680</v>
      </c>
      <c r="C15" s="2306" t="s">
        <v>2318</v>
      </c>
      <c r="D15" s="2307"/>
      <c r="E15" s="2308"/>
      <c r="F15" s="172"/>
      <c r="G15" s="173"/>
      <c r="H15" s="2309"/>
      <c r="I15" s="2309"/>
      <c r="J15" s="2309"/>
      <c r="K15" s="177">
        <f>SUMIF('数据-汇总表'!C$19:C$33,'数据-取费表'!A15,'数据-汇总表'!E$19:E$33)</f>
        <v>0</v>
      </c>
      <c r="L15" s="2315"/>
      <c r="M15" s="175"/>
      <c r="N15" s="2318"/>
      <c r="O15" s="175"/>
      <c r="P15" s="176"/>
      <c r="Q15" s="2317"/>
      <c r="R15" s="177"/>
      <c r="S15" s="130"/>
      <c r="T15" s="2316"/>
      <c r="U15" s="972"/>
      <c r="V15" s="2319"/>
      <c r="W15" s="2319"/>
      <c r="X15" s="2320"/>
      <c r="Y15" s="2321"/>
      <c r="Z15" s="134"/>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6" t="s">
        <v>262</v>
      </c>
      <c r="B16" s="197"/>
      <c r="C16" s="198"/>
      <c r="D16" s="199"/>
      <c r="E16" s="197"/>
      <c r="F16" s="197"/>
      <c r="G16" s="200">
        <f>ROUND(SUMPRODUCT(G6:G13,K6:K13)/SUMPRODUCT((G6:G13&gt;0)*(K6:K13)),3)</f>
        <v>1</v>
      </c>
      <c r="H16" s="201">
        <f>ROUND(SUMPRODUCT(H6:H13,K6:K13)/SUMPRODUCT((H6:H13&gt;0)*(K6:K13)),3)</f>
        <v>0.04</v>
      </c>
      <c r="I16" s="202"/>
      <c r="J16" s="202"/>
      <c r="K16" s="203">
        <f>SUM(K6:K15)</f>
        <v>10000</v>
      </c>
      <c r="L16" s="204">
        <f>ROUND(M16*10000/SUM(K6:K14),0)</f>
        <v>2500</v>
      </c>
      <c r="M16" s="204">
        <f>SUM(M6:M14)</f>
        <v>2500</v>
      </c>
      <c r="N16" s="205">
        <f>ROUND(SUMPRODUCT(M6:M14,N6:N14)/M16,3)</f>
        <v>0.93</v>
      </c>
      <c r="O16" s="204">
        <f>SUM(O6:O14)</f>
        <v>0</v>
      </c>
      <c r="P16" s="204">
        <f>SUM(P6:P14)</f>
        <v>0</v>
      </c>
      <c r="Q16" s="206">
        <f>ROUND(SUMPRODUCT(Q6:Q13,K6:K13)/SUMPRODUCT((Q6:Q13&gt;0)*(K6:K13)),2)</f>
        <v>0.25</v>
      </c>
      <c r="R16" s="2310">
        <f>SUM(R6:R13)</f>
        <v>2079.0700000000002</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1999"/>
      <c r="AO16" s="1999"/>
      <c r="AP16" s="1202">
        <f>ROUND(SUMPRODUCT(AP6:AP13,K6:K13)/SUMPRODUCT((AP6:AP13&gt;0)*(K6:K13)),3)</f>
        <v>0.85899999999999999</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8" t="s">
        <v>263</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5" t="s">
        <v>264</v>
      </c>
      <c r="B19" s="216">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7" t="s">
        <v>265</v>
      </c>
      <c r="B20" s="218">
        <v>1.5</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19" t="s">
        <v>266</v>
      </c>
      <c r="B21" s="218">
        <v>1.5</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7" t="s">
        <v>267</v>
      </c>
      <c r="B22" s="220">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19" t="s">
        <v>268</v>
      </c>
      <c r="B23" s="220">
        <f>B19+B21</f>
        <v>1.5</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1" t="s">
        <v>269</v>
      </c>
      <c r="B24" s="222">
        <f>B20-B21</f>
        <v>0</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7" t="s">
        <v>270</v>
      </c>
      <c r="B26" s="223"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4" t="s">
        <v>2341</v>
      </c>
      <c r="B27" s="225"/>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6" t="s">
        <v>2342</v>
      </c>
      <c r="B28" s="227">
        <v>200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29" t="s">
        <v>2340</v>
      </c>
      <c r="B29" s="230">
        <v>200</v>
      </c>
      <c r="C29" s="1551"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3"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6" t="s">
        <v>274</v>
      </c>
      <c r="B31" s="228">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5" t="s">
        <v>275</v>
      </c>
      <c r="B32" s="1376"/>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4" t="s">
        <v>278</v>
      </c>
      <c r="B33" s="1377">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6" t="s">
        <v>279</v>
      </c>
      <c r="B34" s="231">
        <v>0</v>
      </c>
      <c r="C34" s="2364"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6" t="s">
        <v>276</v>
      </c>
      <c r="B35" s="227">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29" t="s">
        <v>277</v>
      </c>
      <c r="B36" s="232">
        <v>1.4999999999999999E-2</v>
      </c>
      <c r="C36" s="2364" t="s">
        <v>2898</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3" t="s">
        <v>280</v>
      </c>
      <c r="B37" s="234">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6" t="s">
        <v>281</v>
      </c>
      <c r="B38" s="231">
        <v>0.02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0" t="s">
        <v>2460</v>
      </c>
      <c r="B39" s="798">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0" t="s">
        <v>2461</v>
      </c>
      <c r="B40" s="2502">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4" t="s">
        <v>282</v>
      </c>
      <c r="B41" s="236">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38">
        <v>0.05</v>
      </c>
      <c r="C42" s="312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39">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7" t="s">
        <v>285</v>
      </c>
      <c r="B44" s="240">
        <v>7.0000000000000007E-2</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7" t="s">
        <v>286</v>
      </c>
      <c r="B45" s="238">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7" t="s">
        <v>287</v>
      </c>
      <c r="B46" s="238">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1" t="s">
        <v>288</v>
      </c>
      <c r="B47" s="242"/>
      <c r="C47" s="3096"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3" t="s">
        <v>289</v>
      </c>
      <c r="B48" s="244">
        <v>0.03</v>
      </c>
      <c r="C48" s="3097"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5" t="s">
        <v>290</v>
      </c>
      <c r="B49" s="238">
        <v>5.0000000000000001E-4</v>
      </c>
      <c r="C49" s="3097"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5" t="s">
        <v>291</v>
      </c>
      <c r="B50" s="246">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29" t="s">
        <v>292</v>
      </c>
      <c r="B51" s="247">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5" t="s">
        <v>293</v>
      </c>
      <c r="B52" s="248">
        <f>SUMIF(A54:A63,B53,B54:B63)</f>
        <v>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6" t="s">
        <v>294</v>
      </c>
      <c r="B53" s="249" t="s">
        <v>1156</v>
      </c>
      <c r="C53" s="3098" t="s">
        <v>2906</v>
      </c>
      <c r="D53" s="3099"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1" t="s">
        <v>2908</v>
      </c>
      <c r="B54" s="184"/>
      <c r="C54" s="1993">
        <v>30</v>
      </c>
      <c r="D54" s="3100"/>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1" t="s">
        <v>2909</v>
      </c>
      <c r="B55" s="184"/>
      <c r="C55" s="1993">
        <v>24</v>
      </c>
      <c r="D55" s="3100"/>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1" t="s">
        <v>2910</v>
      </c>
      <c r="B56" s="184"/>
      <c r="C56" s="1993">
        <v>18</v>
      </c>
      <c r="D56" s="3100"/>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1" t="s">
        <v>2911</v>
      </c>
      <c r="B57" s="184"/>
      <c r="C57" s="1993">
        <v>12</v>
      </c>
      <c r="D57" s="3100"/>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1" t="s">
        <v>2912</v>
      </c>
      <c r="B58" s="184"/>
      <c r="C58" s="1993">
        <v>3</v>
      </c>
      <c r="D58" s="3100"/>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1" t="s">
        <v>2913</v>
      </c>
      <c r="B59" s="184"/>
      <c r="C59" s="1993">
        <v>1.5</v>
      </c>
      <c r="D59" s="3100"/>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1" t="s">
        <v>2914</v>
      </c>
      <c r="B60" s="184"/>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1" t="s">
        <v>2915</v>
      </c>
      <c r="B61" s="184"/>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1" t="s">
        <v>2916</v>
      </c>
      <c r="B62" s="184"/>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2" t="s">
        <v>2917</v>
      </c>
      <c r="B63" s="250"/>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1"/>
      <c r="D64" s="1998"/>
      <c r="K64" s="55"/>
      <c r="L64" s="55"/>
    </row>
    <row r="65" spans="1:12" s="1997" customFormat="1">
      <c r="A65" s="251"/>
      <c r="D65" s="1998"/>
      <c r="K65" s="55"/>
      <c r="L65" s="55"/>
    </row>
    <row r="66" spans="1:12" s="1997" customFormat="1">
      <c r="A66" s="251"/>
      <c r="D66" s="1998"/>
      <c r="K66" s="55"/>
      <c r="L66" s="55"/>
    </row>
    <row r="67" spans="1:12" s="1997" customFormat="1">
      <c r="A67" s="251"/>
      <c r="D67" s="1998"/>
      <c r="K67" s="55"/>
      <c r="L67" s="55"/>
    </row>
    <row r="68" spans="1:12" s="1997" customFormat="1">
      <c r="A68" s="251"/>
      <c r="D68" s="1998"/>
      <c r="K68" s="55"/>
      <c r="L68" s="55"/>
    </row>
    <row r="69" spans="1:12" s="1997" customFormat="1">
      <c r="A69" s="251"/>
      <c r="D69" s="1998"/>
      <c r="K69" s="55"/>
      <c r="L69" s="55"/>
    </row>
    <row r="70" spans="1:12" s="1997" customFormat="1">
      <c r="A70" s="251"/>
      <c r="D70" s="1998"/>
      <c r="K70" s="55"/>
      <c r="L70" s="55"/>
    </row>
    <row r="71" spans="1:12" s="1997" customFormat="1">
      <c r="A71" s="251"/>
      <c r="D71" s="1998"/>
      <c r="K71" s="55"/>
      <c r="L71" s="55"/>
    </row>
    <row r="72" spans="1:12" s="1997" customFormat="1">
      <c r="A72" s="251"/>
      <c r="D72" s="1998"/>
      <c r="K72" s="55"/>
      <c r="L72" s="55"/>
    </row>
    <row r="73" spans="1:12" s="1997" customFormat="1">
      <c r="A73" s="251"/>
      <c r="D73" s="1998"/>
      <c r="K73" s="55"/>
      <c r="L73" s="55"/>
    </row>
    <row r="74" spans="1:12" s="1997" customFormat="1">
      <c r="A74" s="251"/>
      <c r="D74" s="1998"/>
      <c r="K74" s="55"/>
      <c r="L74" s="55"/>
    </row>
    <row r="75" spans="1:12" s="1997" customFormat="1">
      <c r="A75" s="251"/>
      <c r="D75" s="1998"/>
      <c r="K75" s="55"/>
      <c r="L75" s="55"/>
    </row>
    <row r="76" spans="1:12" s="1997" customFormat="1">
      <c r="A76" s="251"/>
      <c r="D76" s="1998"/>
      <c r="K76" s="55"/>
      <c r="L76" s="55"/>
    </row>
    <row r="77" spans="1:12" s="1997" customFormat="1">
      <c r="A77" s="251"/>
      <c r="D77" s="1998"/>
      <c r="K77" s="55"/>
      <c r="L77" s="55"/>
    </row>
    <row r="78" spans="1:12" s="1997" customFormat="1">
      <c r="A78" s="251"/>
      <c r="D78" s="1998"/>
      <c r="K78" s="55"/>
      <c r="L78" s="55"/>
    </row>
    <row r="79" spans="1:12" s="1997" customFormat="1">
      <c r="A79" s="251"/>
      <c r="D79" s="1998"/>
      <c r="K79" s="55"/>
      <c r="L79" s="55"/>
    </row>
    <row r="80" spans="1:12" s="1997" customFormat="1">
      <c r="A80" s="251"/>
      <c r="D80" s="1998"/>
      <c r="K80" s="55"/>
      <c r="L80" s="55"/>
    </row>
    <row r="81" spans="1:12" s="1997" customFormat="1">
      <c r="A81" s="251"/>
      <c r="D81" s="1998"/>
      <c r="K81" s="55"/>
      <c r="L81" s="55"/>
    </row>
    <row r="82" spans="1:12" s="1997" customFormat="1">
      <c r="A82" s="251"/>
      <c r="D82" s="1998"/>
      <c r="K82" s="55"/>
      <c r="L82" s="55"/>
    </row>
    <row r="83" spans="1:12" s="1997" customFormat="1">
      <c r="A83" s="251"/>
      <c r="D83" s="1998"/>
      <c r="K83" s="55"/>
      <c r="L83" s="55"/>
    </row>
    <row r="84" spans="1:12" s="1997" customFormat="1">
      <c r="A84" s="251"/>
      <c r="D84" s="1998"/>
      <c r="K84" s="55"/>
      <c r="L84" s="55"/>
    </row>
    <row r="85" spans="1:12" s="1997" customFormat="1">
      <c r="A85" s="251"/>
      <c r="D85" s="1998"/>
      <c r="K85" s="55"/>
      <c r="L85" s="55"/>
    </row>
    <row r="86" spans="1:12" s="1997" customFormat="1">
      <c r="A86" s="251"/>
      <c r="D86" s="1998"/>
      <c r="K86" s="55"/>
      <c r="L86" s="55"/>
    </row>
    <row r="87" spans="1:12" s="1997" customFormat="1">
      <c r="A87" s="251"/>
      <c r="D87" s="1998"/>
      <c r="K87" s="55"/>
      <c r="L87" s="55"/>
    </row>
    <row r="88" spans="1:12" s="1997" customFormat="1">
      <c r="A88" s="251"/>
      <c r="D88" s="1998"/>
      <c r="K88" s="55"/>
      <c r="L88" s="55"/>
    </row>
    <row r="89" spans="1:12" s="1997" customFormat="1">
      <c r="A89" s="251"/>
      <c r="D89" s="1998"/>
      <c r="K89" s="55"/>
      <c r="L89" s="55"/>
    </row>
    <row r="90" spans="1:12" s="1997" customFormat="1">
      <c r="A90" s="251"/>
      <c r="D90" s="1998"/>
      <c r="K90" s="55"/>
      <c r="L90" s="55"/>
    </row>
    <row r="91" spans="1:12" s="1997" customFormat="1">
      <c r="A91" s="251"/>
      <c r="D91" s="1998"/>
      <c r="K91" s="55"/>
      <c r="L91" s="55"/>
    </row>
    <row r="92" spans="1:12" s="1997" customFormat="1">
      <c r="A92" s="251"/>
      <c r="D92" s="1998"/>
      <c r="K92" s="55"/>
      <c r="L92" s="55"/>
    </row>
    <row r="93" spans="1:12" s="1997" customFormat="1">
      <c r="A93" s="251"/>
      <c r="D93" s="1998"/>
      <c r="K93" s="55"/>
      <c r="L93" s="55"/>
    </row>
    <row r="94" spans="1:12" s="1997" customFormat="1">
      <c r="A94" s="251"/>
      <c r="D94" s="1998"/>
      <c r="K94" s="55"/>
      <c r="L94" s="55"/>
    </row>
    <row r="95" spans="1:12" s="1997" customFormat="1">
      <c r="A95" s="251"/>
      <c r="D95" s="1998"/>
      <c r="K95" s="55"/>
      <c r="L95" s="55"/>
    </row>
    <row r="96" spans="1:12" s="1997" customFormat="1">
      <c r="A96" s="251"/>
      <c r="D96" s="1998"/>
      <c r="K96" s="55"/>
      <c r="L96" s="55"/>
    </row>
    <row r="97" spans="1:12" s="1997" customFormat="1">
      <c r="A97" s="251"/>
      <c r="D97" s="1998"/>
      <c r="K97" s="55"/>
      <c r="L97" s="55"/>
    </row>
    <row r="98" spans="1:12" s="1997" customFormat="1">
      <c r="A98" s="251"/>
      <c r="D98" s="1998"/>
      <c r="K98" s="55"/>
      <c r="L98" s="55"/>
    </row>
    <row r="99" spans="1:12" s="1997" customFormat="1">
      <c r="A99" s="251"/>
      <c r="D99" s="1998"/>
      <c r="K99" s="55"/>
      <c r="L99" s="55"/>
    </row>
    <row r="100" spans="1:12" s="1997" customFormat="1">
      <c r="A100" s="251"/>
      <c r="D100" s="1998"/>
      <c r="K100" s="55"/>
      <c r="L100" s="55"/>
    </row>
    <row r="101" spans="1:12" s="1997" customFormat="1">
      <c r="A101" s="251"/>
      <c r="D101" s="1998"/>
      <c r="K101" s="55"/>
      <c r="L101" s="55"/>
    </row>
    <row r="102" spans="1:12" s="1997" customFormat="1">
      <c r="A102" s="251"/>
      <c r="D102" s="1998"/>
      <c r="K102" s="55"/>
      <c r="L102" s="55"/>
    </row>
    <row r="103" spans="1:12" s="1997" customFormat="1">
      <c r="A103" s="251"/>
      <c r="D103" s="1998"/>
      <c r="K103" s="55"/>
      <c r="L103" s="55"/>
    </row>
    <row r="104" spans="1:12" s="1997" customFormat="1">
      <c r="A104" s="251"/>
      <c r="D104" s="1998"/>
      <c r="K104" s="55"/>
      <c r="L104" s="55"/>
    </row>
    <row r="105" spans="1:12" s="1997" customFormat="1">
      <c r="A105" s="251"/>
      <c r="D105" s="1998"/>
      <c r="K105" s="55"/>
      <c r="L105" s="55"/>
    </row>
    <row r="106" spans="1:12" s="1997" customFormat="1">
      <c r="A106" s="251"/>
      <c r="D106" s="1998"/>
      <c r="K106" s="55"/>
      <c r="L106" s="55"/>
    </row>
    <row r="107" spans="1:12" s="1997" customFormat="1">
      <c r="A107" s="251"/>
      <c r="D107" s="1998"/>
      <c r="K107" s="55"/>
      <c r="L107" s="55"/>
    </row>
    <row r="108" spans="1:12" s="1997" customFormat="1">
      <c r="A108" s="251"/>
      <c r="D108" s="1998"/>
      <c r="K108" s="55"/>
      <c r="L108" s="55"/>
    </row>
    <row r="109" spans="1:12" s="1997" customFormat="1">
      <c r="A109" s="251"/>
      <c r="D109" s="1998"/>
      <c r="K109" s="55"/>
      <c r="L109" s="55"/>
    </row>
    <row r="110" spans="1:12" s="1997" customFormat="1">
      <c r="A110" s="251"/>
      <c r="D110" s="1998"/>
      <c r="K110" s="55"/>
      <c r="L110" s="55"/>
    </row>
    <row r="111" spans="1:12" s="1997" customFormat="1">
      <c r="A111" s="251"/>
      <c r="D111" s="1998"/>
      <c r="K111" s="55"/>
      <c r="L111" s="55"/>
    </row>
    <row r="112" spans="1:12" s="1997" customFormat="1">
      <c r="A112" s="251"/>
      <c r="D112" s="1998"/>
      <c r="K112" s="55"/>
      <c r="L112" s="55"/>
    </row>
    <row r="113" spans="1:12" s="1997" customFormat="1">
      <c r="A113" s="251"/>
      <c r="D113" s="1998"/>
      <c r="K113" s="55"/>
      <c r="L113" s="55"/>
    </row>
    <row r="114" spans="1:12" s="1997" customFormat="1">
      <c r="A114" s="251"/>
      <c r="D114" s="1998"/>
      <c r="K114" s="55"/>
      <c r="L114" s="55"/>
    </row>
    <row r="115" spans="1:12" s="1997" customFormat="1">
      <c r="A115" s="251"/>
      <c r="D115" s="1998"/>
      <c r="K115" s="55"/>
      <c r="L115" s="55"/>
    </row>
    <row r="116" spans="1:12" s="1997" customFormat="1">
      <c r="A116" s="251"/>
      <c r="D116" s="1998"/>
      <c r="K116" s="55"/>
      <c r="L116" s="55"/>
    </row>
    <row r="117" spans="1:12" s="1997" customFormat="1">
      <c r="A117" s="251"/>
      <c r="D117" s="1998"/>
      <c r="K117" s="55"/>
      <c r="L117" s="55"/>
    </row>
    <row r="118" spans="1:12" s="1997" customFormat="1">
      <c r="A118" s="251"/>
      <c r="D118" s="1998"/>
      <c r="K118" s="55"/>
      <c r="L118" s="55"/>
    </row>
    <row r="119" spans="1:12" s="1997" customFormat="1">
      <c r="A119" s="251"/>
      <c r="D119" s="1998"/>
      <c r="K119" s="55"/>
      <c r="L119" s="55"/>
    </row>
    <row r="120" spans="1:12" s="1997" customFormat="1">
      <c r="A120" s="251"/>
      <c r="D120" s="1998"/>
      <c r="K120" s="55"/>
      <c r="L120" s="55"/>
    </row>
    <row r="121" spans="1:12" s="1997" customFormat="1">
      <c r="A121" s="251"/>
      <c r="D121" s="1998"/>
      <c r="K121" s="55"/>
      <c r="L121" s="55"/>
    </row>
    <row r="122" spans="1:12" s="1997" customFormat="1">
      <c r="A122" s="251"/>
      <c r="D122" s="1998"/>
      <c r="K122" s="55"/>
      <c r="L122" s="55"/>
    </row>
    <row r="123" spans="1:12" s="1997" customFormat="1">
      <c r="A123" s="251"/>
      <c r="D123" s="1998"/>
      <c r="K123" s="55"/>
      <c r="L123" s="55"/>
    </row>
    <row r="124" spans="1:12" s="1997" customFormat="1">
      <c r="A124" s="251"/>
      <c r="D124" s="1998"/>
      <c r="K124" s="55"/>
      <c r="L124" s="55"/>
    </row>
    <row r="125" spans="1:12" s="1997" customFormat="1">
      <c r="A125" s="251"/>
      <c r="D125" s="1998"/>
      <c r="K125" s="55"/>
      <c r="L125" s="55"/>
    </row>
    <row r="126" spans="1:12" s="1997" customFormat="1">
      <c r="A126" s="251"/>
      <c r="D126" s="1998"/>
      <c r="K126" s="55"/>
      <c r="L126" s="55"/>
    </row>
    <row r="127" spans="1:12" s="1997" customFormat="1">
      <c r="A127" s="251"/>
      <c r="D127" s="1998"/>
      <c r="K127" s="55"/>
      <c r="L127" s="55"/>
    </row>
    <row r="128" spans="1:12" s="1997" customFormat="1">
      <c r="A128" s="251"/>
      <c r="D128" s="1998"/>
      <c r="K128" s="55"/>
      <c r="L128" s="55"/>
    </row>
    <row r="129" spans="1:12" s="1997" customFormat="1">
      <c r="A129" s="251"/>
      <c r="D129" s="1998"/>
      <c r="K129" s="55"/>
      <c r="L129" s="55"/>
    </row>
    <row r="130" spans="1:12" s="1997" customFormat="1">
      <c r="A130" s="251"/>
      <c r="D130" s="1998"/>
      <c r="K130" s="55"/>
      <c r="L130" s="55"/>
    </row>
    <row r="131" spans="1:12" s="1997" customFormat="1">
      <c r="A131" s="251"/>
      <c r="D131" s="1998"/>
      <c r="K131" s="55"/>
      <c r="L131" s="55"/>
    </row>
    <row r="132" spans="1:12" s="1997" customFormat="1">
      <c r="A132" s="251"/>
      <c r="D132" s="1998"/>
      <c r="K132" s="55"/>
      <c r="L132" s="55"/>
    </row>
    <row r="133" spans="1:12" s="1997" customFormat="1">
      <c r="A133" s="251"/>
      <c r="D133" s="1998"/>
      <c r="K133" s="55"/>
      <c r="L133" s="55"/>
    </row>
    <row r="134" spans="1:12" s="1997" customFormat="1">
      <c r="A134" s="251"/>
      <c r="D134" s="1998"/>
      <c r="K134" s="55"/>
      <c r="L134" s="55"/>
    </row>
    <row r="135" spans="1:12" s="1997" customFormat="1">
      <c r="A135" s="251"/>
      <c r="D135" s="1998"/>
      <c r="K135" s="55"/>
      <c r="L135" s="55"/>
    </row>
    <row r="136" spans="1:12" s="1997" customFormat="1">
      <c r="A136" s="251"/>
      <c r="D136" s="1998"/>
      <c r="K136" s="55"/>
      <c r="L136" s="55"/>
    </row>
    <row r="137" spans="1:12" s="1997" customFormat="1">
      <c r="A137" s="251"/>
      <c r="D137" s="1998"/>
      <c r="K137" s="55"/>
      <c r="L137" s="55"/>
    </row>
    <row r="138" spans="1:12" s="1997" customFormat="1">
      <c r="A138" s="251"/>
      <c r="D138" s="1998"/>
      <c r="K138" s="55"/>
      <c r="L138" s="55"/>
    </row>
    <row r="139" spans="1:12" s="1997" customFormat="1">
      <c r="A139" s="251"/>
      <c r="D139" s="1998"/>
      <c r="K139" s="55"/>
      <c r="L139" s="55"/>
    </row>
    <row r="140" spans="1:12" s="1997" customFormat="1">
      <c r="A140" s="251"/>
      <c r="D140" s="1998"/>
      <c r="K140" s="55"/>
      <c r="L140" s="55"/>
    </row>
    <row r="141" spans="1:12" s="1997" customFormat="1">
      <c r="A141" s="251"/>
      <c r="D141" s="1998"/>
      <c r="K141" s="55"/>
      <c r="L141" s="55"/>
    </row>
    <row r="142" spans="1:12" s="1997" customFormat="1">
      <c r="A142" s="251"/>
      <c r="D142" s="1998"/>
      <c r="K142" s="55"/>
      <c r="L142" s="55"/>
    </row>
    <row r="143" spans="1:12" s="1997" customFormat="1">
      <c r="A143" s="251"/>
      <c r="D143" s="1998"/>
      <c r="K143" s="55"/>
      <c r="L143" s="55"/>
    </row>
    <row r="144" spans="1:12" s="1997" customFormat="1">
      <c r="A144" s="251"/>
      <c r="D144" s="1998"/>
      <c r="K144" s="55"/>
      <c r="L144" s="55"/>
    </row>
    <row r="145" spans="1:12" s="1997" customFormat="1">
      <c r="A145" s="251"/>
      <c r="D145" s="1998"/>
      <c r="K145" s="55"/>
      <c r="L145" s="55"/>
    </row>
    <row r="146" spans="1:12" s="1997" customFormat="1">
      <c r="A146" s="251"/>
      <c r="D146" s="1998"/>
      <c r="K146" s="55"/>
      <c r="L146" s="55"/>
    </row>
    <row r="147" spans="1:12" s="1997" customFormat="1">
      <c r="A147" s="251"/>
      <c r="D147" s="1998"/>
      <c r="K147" s="55"/>
      <c r="L147" s="55"/>
    </row>
    <row r="148" spans="1:12" s="1997" customFormat="1">
      <c r="A148" s="251"/>
      <c r="D148" s="1998"/>
      <c r="K148" s="55"/>
      <c r="L148" s="55"/>
    </row>
    <row r="149" spans="1:12" s="1997" customFormat="1">
      <c r="A149" s="251"/>
      <c r="D149" s="1998"/>
      <c r="K149" s="55"/>
      <c r="L149" s="55"/>
    </row>
    <row r="150" spans="1:12" s="1997" customFormat="1">
      <c r="A150" s="251"/>
      <c r="D150" s="1998"/>
      <c r="K150" s="55"/>
      <c r="L150" s="55"/>
    </row>
    <row r="151" spans="1:12" s="1997" customFormat="1">
      <c r="A151" s="251"/>
      <c r="D151" s="1998"/>
      <c r="K151" s="55"/>
      <c r="L151" s="55"/>
    </row>
    <row r="152" spans="1:12" s="1997" customFormat="1">
      <c r="A152" s="251"/>
      <c r="D152" s="1998"/>
      <c r="K152" s="55"/>
      <c r="L152" s="55"/>
    </row>
    <row r="153" spans="1:12" s="1997" customFormat="1">
      <c r="A153" s="251"/>
      <c r="D153" s="1998"/>
      <c r="K153" s="55"/>
      <c r="L153" s="55"/>
    </row>
    <row r="154" spans="1:12" s="1997" customFormat="1">
      <c r="A154" s="251"/>
      <c r="D154" s="1998"/>
      <c r="K154" s="55"/>
      <c r="L154" s="55"/>
    </row>
    <row r="155" spans="1:12" s="1997" customFormat="1">
      <c r="A155" s="251"/>
      <c r="D155" s="1998"/>
      <c r="K155" s="55"/>
      <c r="L155" s="55"/>
    </row>
    <row r="156" spans="1:12" s="1997" customFormat="1">
      <c r="A156" s="251"/>
      <c r="D156" s="1998"/>
      <c r="K156" s="55"/>
      <c r="L156" s="55"/>
    </row>
    <row r="157" spans="1:12" s="1997" customFormat="1">
      <c r="A157" s="251"/>
      <c r="D157" s="1998"/>
      <c r="K157" s="55"/>
      <c r="L157" s="55"/>
    </row>
    <row r="158" spans="1:12" s="1997" customFormat="1">
      <c r="A158" s="251"/>
      <c r="D158" s="1998"/>
      <c r="K158" s="55"/>
      <c r="L158" s="55"/>
    </row>
    <row r="159" spans="1:12" s="1997" customFormat="1">
      <c r="A159" s="251"/>
      <c r="D159" s="1998"/>
      <c r="K159" s="55"/>
      <c r="L159" s="55"/>
    </row>
    <row r="160" spans="1:12" s="1997" customFormat="1">
      <c r="A160" s="251"/>
      <c r="D160" s="1998"/>
      <c r="K160" s="55"/>
      <c r="L160" s="55"/>
    </row>
    <row r="161" spans="1:12" s="1997" customFormat="1">
      <c r="A161" s="251"/>
      <c r="D161" s="1998"/>
      <c r="K161" s="55"/>
      <c r="L161" s="55"/>
    </row>
    <row r="162" spans="1:12" s="1997" customFormat="1">
      <c r="A162" s="251"/>
      <c r="D162" s="1998"/>
      <c r="K162" s="55"/>
      <c r="L162" s="55"/>
    </row>
    <row r="163" spans="1:12" s="1997" customFormat="1">
      <c r="A163" s="251"/>
      <c r="D163" s="1998"/>
      <c r="K163" s="55"/>
      <c r="L163" s="55"/>
    </row>
    <row r="164" spans="1:12" s="1997" customFormat="1">
      <c r="A164" s="251"/>
      <c r="D164" s="1998"/>
      <c r="K164" s="55"/>
      <c r="L164" s="55"/>
    </row>
    <row r="165" spans="1:12" s="1997" customFormat="1">
      <c r="A165" s="251"/>
      <c r="D165" s="1998"/>
      <c r="K165" s="55"/>
      <c r="L165" s="55"/>
    </row>
    <row r="166" spans="1:12" s="1997" customFormat="1">
      <c r="A166" s="251"/>
      <c r="D166" s="1998"/>
      <c r="K166" s="55"/>
      <c r="L166" s="55"/>
    </row>
    <row r="167" spans="1:12" s="1997" customFormat="1">
      <c r="A167" s="251"/>
      <c r="D167" s="1998"/>
      <c r="K167" s="55"/>
      <c r="L167" s="55"/>
    </row>
    <row r="168" spans="1:12" s="1997" customFormat="1">
      <c r="A168" s="251"/>
      <c r="D168" s="1998"/>
      <c r="K168" s="55"/>
      <c r="L168" s="55"/>
    </row>
    <row r="169" spans="1:12" s="1997" customFormat="1">
      <c r="A169" s="251"/>
      <c r="D169" s="1998"/>
      <c r="K169" s="55"/>
      <c r="L169" s="55"/>
    </row>
    <row r="170" spans="1:12" s="1997" customFormat="1">
      <c r="A170" s="251"/>
      <c r="D170" s="1998"/>
      <c r="K170" s="55"/>
      <c r="L170" s="55"/>
    </row>
    <row r="171" spans="1:12" s="1997" customFormat="1">
      <c r="A171" s="251"/>
      <c r="D171" s="1998"/>
      <c r="K171" s="55"/>
      <c r="L171" s="55"/>
    </row>
    <row r="172" spans="1:12" s="1997" customFormat="1">
      <c r="A172" s="251"/>
      <c r="D172" s="1998"/>
      <c r="K172" s="55"/>
      <c r="L172" s="55"/>
    </row>
    <row r="173" spans="1:12" s="1997" customFormat="1">
      <c r="A173" s="251"/>
      <c r="D173" s="1998"/>
      <c r="K173" s="55"/>
      <c r="L173" s="55"/>
    </row>
    <row r="174" spans="1:12" s="1997" customFormat="1">
      <c r="A174" s="251"/>
      <c r="D174" s="1998"/>
      <c r="K174" s="55"/>
      <c r="L174" s="55"/>
    </row>
    <row r="175" spans="1:12" s="1997" customFormat="1">
      <c r="A175" s="251"/>
      <c r="D175" s="1998"/>
      <c r="K175" s="55"/>
      <c r="L175" s="55"/>
    </row>
    <row r="176" spans="1:12" s="1997" customFormat="1">
      <c r="A176" s="251"/>
      <c r="D176" s="1998"/>
      <c r="K176" s="55"/>
      <c r="L176" s="55"/>
    </row>
    <row r="177" spans="1:12" s="1997" customFormat="1">
      <c r="A177" s="251"/>
      <c r="D177" s="1998"/>
      <c r="K177" s="55"/>
      <c r="L177" s="55"/>
    </row>
    <row r="178" spans="1:12" s="1997" customFormat="1">
      <c r="A178" s="251"/>
      <c r="D178" s="1998"/>
      <c r="K178" s="55"/>
      <c r="L178" s="55"/>
    </row>
    <row r="179" spans="1:12" s="1997" customFormat="1">
      <c r="A179" s="251"/>
      <c r="D179" s="1998"/>
      <c r="K179" s="55"/>
      <c r="L179" s="55"/>
    </row>
    <row r="180" spans="1:12" s="1997" customFormat="1">
      <c r="A180" s="251"/>
      <c r="D180" s="1998"/>
      <c r="K180" s="55"/>
      <c r="L180" s="55"/>
    </row>
    <row r="181" spans="1:12" s="1997" customFormat="1">
      <c r="A181" s="251"/>
      <c r="D181" s="1998"/>
      <c r="K181" s="55"/>
      <c r="L181" s="55"/>
    </row>
    <row r="182" spans="1:12" s="1997" customFormat="1">
      <c r="A182" s="251"/>
      <c r="D182" s="1998"/>
      <c r="K182" s="55"/>
      <c r="L182" s="55"/>
    </row>
    <row r="183" spans="1:12" s="1997" customFormat="1">
      <c r="A183" s="251"/>
      <c r="D183" s="1998"/>
      <c r="K183" s="55"/>
      <c r="L183" s="55"/>
    </row>
    <row r="184" spans="1:12" s="1997" customFormat="1">
      <c r="A184" s="251"/>
      <c r="D184" s="1998"/>
      <c r="K184" s="55"/>
      <c r="L184" s="55"/>
    </row>
    <row r="185" spans="1:12" s="1997" customFormat="1">
      <c r="A185" s="251"/>
      <c r="D185" s="1998"/>
      <c r="K185" s="55"/>
      <c r="L185" s="55"/>
    </row>
    <row r="186" spans="1:12" s="1997" customFormat="1">
      <c r="A186" s="251"/>
      <c r="D186" s="1998"/>
      <c r="K186" s="55"/>
      <c r="L186" s="55"/>
    </row>
    <row r="187" spans="1:12" s="1997" customFormat="1">
      <c r="A187" s="251"/>
      <c r="D187" s="1998"/>
      <c r="K187" s="55"/>
      <c r="L187" s="55"/>
    </row>
    <row r="188" spans="1:12" s="1997" customFormat="1">
      <c r="A188" s="251"/>
      <c r="D188" s="1998"/>
      <c r="K188" s="55"/>
      <c r="L188" s="55"/>
    </row>
    <row r="189" spans="1:12" s="1997" customFormat="1">
      <c r="A189" s="251"/>
      <c r="D189" s="1998"/>
      <c r="K189" s="55"/>
      <c r="L189" s="55"/>
    </row>
    <row r="190" spans="1:12" s="1997" customFormat="1">
      <c r="A190" s="251"/>
      <c r="D190" s="1998"/>
      <c r="K190" s="55"/>
      <c r="L190" s="55"/>
    </row>
    <row r="191" spans="1:12" s="1997" customFormat="1">
      <c r="A191" s="251"/>
      <c r="D191" s="1998"/>
      <c r="K191" s="55"/>
      <c r="L191" s="55"/>
    </row>
    <row r="192" spans="1:12" s="1997" customFormat="1">
      <c r="A192" s="251"/>
      <c r="D192" s="1998"/>
      <c r="K192" s="55"/>
      <c r="L192" s="55"/>
    </row>
  </sheetData>
  <sheetProtection password="C66D" sheet="1" objects="1" scenarios="1" formatCells="0" formatColumns="0" formatRows="0"/>
  <dataConsolidate/>
  <phoneticPr fontId="3" type="noConversion"/>
  <conditionalFormatting sqref="T6:T15">
    <cfRule type="containsText" dxfId="148" priority="12" stopIfTrue="1" operator="containsText" text="自行计算">
      <formula>NOT(ISERROR(SEARCH("自行计算",T6)))</formula>
    </cfRule>
    <cfRule type="containsText" dxfId="147" priority="13" stopIfTrue="1" operator="containsText" text="自行计算">
      <formula>NOT(ISERROR(SEARCH("自行计算",T6)))</formula>
    </cfRule>
  </conditionalFormatting>
  <conditionalFormatting sqref="T6:T13">
    <cfRule type="containsText" dxfId="146" priority="10" stopIfTrue="1" operator="containsText" text="自行计算">
      <formula>NOT(ISERROR(SEARCH("自行计算",T6)))</formula>
    </cfRule>
    <cfRule type="containsText" dxfId="145" priority="11" stopIfTrue="1" operator="containsText" text="自行计算">
      <formula>NOT(ISERROR(SEARCH("自行计算",T6)))</formula>
    </cfRule>
  </conditionalFormatting>
  <conditionalFormatting sqref="T12:T13">
    <cfRule type="containsText" dxfId="144" priority="4" stopIfTrue="1" operator="containsText" text="自行计算">
      <formula>NOT(ISERROR(SEARCH("自行计算",T12)))</formula>
    </cfRule>
    <cfRule type="containsText" dxfId="143" priority="5" stopIfTrue="1" operator="containsText" text="自行计算">
      <formula>NOT(ISERROR(SEARCH("自行计算",T12)))</formula>
    </cfRule>
  </conditionalFormatting>
  <conditionalFormatting sqref="T12:T13">
    <cfRule type="containsText" dxfId="142" priority="2" stopIfTrue="1" operator="containsText" text="自行计算">
      <formula>NOT(ISERROR(SEARCH("自行计算",T12)))</formula>
    </cfRule>
    <cfRule type="containsText" dxfId="141" priority="3" stopIfTrue="1" operator="containsText" text="自行计算">
      <formula>NOT(ISERROR(SEARCH("自行计算",T12)))</formula>
    </cfRule>
  </conditionalFormatting>
  <conditionalFormatting sqref="T6:T15">
    <cfRule type="expression" dxfId="14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8" sqref="C18"/>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52" t="s">
        <v>1664</v>
      </c>
      <c r="B1" s="3353"/>
      <c r="C1" s="3353"/>
      <c r="D1" s="3353"/>
      <c r="E1" s="3353"/>
      <c r="F1" s="3353"/>
      <c r="G1" s="3353"/>
      <c r="H1" s="2001"/>
      <c r="I1" s="2002"/>
      <c r="J1" s="2003"/>
      <c r="K1" s="2001"/>
      <c r="L1" s="2002"/>
      <c r="M1" s="2003"/>
      <c r="N1" s="2001"/>
      <c r="O1" s="2002"/>
      <c r="P1" s="2003"/>
      <c r="Q1" s="2004"/>
      <c r="R1" s="2005"/>
    </row>
    <row r="2" spans="1:18" ht="14.25" thickBot="1">
      <c r="A2" s="1219"/>
      <c r="B2" s="1220"/>
      <c r="C2" s="1221" t="s">
        <v>1665</v>
      </c>
      <c r="D2" s="1222"/>
      <c r="E2" s="1223"/>
      <c r="F2" s="1224"/>
      <c r="G2" s="1221" t="s">
        <v>1666</v>
      </c>
      <c r="H2" s="2007"/>
      <c r="I2" s="2007"/>
      <c r="J2" s="2007"/>
      <c r="K2" s="2007"/>
      <c r="L2" s="2007"/>
      <c r="M2" s="2007"/>
      <c r="N2" s="2007"/>
      <c r="O2" s="2007"/>
      <c r="P2" s="2007"/>
      <c r="Q2" s="2007"/>
      <c r="R2" s="2007"/>
    </row>
    <row r="3" spans="1:18" ht="54" hidden="1">
      <c r="A3" s="1225" t="s">
        <v>1667</v>
      </c>
      <c r="B3" s="1226" t="s">
        <v>1654</v>
      </c>
      <c r="C3" s="3103" t="s">
        <v>2923</v>
      </c>
      <c r="D3" s="2008"/>
      <c r="E3" s="1227" t="s">
        <v>1667</v>
      </c>
      <c r="F3" s="1228" t="s">
        <v>1655</v>
      </c>
      <c r="G3" s="3107" t="s">
        <v>2922</v>
      </c>
      <c r="H3" s="2007"/>
      <c r="I3" s="2007"/>
      <c r="J3" s="2007"/>
      <c r="K3" s="2007"/>
      <c r="L3" s="2007"/>
      <c r="M3" s="2007"/>
      <c r="N3" s="2007"/>
      <c r="O3" s="2007"/>
      <c r="P3" s="2007"/>
      <c r="Q3" s="2007"/>
      <c r="R3" s="2007"/>
    </row>
    <row r="4" spans="1:18" ht="41.25" hidden="1">
      <c r="A4" s="1227"/>
      <c r="B4" s="1229" t="s">
        <v>1668</v>
      </c>
      <c r="C4" s="3104" t="s">
        <v>2924</v>
      </c>
      <c r="D4" s="2008"/>
      <c r="E4" s="1230"/>
      <c r="F4" s="1231" t="s">
        <v>1669</v>
      </c>
      <c r="G4" s="3105" t="s">
        <v>2919</v>
      </c>
      <c r="H4" s="2007"/>
      <c r="I4" s="2007"/>
      <c r="J4" s="2007"/>
      <c r="K4" s="2007"/>
      <c r="L4" s="2007"/>
      <c r="M4" s="2007"/>
      <c r="N4" s="2007"/>
      <c r="O4" s="2007"/>
      <c r="P4" s="2007"/>
      <c r="Q4" s="2007"/>
      <c r="R4" s="2007"/>
    </row>
    <row r="5" spans="1:18" ht="54">
      <c r="A5" s="1227"/>
      <c r="B5" s="1229" t="s">
        <v>1670</v>
      </c>
      <c r="C5" s="3244" t="s">
        <v>3101</v>
      </c>
      <c r="D5" s="2008"/>
      <c r="E5" s="1230"/>
      <c r="F5" s="1229" t="s">
        <v>2550</v>
      </c>
      <c r="G5" s="3105" t="s">
        <v>2920</v>
      </c>
      <c r="H5" s="2007"/>
      <c r="I5" s="2007"/>
      <c r="J5" s="2007"/>
      <c r="K5" s="2007"/>
      <c r="L5" s="2007"/>
      <c r="M5" s="2007"/>
      <c r="N5" s="2007"/>
      <c r="O5" s="2007"/>
      <c r="P5" s="2007"/>
      <c r="Q5" s="2007"/>
      <c r="R5" s="2007"/>
    </row>
    <row r="6" spans="1:18" ht="148.5">
      <c r="A6" s="1227"/>
      <c r="B6" s="1229" t="s">
        <v>1656</v>
      </c>
      <c r="C6" s="3195" t="s">
        <v>3102</v>
      </c>
      <c r="D6" s="2008"/>
      <c r="E6" s="1230"/>
      <c r="F6" s="1229" t="s">
        <v>2551</v>
      </c>
      <c r="G6" s="3105" t="s">
        <v>2918</v>
      </c>
      <c r="H6" s="2007"/>
      <c r="I6" s="2007"/>
      <c r="J6" s="2007"/>
      <c r="K6" s="2007"/>
      <c r="L6" s="2007"/>
      <c r="M6" s="2007"/>
      <c r="N6" s="2007"/>
      <c r="O6" s="2007"/>
      <c r="P6" s="2007"/>
      <c r="Q6" s="2007"/>
      <c r="R6" s="2007"/>
    </row>
    <row r="7" spans="1:18" ht="41.25" thickBot="1">
      <c r="A7" s="1227"/>
      <c r="B7" s="1229" t="s">
        <v>2550</v>
      </c>
      <c r="C7" s="3195" t="s">
        <v>3094</v>
      </c>
      <c r="D7" s="2009"/>
      <c r="E7" s="1232"/>
      <c r="F7" s="1233" t="s">
        <v>1671</v>
      </c>
      <c r="G7" s="3108" t="s">
        <v>2921</v>
      </c>
      <c r="H7" s="2007"/>
      <c r="I7" s="2007"/>
      <c r="J7" s="2007"/>
      <c r="K7" s="2007"/>
      <c r="L7" s="2007"/>
      <c r="M7" s="2007"/>
      <c r="N7" s="2007"/>
      <c r="O7" s="2007"/>
      <c r="P7" s="2007"/>
      <c r="Q7" s="2007"/>
      <c r="R7" s="2007"/>
    </row>
    <row r="8" spans="1:18" ht="27">
      <c r="A8" s="1227"/>
      <c r="B8" s="1229" t="s">
        <v>2551</v>
      </c>
      <c r="C8" s="3195" t="s">
        <v>3095</v>
      </c>
      <c r="D8" s="2009"/>
      <c r="E8" s="2009"/>
      <c r="F8" s="1552"/>
      <c r="G8" s="1552"/>
      <c r="H8" s="2007"/>
      <c r="I8" s="2007"/>
      <c r="J8" s="2007"/>
      <c r="K8" s="2007"/>
      <c r="L8" s="2007"/>
      <c r="M8" s="2007"/>
      <c r="N8" s="2007"/>
      <c r="O8" s="2007"/>
      <c r="P8" s="2007"/>
      <c r="Q8" s="2007"/>
      <c r="R8" s="2007"/>
    </row>
    <row r="9" spans="1:18" ht="108">
      <c r="A9" s="1227"/>
      <c r="B9" s="1229" t="s">
        <v>1657</v>
      </c>
      <c r="C9" s="3244" t="s">
        <v>3103</v>
      </c>
      <c r="D9" s="2008"/>
      <c r="E9" s="2009"/>
      <c r="F9" s="1552"/>
      <c r="G9" s="1552"/>
      <c r="H9" s="2007"/>
      <c r="I9" s="2007"/>
      <c r="J9" s="2007"/>
      <c r="K9" s="2007"/>
      <c r="L9" s="2007"/>
      <c r="M9" s="2007"/>
      <c r="N9" s="2007"/>
      <c r="O9" s="2007"/>
      <c r="P9" s="2007"/>
      <c r="Q9" s="2007"/>
      <c r="R9" s="2007"/>
    </row>
    <row r="10" spans="1:18" s="2015" customFormat="1" ht="15" thickBot="1">
      <c r="A10" s="1234"/>
      <c r="B10" s="1235" t="s">
        <v>1672</v>
      </c>
      <c r="C10" s="3106"/>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99"/>
      <c r="E12" s="2008"/>
      <c r="F12" s="2009"/>
      <c r="G12" s="2011"/>
      <c r="H12" s="2016"/>
      <c r="I12" s="2017"/>
      <c r="J12" s="2016"/>
      <c r="K12" s="2016"/>
      <c r="L12" s="2018"/>
      <c r="M12" s="2016"/>
      <c r="N12" s="2019"/>
      <c r="O12" s="2020"/>
      <c r="P12" s="2021"/>
      <c r="Q12" s="2019"/>
      <c r="R12" s="2005"/>
    </row>
    <row r="13" spans="1:18" ht="19.5" thickBot="1">
      <c r="A13" s="2598" t="s">
        <v>1673</v>
      </c>
      <c r="B13" s="2599"/>
      <c r="C13" s="2599"/>
      <c r="D13" s="1222"/>
      <c r="E13" s="2599"/>
      <c r="F13" s="2599"/>
      <c r="G13" s="2599"/>
    </row>
    <row r="14" spans="1:18" ht="14.25" thickBot="1">
      <c r="A14" s="1236"/>
      <c r="B14" s="1237"/>
      <c r="C14" s="1238" t="s">
        <v>1665</v>
      </c>
      <c r="D14" s="2008"/>
      <c r="E14" s="1239"/>
      <c r="F14" s="1239"/>
      <c r="G14" s="1221" t="s">
        <v>1666</v>
      </c>
    </row>
    <row r="15" spans="1:18" ht="54">
      <c r="A15" s="2609" t="s">
        <v>1658</v>
      </c>
      <c r="B15" s="1240" t="s">
        <v>1654</v>
      </c>
      <c r="C15" s="1241" t="str">
        <f>C3</f>
        <v>估价对象周边居住用地比例、居住小区规模和社区发展完善程度，综合评价居住社区成熟度一般</v>
      </c>
      <c r="D15" s="2008"/>
      <c r="E15" s="2606" t="s">
        <v>1659</v>
      </c>
      <c r="F15" s="1240" t="s">
        <v>1674</v>
      </c>
      <c r="G15" s="1242" t="str">
        <f>G3</f>
        <v>估价对象位于XX开发区，园区建设成熟度XX，产业集聚程度XX</v>
      </c>
    </row>
    <row r="16" spans="1:18" ht="40.5">
      <c r="A16" s="2610"/>
      <c r="B16" s="1243" t="s">
        <v>1668</v>
      </c>
      <c r="C16" s="1244" t="str">
        <f>C4</f>
        <v>估价对象位于XX商圈，周边商业氛围成熟，人流量大，商业繁华度好</v>
      </c>
      <c r="D16" s="2008"/>
      <c r="E16" s="2607"/>
      <c r="F16" s="1245" t="s">
        <v>1669</v>
      </c>
      <c r="G16" s="1003" t="str">
        <f>G4</f>
        <v>估价对象周边道路状况、公共交通通达情况、停车便捷程度，综合评价交通便捷度较好</v>
      </c>
    </row>
    <row r="17" spans="1:7" ht="54">
      <c r="A17" s="2610"/>
      <c r="B17" s="1243" t="s">
        <v>1670</v>
      </c>
      <c r="C17" s="1244" t="str">
        <f>C5</f>
        <v>估价对象位于西直门商圈，估价对象周边主要以居住为主，办公楼项目较少，办公集聚程度一般。</v>
      </c>
      <c r="D17" s="2009"/>
      <c r="E17" s="2607"/>
      <c r="F17" s="1245" t="s">
        <v>1675</v>
      </c>
      <c r="G17" s="2815"/>
    </row>
    <row r="18" spans="1:7" ht="148.5">
      <c r="A18" s="2610"/>
      <c r="B18" s="1245" t="s">
        <v>1656</v>
      </c>
      <c r="C18" s="1003" t="str">
        <f>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8" s="2009"/>
      <c r="E18" s="2607"/>
      <c r="F18" s="1245" t="s">
        <v>1671</v>
      </c>
      <c r="G18" s="1003" t="str">
        <f>G7</f>
        <v>该园区内是否有污染型企业，绿化情况，卫生条件，整体环境状况判断</v>
      </c>
    </row>
    <row r="19" spans="1:7" ht="27">
      <c r="A19" s="2610"/>
      <c r="B19" s="1245" t="s">
        <v>1660</v>
      </c>
      <c r="C19" s="2815"/>
      <c r="D19" s="2008"/>
      <c r="E19" s="2607"/>
      <c r="F19" s="1229" t="s">
        <v>2550</v>
      </c>
      <c r="G19" s="1003" t="str">
        <f>G5</f>
        <v>估价对象所在区域公共配套设施齐备情况</v>
      </c>
    </row>
    <row r="20" spans="1:7" ht="108">
      <c r="A20" s="2610"/>
      <c r="B20" s="1245" t="s">
        <v>1661</v>
      </c>
      <c r="C20" s="1244" t="str">
        <f>C9</f>
        <v>区域自然环境：官园公园、什刹海公园、北海公园；人文环境：妙应寺白塔、恭王府、历代帝王庙、梅兰芳纪念馆、西直门天主教堂、西城区图书馆；综合评价环境状况好。</v>
      </c>
      <c r="D20" s="2009"/>
      <c r="E20" s="2607"/>
      <c r="F20" s="1229" t="s">
        <v>2551</v>
      </c>
      <c r="G20" s="1003" t="str">
        <f>G6</f>
        <v>估价对象所在区域基础设施水平</v>
      </c>
    </row>
    <row r="21" spans="1:7" ht="27">
      <c r="A21" s="2610"/>
      <c r="B21" s="1229" t="s">
        <v>2550</v>
      </c>
      <c r="C21" s="1003" t="str">
        <f>C7</f>
        <v>估价对象所在区域公共配套设施齐备</v>
      </c>
      <c r="D21" s="2008"/>
      <c r="E21" s="2607"/>
      <c r="F21" s="1245" t="s">
        <v>1662</v>
      </c>
      <c r="G21" s="3109"/>
    </row>
    <row r="22" spans="1:7" ht="27">
      <c r="A22" s="2610"/>
      <c r="B22" s="1229" t="s">
        <v>2551</v>
      </c>
      <c r="C22" s="1003" t="str">
        <f>C8</f>
        <v>估价对象所在区域基础设施水平达到七通</v>
      </c>
      <c r="D22" s="2008"/>
      <c r="E22" s="2607"/>
      <c r="F22" s="1245" t="s">
        <v>1672</v>
      </c>
      <c r="G22" s="2815"/>
    </row>
    <row r="23" spans="1:7" ht="15" thickBot="1">
      <c r="A23" s="2610"/>
      <c r="B23" s="1245" t="s">
        <v>1662</v>
      </c>
      <c r="C23" s="3109"/>
      <c r="E23" s="2608"/>
      <c r="F23" s="1246" t="s">
        <v>1676</v>
      </c>
      <c r="G23" s="3110"/>
    </row>
    <row r="24" spans="1:7" ht="14.25" thickBot="1">
      <c r="A24" s="2611"/>
      <c r="B24" s="1246" t="s">
        <v>1663</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2846</v>
      </c>
      <c r="B1" s="3067">
        <f>SUM(B14:B23)</f>
        <v>10000</v>
      </c>
      <c r="C1" s="3068"/>
      <c r="D1" s="3068"/>
      <c r="E1" s="3068"/>
      <c r="F1" s="3068"/>
    </row>
    <row r="2" spans="1:9" ht="16.5">
      <c r="A2" s="3067" t="s">
        <v>2847</v>
      </c>
      <c r="B2" s="3067">
        <f>SUM(C14:C23)</f>
        <v>2079.0700000000002</v>
      </c>
      <c r="C2" s="3068"/>
      <c r="D2" s="3068"/>
      <c r="E2" s="3068"/>
      <c r="F2" s="3068"/>
    </row>
    <row r="3" spans="1:9" ht="16.5">
      <c r="A3" s="3067" t="s">
        <v>2848</v>
      </c>
      <c r="B3" s="3069">
        <f>项目基本情况!D3</f>
        <v>43230</v>
      </c>
      <c r="C3" s="3068"/>
      <c r="D3" s="3068"/>
      <c r="E3" s="3068"/>
      <c r="F3" s="3068"/>
    </row>
    <row r="4" spans="1:9" ht="33">
      <c r="A4" s="3067" t="s">
        <v>2849</v>
      </c>
      <c r="B4" s="3067" t="s">
        <v>2850</v>
      </c>
      <c r="C4" s="3067" t="s">
        <v>2851</v>
      </c>
      <c r="D4" s="3067" t="s">
        <v>2852</v>
      </c>
      <c r="E4" s="3068"/>
      <c r="F4" s="3068"/>
    </row>
    <row r="5" spans="1:9" ht="16.5">
      <c r="A5" s="3067" t="s">
        <v>2853</v>
      </c>
      <c r="B5" s="3067">
        <f ca="1">SUM(D14:D23)</f>
        <v>33370</v>
      </c>
      <c r="C5" s="3067">
        <f ca="1">ROUND(B5*10000/$B$1,0)</f>
        <v>33370</v>
      </c>
      <c r="D5" s="3067">
        <f ca="1">ROUND(B5*10000/$B$2,0)</f>
        <v>160504</v>
      </c>
      <c r="E5" s="3068"/>
      <c r="F5" s="3068"/>
    </row>
    <row r="6" spans="1:9" ht="16.5">
      <c r="A6" s="3067" t="s">
        <v>2854</v>
      </c>
      <c r="B6" s="3067">
        <f>SUM(G14:G23)</f>
        <v>0</v>
      </c>
      <c r="C6" s="3067">
        <f t="shared" ref="C6:C8" si="0">ROUND(B6*10000/$B$1,0)</f>
        <v>0</v>
      </c>
      <c r="D6" s="3067">
        <f t="shared" ref="D6:D8" si="1">ROUND(B6*10000/$B$2,0)</f>
        <v>0</v>
      </c>
      <c r="E6" s="3068"/>
      <c r="F6" s="3068"/>
    </row>
    <row r="7" spans="1:9" ht="16.5">
      <c r="A7" s="3067" t="s">
        <v>2855</v>
      </c>
      <c r="B7" s="3067">
        <f>SUM(H14:H23)</f>
        <v>0</v>
      </c>
      <c r="C7" s="3067">
        <f t="shared" si="0"/>
        <v>0</v>
      </c>
      <c r="D7" s="3067">
        <f t="shared" si="1"/>
        <v>0</v>
      </c>
      <c r="E7" s="3068"/>
      <c r="F7" s="3068"/>
    </row>
    <row r="8" spans="1:9" ht="16.5">
      <c r="A8" s="3067" t="s">
        <v>2856</v>
      </c>
      <c r="B8" s="3067">
        <f>SUM(I14:I23)</f>
        <v>0</v>
      </c>
      <c r="C8" s="3067">
        <f t="shared" si="0"/>
        <v>0</v>
      </c>
      <c r="D8" s="3067">
        <f t="shared" si="1"/>
        <v>0</v>
      </c>
      <c r="E8" s="3068"/>
      <c r="F8" s="3068"/>
    </row>
    <row r="9" spans="1:9" ht="16.5">
      <c r="A9" s="3067" t="s">
        <v>2857</v>
      </c>
      <c r="B9" s="3070"/>
      <c r="C9" s="3068"/>
      <c r="D9" s="3068"/>
      <c r="E9" s="3068"/>
      <c r="F9" s="3068"/>
    </row>
    <row r="10" spans="1:9" ht="16.5">
      <c r="A10" s="3067" t="s">
        <v>2858</v>
      </c>
      <c r="B10" s="3070"/>
      <c r="C10" s="3068"/>
      <c r="D10" s="3068"/>
      <c r="E10" s="3068"/>
      <c r="F10" s="3068"/>
    </row>
    <row r="11" spans="1:9" ht="16.5">
      <c r="A11" s="3067" t="s">
        <v>2875</v>
      </c>
      <c r="B11" s="3070"/>
      <c r="C11" s="3068"/>
      <c r="D11" s="3068"/>
      <c r="E11" s="3068"/>
      <c r="F11" s="3068"/>
    </row>
    <row r="12" spans="1:9" ht="16.5">
      <c r="A12" s="3068"/>
      <c r="B12" s="3068"/>
      <c r="C12" s="3068"/>
      <c r="D12" s="3068"/>
      <c r="E12" s="3068"/>
      <c r="F12" s="3068"/>
    </row>
    <row r="13" spans="1:9" ht="33">
      <c r="A13" s="3073" t="s">
        <v>2874</v>
      </c>
      <c r="B13" s="3071" t="s">
        <v>2846</v>
      </c>
      <c r="C13" s="3071" t="s">
        <v>2847</v>
      </c>
      <c r="D13" s="3071" t="s">
        <v>2859</v>
      </c>
      <c r="E13" s="3067" t="s">
        <v>2873</v>
      </c>
      <c r="F13" s="3067" t="s">
        <v>2852</v>
      </c>
      <c r="G13" s="3071" t="s">
        <v>2860</v>
      </c>
      <c r="H13" s="3071" t="s">
        <v>2861</v>
      </c>
      <c r="I13" s="3071" t="s">
        <v>2862</v>
      </c>
    </row>
    <row r="14" spans="1:9" ht="16.5">
      <c r="A14" s="3074" t="s">
        <v>2872</v>
      </c>
      <c r="B14" s="3071">
        <f>结果表!L38</f>
        <v>10000</v>
      </c>
      <c r="C14" s="3071">
        <f>结果表!K38</f>
        <v>2079.0700000000002</v>
      </c>
      <c r="D14" s="3071">
        <f ca="1">结果表!C42</f>
        <v>33370</v>
      </c>
      <c r="E14" s="3071">
        <f ca="1">ROUND(D14*10000/B14,0)</f>
        <v>33370</v>
      </c>
      <c r="F14" s="3071">
        <f ca="1">ROUND(D14*10000/C14,0)</f>
        <v>160504</v>
      </c>
      <c r="G14" s="3071" t="str">
        <f>结果表!C44</f>
        <v>——</v>
      </c>
      <c r="H14" s="3071" t="str">
        <f>结果表!C45</f>
        <v>——</v>
      </c>
      <c r="I14" s="3071" t="str">
        <f>结果表!C46</f>
        <v>——</v>
      </c>
    </row>
    <row r="15" spans="1:9" ht="16.5">
      <c r="A15" s="3074" t="s">
        <v>2863</v>
      </c>
      <c r="B15" s="3075"/>
      <c r="C15" s="3075"/>
      <c r="D15" s="3075"/>
      <c r="E15" s="3071" t="e">
        <f t="shared" ref="E15:E23" si="2">ROUND(D15*10000/B15,0)</f>
        <v>#DIV/0!</v>
      </c>
      <c r="F15" s="3071" t="e">
        <f t="shared" ref="F15:F23" si="3">ROUND(D15*10000/C15,0)</f>
        <v>#DIV/0!</v>
      </c>
      <c r="G15" s="3072"/>
      <c r="H15" s="3072"/>
      <c r="I15" s="3075"/>
    </row>
    <row r="16" spans="1:9" ht="16.5">
      <c r="A16" s="3074" t="s">
        <v>2864</v>
      </c>
      <c r="B16" s="3075"/>
      <c r="C16" s="3075"/>
      <c r="D16" s="3075"/>
      <c r="E16" s="3071" t="e">
        <f t="shared" si="2"/>
        <v>#DIV/0!</v>
      </c>
      <c r="F16" s="3071" t="e">
        <f t="shared" si="3"/>
        <v>#DIV/0!</v>
      </c>
      <c r="G16" s="3072"/>
      <c r="H16" s="3072"/>
      <c r="I16" s="3075"/>
    </row>
    <row r="17" spans="1:9" ht="16.5">
      <c r="A17" s="3074" t="s">
        <v>2865</v>
      </c>
      <c r="B17" s="3075"/>
      <c r="C17" s="3075"/>
      <c r="D17" s="3075"/>
      <c r="E17" s="3071" t="e">
        <f t="shared" si="2"/>
        <v>#DIV/0!</v>
      </c>
      <c r="F17" s="3071" t="e">
        <f t="shared" si="3"/>
        <v>#DIV/0!</v>
      </c>
      <c r="G17" s="3072"/>
      <c r="H17" s="3072"/>
      <c r="I17" s="3075"/>
    </row>
    <row r="18" spans="1:9" ht="16.5">
      <c r="A18" s="3074" t="s">
        <v>2866</v>
      </c>
      <c r="B18" s="3075"/>
      <c r="C18" s="3075"/>
      <c r="D18" s="3075"/>
      <c r="E18" s="3071" t="e">
        <f t="shared" si="2"/>
        <v>#DIV/0!</v>
      </c>
      <c r="F18" s="3071" t="e">
        <f t="shared" si="3"/>
        <v>#DIV/0!</v>
      </c>
      <c r="G18" s="3075"/>
      <c r="H18" s="3075"/>
      <c r="I18" s="3075"/>
    </row>
    <row r="19" spans="1:9" ht="16.5">
      <c r="A19" s="3074" t="s">
        <v>2867</v>
      </c>
      <c r="B19" s="3075"/>
      <c r="C19" s="3075"/>
      <c r="D19" s="3075"/>
      <c r="E19" s="3071" t="e">
        <f t="shared" si="2"/>
        <v>#DIV/0!</v>
      </c>
      <c r="F19" s="3071" t="e">
        <f t="shared" si="3"/>
        <v>#DIV/0!</v>
      </c>
      <c r="G19" s="3075"/>
      <c r="H19" s="3075"/>
      <c r="I19" s="3075"/>
    </row>
    <row r="20" spans="1:9" ht="16.5">
      <c r="A20" s="3074" t="s">
        <v>2868</v>
      </c>
      <c r="B20" s="3075"/>
      <c r="C20" s="3075"/>
      <c r="D20" s="3075"/>
      <c r="E20" s="3071" t="e">
        <f t="shared" si="2"/>
        <v>#DIV/0!</v>
      </c>
      <c r="F20" s="3071" t="e">
        <f t="shared" si="3"/>
        <v>#DIV/0!</v>
      </c>
      <c r="G20" s="3075"/>
      <c r="H20" s="3075"/>
      <c r="I20" s="3075"/>
    </row>
    <row r="21" spans="1:9" ht="16.5">
      <c r="A21" s="3074" t="s">
        <v>2869</v>
      </c>
      <c r="B21" s="3075"/>
      <c r="C21" s="3075"/>
      <c r="D21" s="3075"/>
      <c r="E21" s="3071" t="e">
        <f t="shared" si="2"/>
        <v>#DIV/0!</v>
      </c>
      <c r="F21" s="3071" t="e">
        <f t="shared" si="3"/>
        <v>#DIV/0!</v>
      </c>
      <c r="G21" s="3075"/>
      <c r="H21" s="3075"/>
      <c r="I21" s="3075"/>
    </row>
    <row r="22" spans="1:9" ht="16.5">
      <c r="A22" s="3074" t="s">
        <v>2870</v>
      </c>
      <c r="B22" s="3075"/>
      <c r="C22" s="3075"/>
      <c r="D22" s="3075"/>
      <c r="E22" s="3071" t="e">
        <f t="shared" si="2"/>
        <v>#DIV/0!</v>
      </c>
      <c r="F22" s="3071" t="e">
        <f t="shared" si="3"/>
        <v>#DIV/0!</v>
      </c>
      <c r="G22" s="3075"/>
      <c r="H22" s="3075"/>
      <c r="I22" s="3075"/>
    </row>
    <row r="23" spans="1:9" ht="16.5">
      <c r="A23" s="3074" t="s">
        <v>2871</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Normal="100" zoomScaleSheetLayoutView="100" zoomScalePageLayoutView="80" workbookViewId="0">
      <selection activeCell="C20" sqref="C2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5" t="s">
        <v>2058</v>
      </c>
      <c r="B1" s="1776"/>
      <c r="C1" s="1804" t="s">
        <v>2059</v>
      </c>
      <c r="D1" s="1805" t="s">
        <v>3056</v>
      </c>
      <c r="E1" s="1804" t="s">
        <v>2060</v>
      </c>
      <c r="F1" s="1806" t="s">
        <v>3057</v>
      </c>
      <c r="G1" s="309"/>
      <c r="H1" s="309"/>
      <c r="I1" s="309"/>
      <c r="J1" s="2028"/>
      <c r="K1" s="2028"/>
      <c r="L1" s="2028"/>
      <c r="M1" s="2028"/>
      <c r="N1" s="2028"/>
      <c r="O1" s="2028"/>
      <c r="P1" s="2028"/>
      <c r="Q1" s="2028"/>
      <c r="R1" s="2028"/>
      <c r="S1" s="2028"/>
      <c r="T1" s="2028"/>
      <c r="U1" s="2028"/>
      <c r="V1" s="2028"/>
    </row>
    <row r="2" spans="1:22" ht="21.75" customHeight="1" thickBot="1">
      <c r="A2" s="3390" t="str">
        <f>项目基本情况!K2</f>
        <v>北京市出让国有建设用地使用权</v>
      </c>
      <c r="B2" s="3391"/>
      <c r="C2" s="3392"/>
      <c r="D2" s="3392"/>
      <c r="E2" s="3392"/>
      <c r="F2" s="3392"/>
      <c r="G2" s="3391"/>
      <c r="H2" s="3391"/>
      <c r="I2" s="3393"/>
      <c r="J2" s="2029"/>
      <c r="K2" s="2028"/>
      <c r="L2" s="2028"/>
      <c r="M2" s="2028"/>
      <c r="N2" s="2028"/>
      <c r="O2" s="2028"/>
      <c r="P2" s="2028"/>
      <c r="Q2" s="2028"/>
      <c r="R2" s="2028"/>
      <c r="S2" s="2028"/>
      <c r="T2" s="2028"/>
      <c r="U2" s="2028"/>
      <c r="V2" s="2028"/>
    </row>
    <row r="3" spans="1:22" ht="14.25">
      <c r="A3" s="3383" t="s">
        <v>298</v>
      </c>
      <c r="B3" s="3384"/>
      <c r="C3" s="3384"/>
      <c r="D3" s="3384"/>
      <c r="E3" s="3384"/>
      <c r="F3" s="3384"/>
      <c r="G3" s="3384"/>
      <c r="H3" s="3384"/>
      <c r="I3" s="3384"/>
      <c r="J3" s="2029"/>
      <c r="K3" s="2028"/>
      <c r="L3" s="2028"/>
      <c r="M3" s="2028"/>
      <c r="N3" s="2028"/>
      <c r="O3" s="2028"/>
      <c r="P3" s="2028"/>
      <c r="Q3" s="2028"/>
      <c r="R3" s="2028"/>
      <c r="S3" s="2028"/>
      <c r="T3" s="2028"/>
      <c r="U3" s="2028"/>
      <c r="V3" s="2028"/>
    </row>
    <row r="4" spans="1:22" ht="14.25">
      <c r="A4" s="256" t="s">
        <v>299</v>
      </c>
      <c r="B4" s="257" t="s">
        <v>300</v>
      </c>
      <c r="C4" s="258" t="s">
        <v>3055</v>
      </c>
      <c r="D4" s="258" t="s">
        <v>2953</v>
      </c>
      <c r="E4" s="3355" t="s">
        <v>301</v>
      </c>
      <c r="F4" s="3356"/>
      <c r="G4" s="3356"/>
      <c r="H4" s="3356"/>
      <c r="I4" s="3385"/>
      <c r="J4" s="2029"/>
      <c r="K4" s="2028"/>
      <c r="L4" s="946" t="str">
        <f>IF(ISNUMBER(FIND("比较法",C4)),"比较法",IF(ISNUMBER(FIND("成本法",C4)),"成本法",IF(ISNUMBER(FIND("剩余法",C4)),"剩余法",IF(ISNUMBER(FIND("收益法",C4)),"收益法","基准地价系数修正法"))))</f>
        <v>剩余法</v>
      </c>
      <c r="M4" s="946" t="str">
        <f>IF(ISNUMBER(FIND("比较法",D4)),"比较法",IF(ISNUMBER(FIND("成本法",D4)),"成本法",IF(ISNUMBER(FIND("剩余法",D4)),"剩余法",IF(ISNUMBER(FIND("收益法",D4)),"收益法","基准地价系数修正法"))))</f>
        <v>基准地价系数修正法</v>
      </c>
      <c r="N4" s="2028"/>
      <c r="O4" s="2028"/>
      <c r="P4" s="2028"/>
      <c r="Q4" s="2028"/>
      <c r="R4" s="2028"/>
      <c r="S4" s="2028"/>
      <c r="T4" s="2028"/>
      <c r="U4" s="2028"/>
      <c r="V4" s="2028"/>
    </row>
    <row r="5" spans="1:22" ht="14.25">
      <c r="A5" s="3354" t="s">
        <v>302</v>
      </c>
      <c r="B5" s="3380">
        <v>25</v>
      </c>
      <c r="C5" s="3378">
        <v>4</v>
      </c>
      <c r="D5" s="3382">
        <f>10-C5</f>
        <v>6</v>
      </c>
      <c r="E5" s="259" t="s">
        <v>303</v>
      </c>
      <c r="F5" s="260"/>
      <c r="G5" s="260"/>
      <c r="H5" s="260"/>
      <c r="I5" s="261"/>
      <c r="J5" s="2029"/>
      <c r="K5" s="2028"/>
      <c r="L5" s="2028"/>
      <c r="M5" s="2028"/>
      <c r="N5" s="2028"/>
      <c r="O5" s="2028"/>
      <c r="P5" s="2028"/>
      <c r="Q5" s="2028"/>
      <c r="R5" s="2028"/>
      <c r="S5" s="2028"/>
      <c r="T5" s="2028"/>
      <c r="U5" s="2028"/>
      <c r="V5" s="2028"/>
    </row>
    <row r="6" spans="1:22" ht="14.25">
      <c r="A6" s="3354"/>
      <c r="B6" s="3380"/>
      <c r="C6" s="3381"/>
      <c r="D6" s="3382"/>
      <c r="E6" s="259" t="s">
        <v>304</v>
      </c>
      <c r="F6" s="260"/>
      <c r="G6" s="260"/>
      <c r="H6" s="260"/>
      <c r="I6" s="261"/>
      <c r="J6" s="2029"/>
      <c r="K6" s="2028"/>
      <c r="L6" s="2028"/>
      <c r="M6" s="2028"/>
      <c r="N6" s="2028"/>
      <c r="O6" s="2028"/>
      <c r="P6" s="2028"/>
      <c r="Q6" s="2028"/>
      <c r="R6" s="2028"/>
      <c r="S6" s="2028"/>
      <c r="T6" s="2028"/>
      <c r="U6" s="2028"/>
      <c r="V6" s="2028"/>
    </row>
    <row r="7" spans="1:22" ht="14.25">
      <c r="A7" s="3354"/>
      <c r="B7" s="3380"/>
      <c r="C7" s="3379"/>
      <c r="D7" s="3382"/>
      <c r="E7" s="259" t="s">
        <v>305</v>
      </c>
      <c r="F7" s="260"/>
      <c r="G7" s="260"/>
      <c r="H7" s="260"/>
      <c r="I7" s="261"/>
      <c r="J7" s="2029"/>
      <c r="K7" s="2028"/>
      <c r="L7" s="2028"/>
      <c r="M7" s="2028"/>
      <c r="N7" s="2028"/>
      <c r="O7" s="2028"/>
      <c r="P7" s="2028"/>
      <c r="Q7" s="2028"/>
      <c r="R7" s="2028"/>
      <c r="S7" s="2028"/>
      <c r="T7" s="2028"/>
      <c r="U7" s="2028"/>
      <c r="V7" s="2028"/>
    </row>
    <row r="8" spans="1:22" ht="14.25">
      <c r="A8" s="3354" t="s">
        <v>306</v>
      </c>
      <c r="B8" s="3380">
        <v>15</v>
      </c>
      <c r="C8" s="3378"/>
      <c r="D8" s="3382"/>
      <c r="E8" s="259" t="s">
        <v>307</v>
      </c>
      <c r="F8" s="260"/>
      <c r="G8" s="260"/>
      <c r="H8" s="260"/>
      <c r="I8" s="261"/>
      <c r="J8" s="2029"/>
      <c r="K8" s="2028"/>
      <c r="L8" s="2028"/>
      <c r="M8" s="2028"/>
      <c r="N8" s="2028"/>
      <c r="O8" s="2028"/>
      <c r="P8" s="2028"/>
      <c r="Q8" s="2028"/>
      <c r="R8" s="2028"/>
      <c r="S8" s="2028"/>
      <c r="T8" s="2028"/>
      <c r="U8" s="2028"/>
      <c r="V8" s="2028"/>
    </row>
    <row r="9" spans="1:22" ht="14.25">
      <c r="A9" s="3354"/>
      <c r="B9" s="3380"/>
      <c r="C9" s="3379"/>
      <c r="D9" s="3382"/>
      <c r="E9" s="259" t="s">
        <v>308</v>
      </c>
      <c r="F9" s="260"/>
      <c r="G9" s="260"/>
      <c r="H9" s="260"/>
      <c r="I9" s="261"/>
      <c r="J9" s="2029"/>
      <c r="K9" s="2028"/>
      <c r="L9" s="2028"/>
      <c r="M9" s="2028"/>
      <c r="N9" s="2028"/>
      <c r="O9" s="2028"/>
      <c r="P9" s="2028"/>
      <c r="Q9" s="2028"/>
      <c r="R9" s="2028"/>
      <c r="S9" s="2028"/>
      <c r="T9" s="2028"/>
      <c r="U9" s="2028"/>
      <c r="V9" s="2028"/>
    </row>
    <row r="10" spans="1:22" ht="14.25">
      <c r="A10" s="3354" t="s">
        <v>309</v>
      </c>
      <c r="B10" s="3380">
        <v>15</v>
      </c>
      <c r="C10" s="3378"/>
      <c r="D10" s="3382"/>
      <c r="E10" s="259" t="s">
        <v>310</v>
      </c>
      <c r="F10" s="260"/>
      <c r="G10" s="260"/>
      <c r="H10" s="260"/>
      <c r="I10" s="261"/>
      <c r="J10" s="2029"/>
      <c r="K10" s="2028"/>
      <c r="L10" s="2028"/>
      <c r="M10" s="2028"/>
      <c r="N10" s="2028"/>
      <c r="O10" s="2028"/>
      <c r="P10" s="2028"/>
      <c r="Q10" s="2028"/>
      <c r="R10" s="2028"/>
      <c r="S10" s="2028"/>
      <c r="T10" s="2028"/>
      <c r="U10" s="2028"/>
      <c r="V10" s="2028"/>
    </row>
    <row r="11" spans="1:22" ht="14.25">
      <c r="A11" s="3354"/>
      <c r="B11" s="3380"/>
      <c r="C11" s="3379"/>
      <c r="D11" s="3382"/>
      <c r="E11" s="259" t="s">
        <v>311</v>
      </c>
      <c r="F11" s="260"/>
      <c r="G11" s="260"/>
      <c r="H11" s="260"/>
      <c r="I11" s="261"/>
      <c r="J11" s="2029"/>
      <c r="K11" s="2028"/>
      <c r="L11" s="2028"/>
      <c r="M11" s="2028"/>
      <c r="N11" s="2028"/>
      <c r="O11" s="2028"/>
      <c r="P11" s="2028"/>
      <c r="Q11" s="2028"/>
      <c r="R11" s="2028"/>
      <c r="S11" s="2028"/>
      <c r="T11" s="2028"/>
      <c r="U11" s="2028"/>
      <c r="V11" s="2028"/>
    </row>
    <row r="12" spans="1:22" ht="14.25">
      <c r="A12" s="3354" t="s">
        <v>312</v>
      </c>
      <c r="B12" s="3380">
        <v>15</v>
      </c>
      <c r="C12" s="3378"/>
      <c r="D12" s="3382"/>
      <c r="E12" s="259" t="s">
        <v>313</v>
      </c>
      <c r="F12" s="260"/>
      <c r="G12" s="260"/>
      <c r="H12" s="260"/>
      <c r="I12" s="261"/>
      <c r="J12" s="2029"/>
      <c r="K12" s="2028"/>
      <c r="L12" s="2028"/>
      <c r="M12" s="2028"/>
      <c r="N12" s="2028"/>
      <c r="O12" s="2028"/>
      <c r="P12" s="2028"/>
      <c r="Q12" s="2028"/>
      <c r="R12" s="2028"/>
      <c r="S12" s="2028"/>
      <c r="T12" s="2028"/>
      <c r="U12" s="2028"/>
      <c r="V12" s="2028"/>
    </row>
    <row r="13" spans="1:22" ht="14.25">
      <c r="A13" s="3354"/>
      <c r="B13" s="3380"/>
      <c r="C13" s="3379"/>
      <c r="D13" s="3382"/>
      <c r="E13" s="259" t="s">
        <v>314</v>
      </c>
      <c r="F13" s="260"/>
      <c r="G13" s="260"/>
      <c r="H13" s="260"/>
      <c r="I13" s="261"/>
      <c r="J13" s="2029"/>
      <c r="K13" s="2028"/>
      <c r="L13" s="2028"/>
      <c r="M13" s="2028"/>
      <c r="N13" s="2028"/>
      <c r="O13" s="2028"/>
      <c r="P13" s="2028"/>
      <c r="Q13" s="2028"/>
      <c r="R13" s="2028"/>
      <c r="S13" s="2028"/>
      <c r="T13" s="2028"/>
      <c r="U13" s="2028"/>
      <c r="V13" s="2028"/>
    </row>
    <row r="14" spans="1:22" ht="14.25">
      <c r="A14" s="3354" t="s">
        <v>315</v>
      </c>
      <c r="B14" s="3380">
        <v>30</v>
      </c>
      <c r="C14" s="3378"/>
      <c r="D14" s="3382"/>
      <c r="E14" s="259" t="s">
        <v>316</v>
      </c>
      <c r="F14" s="260"/>
      <c r="G14" s="260"/>
      <c r="H14" s="260"/>
      <c r="I14" s="261"/>
      <c r="J14" s="2029"/>
      <c r="K14" s="2028"/>
      <c r="L14" s="2028"/>
      <c r="M14" s="2028"/>
      <c r="N14" s="2028"/>
      <c r="O14" s="2028"/>
      <c r="P14" s="2028"/>
      <c r="Q14" s="2028"/>
      <c r="R14" s="2028"/>
      <c r="S14" s="2028"/>
      <c r="T14" s="2028"/>
      <c r="U14" s="2028"/>
      <c r="V14" s="2028"/>
    </row>
    <row r="15" spans="1:22" ht="14.25">
      <c r="A15" s="3354"/>
      <c r="B15" s="3380"/>
      <c r="C15" s="3381"/>
      <c r="D15" s="3382"/>
      <c r="E15" s="259" t="s">
        <v>317</v>
      </c>
      <c r="F15" s="260"/>
      <c r="G15" s="260"/>
      <c r="H15" s="260"/>
      <c r="I15" s="261"/>
      <c r="J15" s="2029"/>
      <c r="K15" s="2028"/>
      <c r="L15" s="2028"/>
      <c r="M15" s="2028"/>
      <c r="N15" s="2028"/>
      <c r="O15" s="2028"/>
      <c r="P15" s="2028"/>
      <c r="Q15" s="2028"/>
      <c r="R15" s="2028"/>
      <c r="S15" s="2028"/>
      <c r="T15" s="2028"/>
      <c r="U15" s="2028"/>
      <c r="V15" s="2028"/>
    </row>
    <row r="16" spans="1:22" ht="14.25">
      <c r="A16" s="3354"/>
      <c r="B16" s="3380"/>
      <c r="C16" s="3379"/>
      <c r="D16" s="3382"/>
      <c r="E16" s="259" t="s">
        <v>318</v>
      </c>
      <c r="F16" s="260"/>
      <c r="G16" s="260"/>
      <c r="H16" s="260"/>
      <c r="I16" s="261"/>
      <c r="J16" s="2029"/>
      <c r="K16" s="2028"/>
      <c r="L16" s="2028"/>
      <c r="M16" s="2028"/>
      <c r="N16" s="2028"/>
      <c r="O16" s="2028"/>
      <c r="P16" s="2028"/>
      <c r="Q16" s="2028"/>
      <c r="R16" s="2028"/>
      <c r="S16" s="2028"/>
      <c r="T16" s="2028"/>
      <c r="U16" s="2028"/>
      <c r="V16" s="2028"/>
    </row>
    <row r="17" spans="1:26" ht="15">
      <c r="A17" s="262" t="s">
        <v>319</v>
      </c>
      <c r="B17" s="142"/>
      <c r="C17" s="263">
        <f>SUM(C5:C16)</f>
        <v>4</v>
      </c>
      <c r="D17" s="263">
        <f>SUM(D5:D16)</f>
        <v>6</v>
      </c>
      <c r="E17" s="309"/>
      <c r="F17" s="309"/>
      <c r="G17" s="309"/>
      <c r="H17" s="309"/>
      <c r="I17" s="309"/>
      <c r="J17" s="2029"/>
      <c r="K17" s="2028"/>
      <c r="L17" s="2028"/>
      <c r="M17" s="2028"/>
      <c r="N17" s="2028"/>
      <c r="O17" s="2028"/>
      <c r="P17" s="2028"/>
      <c r="Q17" s="2028"/>
      <c r="R17" s="2028"/>
      <c r="S17" s="2028"/>
      <c r="T17" s="2028"/>
      <c r="U17" s="2028"/>
      <c r="V17" s="2028"/>
    </row>
    <row r="18" spans="1:26" ht="15.75" thickBot="1">
      <c r="A18" s="264" t="s">
        <v>320</v>
      </c>
      <c r="B18" s="103"/>
      <c r="C18" s="265">
        <f>ROUND(C17/SUM(C17:D17),2)</f>
        <v>0.4</v>
      </c>
      <c r="D18" s="265">
        <f>1-C18</f>
        <v>0.6</v>
      </c>
      <c r="E18" s="309"/>
      <c r="F18" s="309"/>
      <c r="G18" s="309"/>
      <c r="H18" s="309"/>
      <c r="I18" s="309"/>
      <c r="J18" s="2028"/>
      <c r="K18" s="2028"/>
      <c r="L18" s="2028"/>
      <c r="M18" s="2028"/>
      <c r="N18" s="2028"/>
      <c r="O18" s="2028"/>
      <c r="P18" s="2028"/>
      <c r="Q18" s="2028"/>
      <c r="R18" s="2028"/>
      <c r="S18" s="2028"/>
      <c r="T18" s="2028"/>
      <c r="U18" s="2028"/>
      <c r="V18" s="2028"/>
    </row>
    <row r="19" spans="1:26" ht="15">
      <c r="A19" s="266" t="s">
        <v>321</v>
      </c>
      <c r="B19" s="267" t="s">
        <v>322</v>
      </c>
      <c r="C19" s="268">
        <f ca="1">SUMIF(INDIRECT("'"&amp;C4&amp;"'"&amp;"!A:A"),结果表!B19,INDIRECT("'"&amp;C4&amp;"'"&amp;"!B:B"))</f>
        <v>29571.44808030401</v>
      </c>
      <c r="D19" s="269">
        <f ca="1">SUMIF(INDIRECT("'"&amp;D4&amp;"'"&amp;"!A:A"),结果表!B19,INDIRECT("'"&amp;D4&amp;"'"&amp;"!B:B"))</f>
        <v>35903</v>
      </c>
      <c r="E19" s="266" t="s">
        <v>323</v>
      </c>
      <c r="F19" s="267" t="s">
        <v>322</v>
      </c>
      <c r="G19" s="270">
        <f ca="1">ROUND(C19*$C$18+D19*$D$18,0)</f>
        <v>33370</v>
      </c>
      <c r="H19" s="271" t="s">
        <v>324</v>
      </c>
      <c r="I19" s="309"/>
      <c r="J19" s="2028"/>
      <c r="K19" s="2028"/>
      <c r="L19" s="2028"/>
      <c r="M19" s="2028"/>
      <c r="N19" s="2028"/>
      <c r="O19" s="2028"/>
      <c r="P19" s="2028"/>
      <c r="Q19" s="2028"/>
      <c r="R19" s="2028"/>
      <c r="S19" s="2028"/>
      <c r="T19" s="2028"/>
      <c r="U19" s="2028"/>
      <c r="V19" s="2028"/>
    </row>
    <row r="20" spans="1:26" ht="15">
      <c r="A20" s="272"/>
      <c r="B20" s="273" t="s">
        <v>325</v>
      </c>
      <c r="C20" s="274">
        <f ca="1">SUMIF(INDIRECT("'"&amp;C4&amp;"'"&amp;"!A:A"),结果表!B20,INDIRECT("'"&amp;C4&amp;"'"&amp;"!B:B"))</f>
        <v>29571</v>
      </c>
      <c r="D20" s="275">
        <f ca="1">SUMIF(INDIRECT("'"&amp;D4&amp;"'"&amp;"!A:A"),结果表!B20,INDIRECT("'"&amp;D4&amp;"'"&amp;"!B:B"))</f>
        <v>35903</v>
      </c>
      <c r="E20" s="272"/>
      <c r="F20" s="273" t="s">
        <v>325</v>
      </c>
      <c r="G20" s="276">
        <f ca="1">ROUND(C20*$C$18+D20*$D$18,0)</f>
        <v>33370</v>
      </c>
      <c r="H20" s="277" t="s">
        <v>326</v>
      </c>
      <c r="I20" s="309"/>
      <c r="J20" s="2028"/>
      <c r="K20" s="2028"/>
      <c r="L20" s="2028"/>
      <c r="M20" s="2028"/>
      <c r="N20" s="2028"/>
      <c r="O20" s="2028"/>
      <c r="P20" s="2028"/>
      <c r="Q20" s="2028"/>
      <c r="R20" s="2028"/>
      <c r="S20" s="2028"/>
      <c r="T20" s="2028"/>
      <c r="U20" s="2028"/>
      <c r="V20" s="2028"/>
    </row>
    <row r="21" spans="1:26" ht="15" customHeight="1">
      <c r="A21" s="272"/>
      <c r="B21" s="278" t="s">
        <v>327</v>
      </c>
      <c r="C21" s="279">
        <f ca="1">SUMIF(INDIRECT("'"&amp;C4&amp;"'"&amp;"!A:A"),结果表!B21,INDIRECT("'"&amp;C4&amp;"'"&amp;"!B:B"))</f>
        <v>142234</v>
      </c>
      <c r="D21" s="149">
        <f ca="1">SUMIF(INDIRECT("'"&amp;D4&amp;"'"&amp;"!A:A"),结果表!B21,INDIRECT("'"&amp;D4&amp;"'"&amp;"!B:B"))</f>
        <v>172688</v>
      </c>
      <c r="E21" s="272"/>
      <c r="F21" s="278" t="s">
        <v>327</v>
      </c>
      <c r="G21" s="280">
        <f ca="1">ROUND(C21*$C$18+D21*$D$18,0)</f>
        <v>160506</v>
      </c>
      <c r="H21" s="1249" t="s">
        <v>326</v>
      </c>
      <c r="I21" s="309"/>
      <c r="J21" s="2028"/>
      <c r="K21" s="2028"/>
      <c r="L21" s="2028"/>
      <c r="M21" s="2028"/>
      <c r="N21" s="2028"/>
      <c r="O21" s="2028"/>
      <c r="P21" s="2028"/>
      <c r="Q21" s="2028"/>
      <c r="R21" s="2028"/>
      <c r="S21" s="2028"/>
      <c r="T21" s="2028"/>
      <c r="U21" s="2028"/>
      <c r="V21" s="2028"/>
    </row>
    <row r="22" spans="1:26" ht="15.75" thickBot="1">
      <c r="A22" s="124" t="s">
        <v>328</v>
      </c>
      <c r="B22" s="1250"/>
      <c r="C22" s="1251"/>
      <c r="D22" s="281">
        <f ca="1">IF(C19&lt;D19,D19/C19-1,C19/D19-1)</f>
        <v>0.21411031013774084</v>
      </c>
      <c r="E22" s="282"/>
      <c r="F22" s="283"/>
      <c r="G22" s="284">
        <f ca="1">ROUND(G19/('数据-汇总表'!D3/666.67),0)</f>
        <v>10700</v>
      </c>
      <c r="H22" s="285" t="s">
        <v>329</v>
      </c>
      <c r="I22" s="309"/>
      <c r="J22" s="2028"/>
      <c r="K22" s="2028"/>
      <c r="L22" s="2028"/>
      <c r="M22" s="2028"/>
      <c r="N22" s="2028"/>
      <c r="O22" s="2028"/>
      <c r="P22" s="2028"/>
      <c r="Q22" s="2028"/>
      <c r="R22" s="2028"/>
      <c r="S22" s="2028"/>
      <c r="T22" s="2028"/>
      <c r="U22" s="2028"/>
      <c r="V22" s="2028"/>
    </row>
    <row r="23" spans="1:26" ht="13.5" thickBot="1">
      <c r="A23" s="309"/>
      <c r="B23" s="309"/>
      <c r="C23" s="309"/>
      <c r="D23" s="309"/>
      <c r="E23" s="309"/>
      <c r="F23" s="309"/>
      <c r="G23" s="309"/>
      <c r="H23" s="309"/>
      <c r="I23" s="309"/>
      <c r="J23" s="2028"/>
      <c r="K23" s="2028"/>
      <c r="L23" s="2028"/>
      <c r="M23" s="2028"/>
      <c r="N23" s="2028"/>
      <c r="O23" s="2028"/>
      <c r="P23" s="2028"/>
      <c r="Q23" s="2028"/>
      <c r="R23" s="2028"/>
      <c r="S23" s="2028"/>
      <c r="T23" s="2028"/>
      <c r="U23" s="2028"/>
      <c r="V23" s="2028"/>
    </row>
    <row r="24" spans="1:26" ht="15" thickBot="1">
      <c r="A24" s="3360" t="s">
        <v>330</v>
      </c>
      <c r="B24" s="267" t="s">
        <v>322</v>
      </c>
      <c r="C24" s="286">
        <f>IF(B30=0,0,D30)</f>
        <v>0</v>
      </c>
      <c r="D24" s="287"/>
      <c r="E24" s="309"/>
      <c r="F24" s="309"/>
      <c r="G24" s="309"/>
      <c r="H24" s="309"/>
      <c r="I24" s="309"/>
      <c r="J24" s="2028"/>
      <c r="K24" s="2028"/>
      <c r="L24" s="2028"/>
      <c r="M24" s="2028"/>
      <c r="N24" s="2028"/>
      <c r="O24" s="2028"/>
      <c r="P24" s="2028"/>
      <c r="Q24" s="2028"/>
      <c r="R24" s="2028"/>
      <c r="S24" s="2028"/>
      <c r="T24" s="2028"/>
      <c r="U24" s="2028"/>
      <c r="V24" s="2028"/>
    </row>
    <row r="25" spans="1:26" ht="18">
      <c r="A25" s="3361"/>
      <c r="B25" s="1319" t="s">
        <v>331</v>
      </c>
      <c r="C25" s="288">
        <f>IF(B30=0,0,C30)</f>
        <v>0</v>
      </c>
      <c r="D25" s="289"/>
      <c r="E25" s="309"/>
      <c r="F25" s="309"/>
      <c r="G25" s="309"/>
      <c r="H25" s="309"/>
      <c r="I25" s="309"/>
      <c r="J25" s="2028"/>
      <c r="K25" s="1253" t="str">
        <f ca="1">项目基本情况!B16&amp;"国有建设用地使用权价格："&amp;O38&amp;"万元"</f>
        <v>出让国有建设用地使用权价格：33370万元</v>
      </c>
      <c r="L25" s="1254"/>
      <c r="M25" s="1254"/>
      <c r="N25" s="1254"/>
      <c r="O25" s="1255"/>
      <c r="P25" s="2028"/>
      <c r="Q25" s="2028"/>
      <c r="R25" s="2028"/>
      <c r="S25" s="2028"/>
      <c r="T25" s="2028"/>
      <c r="U25" s="2028"/>
      <c r="V25" s="2028"/>
    </row>
    <row r="26" spans="1:26" s="1252" customFormat="1" ht="18">
      <c r="A26" s="291" t="s">
        <v>332</v>
      </c>
      <c r="B26" s="292" t="s">
        <v>333</v>
      </c>
      <c r="C26" s="292" t="s">
        <v>334</v>
      </c>
      <c r="D26" s="293" t="s">
        <v>335</v>
      </c>
      <c r="E26" s="309"/>
      <c r="F26" s="309"/>
      <c r="G26" s="309"/>
      <c r="H26" s="309"/>
      <c r="I26" s="309"/>
      <c r="J26" s="2028"/>
      <c r="K26" s="1256" t="str">
        <f ca="1">"大写金额：人民币"&amp;NUMBERSTRING(INT(O38*10000),2)&amp;"元整"</f>
        <v>大写金额：人民币叁亿叁仟叁佰柒拾万元整</v>
      </c>
      <c r="L26" s="1250"/>
      <c r="M26" s="1250"/>
      <c r="N26" s="1250"/>
      <c r="O26" s="1249"/>
      <c r="P26" s="2028"/>
      <c r="Q26" s="2028"/>
      <c r="R26" s="2028"/>
      <c r="S26" s="2028"/>
      <c r="T26" s="2028"/>
      <c r="U26" s="2028"/>
      <c r="V26" s="2028"/>
      <c r="W26" s="290"/>
      <c r="X26" s="290"/>
      <c r="Y26" s="290"/>
      <c r="Z26" s="290"/>
    </row>
    <row r="27" spans="1:26" ht="18">
      <c r="A27" s="291"/>
      <c r="B27" s="292"/>
      <c r="C27" s="292"/>
      <c r="D27" s="293"/>
      <c r="E27" s="309"/>
      <c r="F27" s="309"/>
      <c r="G27" s="309"/>
      <c r="H27" s="309"/>
      <c r="I27" s="309"/>
      <c r="J27" s="2028"/>
      <c r="K27" s="1256" t="str">
        <f ca="1">"单位面积地价："&amp;M38&amp;"元/平方米"</f>
        <v>单位面积地价：160504元/平方米</v>
      </c>
      <c r="L27" s="1250"/>
      <c r="M27" s="1250"/>
      <c r="N27" s="1250"/>
      <c r="O27" s="1249"/>
      <c r="P27" s="2028"/>
      <c r="Q27" s="2028"/>
      <c r="R27" s="2028"/>
      <c r="S27" s="2028"/>
      <c r="T27" s="2028"/>
      <c r="U27" s="2028"/>
      <c r="V27" s="2028"/>
    </row>
    <row r="28" spans="1:26" ht="18.75" customHeight="1">
      <c r="A28" s="291"/>
      <c r="B28" s="292"/>
      <c r="C28" s="292"/>
      <c r="D28" s="293"/>
      <c r="E28" s="309"/>
      <c r="F28" s="309"/>
      <c r="G28" s="309"/>
      <c r="H28" s="309"/>
      <c r="I28" s="309"/>
      <c r="J28" s="2028"/>
      <c r="K28" s="1256" t="str">
        <f ca="1">"楼面地价："&amp;N38&amp;"元/平方米"</f>
        <v>楼面地价：33370元/平方米</v>
      </c>
      <c r="L28" s="1250"/>
      <c r="M28" s="1250"/>
      <c r="N28" s="1250"/>
      <c r="O28" s="1249"/>
      <c r="P28" s="2028"/>
      <c r="V28" s="2028"/>
    </row>
    <row r="29" spans="1:26" ht="18">
      <c r="A29" s="291"/>
      <c r="B29" s="292"/>
      <c r="C29" s="292"/>
      <c r="D29" s="293"/>
      <c r="E29" s="309"/>
      <c r="F29" s="309"/>
      <c r="G29" s="309"/>
      <c r="H29" s="309"/>
      <c r="I29" s="309"/>
      <c r="J29" s="2028"/>
      <c r="K29" s="1256" t="str">
        <f>IF(OR(项目基本情况!E8="抵押价格",项目基本情况!E8="已注销及未注销"),"抵押价格："&amp;O39&amp;"万元","——")</f>
        <v>——</v>
      </c>
      <c r="L29" s="1250"/>
      <c r="M29" s="1250"/>
      <c r="N29" s="1250"/>
      <c r="O29" s="1249"/>
      <c r="P29" s="2028"/>
      <c r="V29" s="2028"/>
    </row>
    <row r="30" spans="1:26" ht="18.75" thickBot="1">
      <c r="A30" s="3158" t="s">
        <v>336</v>
      </c>
      <c r="B30" s="307"/>
      <c r="C30" s="307"/>
      <c r="D30" s="308"/>
      <c r="E30" s="3159" t="s">
        <v>2970</v>
      </c>
      <c r="F30" s="309"/>
      <c r="G30" s="309"/>
      <c r="H30" s="309"/>
      <c r="I30" s="309"/>
      <c r="J30" s="2028"/>
      <c r="K30" s="1256" t="str">
        <f>IF(K29="——","——","大写金额：人民币"&amp;NUMBERSTRING(INT(O39*10000),2)&amp;"元整")</f>
        <v>——</v>
      </c>
      <c r="L30" s="1250"/>
      <c r="M30" s="1250"/>
      <c r="N30" s="1250"/>
      <c r="O30" s="1249"/>
      <c r="P30" s="2028"/>
      <c r="V30" s="2028"/>
    </row>
    <row r="31" spans="1:26" ht="24" customHeight="1" thickBot="1">
      <c r="A31" s="309"/>
      <c r="B31" s="309"/>
      <c r="C31" s="309"/>
      <c r="D31" s="309"/>
      <c r="E31" s="309"/>
      <c r="F31" s="309"/>
      <c r="G31" s="309"/>
      <c r="H31" s="309"/>
      <c r="I31" s="309"/>
      <c r="J31" s="2028"/>
      <c r="K31" s="2490" t="str">
        <f>IF(项目基本情况!E8="抵押价格","——","抵押担保权已注销时的抵押价格："&amp;O40&amp;"万元")</f>
        <v>抵押担保权已注销时的抵押价格：——万元</v>
      </c>
      <c r="L31" s="2486"/>
      <c r="M31" s="2486"/>
      <c r="N31" s="2486"/>
      <c r="O31" s="2487"/>
      <c r="P31" s="2028"/>
      <c r="V31" s="2028"/>
    </row>
    <row r="32" spans="1:26" ht="18.75" thickBot="1">
      <c r="A32" s="266" t="s">
        <v>337</v>
      </c>
      <c r="B32" s="1380" t="s">
        <v>1689</v>
      </c>
      <c r="C32" s="1381">
        <f ca="1">G19-C24</f>
        <v>33370</v>
      </c>
      <c r="D32" s="1382" t="s">
        <v>1690</v>
      </c>
      <c r="E32" s="309"/>
      <c r="F32" s="309"/>
      <c r="G32" s="309"/>
      <c r="H32" s="309"/>
      <c r="I32" s="309"/>
      <c r="J32" s="2028"/>
      <c r="K32" s="2485" t="e">
        <f>IF(K31="——","——","大写金额：人民币"&amp;NUMBERSTRING(INT(O40*10000),2)&amp;"元整")</f>
        <v>#VALUE!</v>
      </c>
      <c r="L32" s="2488"/>
      <c r="M32" s="2488"/>
      <c r="N32" s="2488"/>
      <c r="O32" s="2489"/>
      <c r="P32" s="2028"/>
      <c r="V32" s="2028"/>
    </row>
    <row r="33" spans="1:26" ht="18.75" thickBot="1">
      <c r="A33" s="296" t="s">
        <v>340</v>
      </c>
      <c r="B33" s="1383" t="s">
        <v>1691</v>
      </c>
      <c r="C33" s="262">
        <f ca="1">ROUND(C32*10000/'数据-汇总表'!E3,0)</f>
        <v>33370</v>
      </c>
      <c r="D33" s="1384" t="s">
        <v>1692</v>
      </c>
      <c r="E33" s="3360" t="s">
        <v>338</v>
      </c>
      <c r="F33" s="294" t="s">
        <v>339</v>
      </c>
      <c r="G33" s="295"/>
      <c r="H33" s="978"/>
      <c r="I33" s="1257"/>
      <c r="J33" s="2028"/>
      <c r="K33" s="1256" t="str">
        <f>IF(项目基本情况!E9="——","——","抵押净值："&amp;C46&amp;"万元")</f>
        <v>抵押净值：——万元</v>
      </c>
      <c r="L33" s="1250"/>
      <c r="M33" s="1250"/>
      <c r="N33" s="1250"/>
      <c r="O33" s="1249"/>
      <c r="P33" s="2028"/>
      <c r="V33" s="2028"/>
    </row>
    <row r="34" spans="1:26" s="1252" customFormat="1" ht="18.75" thickBot="1">
      <c r="A34" s="298"/>
      <c r="B34" s="1385" t="s">
        <v>1693</v>
      </c>
      <c r="C34" s="262">
        <f ca="1">ROUND(C32*10000/'数据-汇总表'!D3,0)</f>
        <v>160504</v>
      </c>
      <c r="D34" s="1386" t="s">
        <v>1692</v>
      </c>
      <c r="E34" s="3401"/>
      <c r="F34" s="125" t="s">
        <v>341</v>
      </c>
      <c r="G34" s="297"/>
      <c r="H34" s="103"/>
      <c r="I34" s="309"/>
      <c r="J34" s="2028"/>
      <c r="K34" s="1259" t="e">
        <f>IF(K33="——","——","大写金额：人民币"&amp;NUMBERSTRING(INT(O41*10000),2)&amp;"元整")</f>
        <v>#VALUE!</v>
      </c>
      <c r="L34" s="1260"/>
      <c r="M34" s="1260"/>
      <c r="N34" s="1260"/>
      <c r="O34" s="1261"/>
      <c r="P34" s="2028"/>
      <c r="Q34" s="290"/>
      <c r="R34" s="290"/>
      <c r="S34" s="290"/>
      <c r="T34" s="290"/>
      <c r="U34" s="290"/>
      <c r="V34" s="2028"/>
      <c r="W34" s="290"/>
      <c r="X34" s="290"/>
      <c r="Y34" s="290"/>
      <c r="Z34" s="290"/>
    </row>
    <row r="35" spans="1:26" ht="15.75" thickBot="1">
      <c r="A35" s="282"/>
      <c r="B35" s="1387"/>
      <c r="C35" s="1388">
        <f ca="1">ROUND(C32/('数据-汇总表'!D3/666.67),0)</f>
        <v>10700</v>
      </c>
      <c r="D35" s="1389" t="s">
        <v>1694</v>
      </c>
      <c r="E35" s="3402"/>
      <c r="F35" s="299" t="s">
        <v>342</v>
      </c>
      <c r="G35" s="980"/>
      <c r="H35" s="979" t="s">
        <v>343</v>
      </c>
      <c r="I35" s="309"/>
      <c r="J35" s="2028"/>
      <c r="K35" s="3375" t="s">
        <v>350</v>
      </c>
      <c r="L35" s="3375" t="s">
        <v>351</v>
      </c>
      <c r="M35" s="1262" t="s">
        <v>352</v>
      </c>
      <c r="N35" s="3375" t="s">
        <v>353</v>
      </c>
      <c r="O35" s="3375" t="s">
        <v>354</v>
      </c>
      <c r="P35" s="2028"/>
      <c r="V35" s="2028"/>
    </row>
    <row r="36" spans="1:26" ht="16.5" customHeight="1">
      <c r="A36" s="301" t="s">
        <v>344</v>
      </c>
      <c r="B36" s="302" t="s">
        <v>333</v>
      </c>
      <c r="C36" s="303" t="s">
        <v>345</v>
      </c>
      <c r="D36" s="303" t="s">
        <v>346</v>
      </c>
      <c r="E36" s="304" t="s">
        <v>347</v>
      </c>
      <c r="F36" s="309"/>
      <c r="G36" s="309"/>
      <c r="H36" s="309"/>
      <c r="I36" s="309"/>
      <c r="J36" s="2030"/>
      <c r="K36" s="3376"/>
      <c r="L36" s="3376"/>
      <c r="M36" s="1264" t="s">
        <v>355</v>
      </c>
      <c r="N36" s="3376"/>
      <c r="O36" s="3376"/>
      <c r="P36" s="2028"/>
      <c r="V36" s="2028"/>
    </row>
    <row r="37" spans="1:26" ht="16.5" customHeight="1" thickBot="1">
      <c r="A37" s="1258" t="s">
        <v>348</v>
      </c>
      <c r="B37" s="305"/>
      <c r="C37" s="292"/>
      <c r="D37" s="292"/>
      <c r="E37" s="293"/>
      <c r="F37" s="309"/>
      <c r="G37" s="309"/>
      <c r="H37" s="309"/>
      <c r="I37" s="309"/>
      <c r="J37" s="2030"/>
      <c r="K37" s="3377"/>
      <c r="L37" s="3377"/>
      <c r="M37" s="1265"/>
      <c r="N37" s="3377"/>
      <c r="O37" s="3377"/>
      <c r="P37" s="2028"/>
      <c r="V37" s="2028"/>
    </row>
    <row r="38" spans="1:26" ht="16.5" customHeight="1" thickBot="1">
      <c r="A38" s="1258" t="s">
        <v>349</v>
      </c>
      <c r="B38" s="305"/>
      <c r="C38" s="292"/>
      <c r="D38" s="292"/>
      <c r="E38" s="293"/>
      <c r="F38" s="309"/>
      <c r="G38" s="309"/>
      <c r="H38" s="309"/>
      <c r="I38" s="309"/>
      <c r="J38" s="2030"/>
      <c r="K38" s="1266">
        <f>'数据-汇总表'!D3</f>
        <v>2079.0700000000002</v>
      </c>
      <c r="L38" s="1267">
        <f>'数据-汇总表'!E3</f>
        <v>10000</v>
      </c>
      <c r="M38" s="1267">
        <f ca="1">C34</f>
        <v>160504</v>
      </c>
      <c r="N38" s="1267">
        <f ca="1">C33</f>
        <v>33370</v>
      </c>
      <c r="O38" s="1268">
        <f ca="1">C32</f>
        <v>33370</v>
      </c>
      <c r="P38" s="2028"/>
      <c r="V38" s="2028"/>
    </row>
    <row r="39" spans="1:26" ht="16.5" customHeight="1" thickBot="1">
      <c r="A39" s="1263"/>
      <c r="B39" s="306"/>
      <c r="C39" s="307"/>
      <c r="D39" s="307"/>
      <c r="E39" s="308"/>
      <c r="F39" s="309"/>
      <c r="G39" s="309"/>
      <c r="H39" s="309"/>
      <c r="I39" s="309"/>
      <c r="J39" s="2030"/>
      <c r="K39" s="3420" t="str">
        <f>MID(A44,3,LEN(A44)-2)</f>
        <v/>
      </c>
      <c r="L39" s="3421"/>
      <c r="M39" s="3421"/>
      <c r="N39" s="3422"/>
      <c r="O39" s="1391" t="str">
        <f>C44</f>
        <v>——</v>
      </c>
      <c r="P39" s="2028"/>
      <c r="V39" s="2028"/>
    </row>
    <row r="40" spans="1:26" ht="19.5" thickBot="1">
      <c r="A40" s="102" t="s">
        <v>873</v>
      </c>
      <c r="B40" s="309"/>
      <c r="C40" s="309"/>
      <c r="D40" s="309"/>
      <c r="E40" s="309"/>
      <c r="F40" s="309"/>
      <c r="G40" s="309"/>
      <c r="H40" s="309"/>
      <c r="I40" s="309"/>
      <c r="J40" s="2030"/>
      <c r="K40" s="3420" t="str">
        <f t="shared" ref="K40:K41" si="0">MID(A45,3,LEN(A45)-2)</f>
        <v/>
      </c>
      <c r="L40" s="3421"/>
      <c r="M40" s="3421"/>
      <c r="N40" s="3422"/>
      <c r="O40" s="1391" t="str">
        <f>C45</f>
        <v>——</v>
      </c>
      <c r="P40" s="2028"/>
      <c r="V40" s="2028"/>
    </row>
    <row r="41" spans="1:26" ht="16.5" thickBot="1">
      <c r="A41" s="310" t="s">
        <v>356</v>
      </c>
      <c r="B41" s="311"/>
      <c r="C41" s="312" t="s">
        <v>357</v>
      </c>
      <c r="D41" s="313" t="s">
        <v>358</v>
      </c>
      <c r="E41" s="313" t="s">
        <v>359</v>
      </c>
      <c r="F41" s="314" t="s">
        <v>360</v>
      </c>
      <c r="G41" s="309"/>
      <c r="H41" s="309"/>
      <c r="I41" s="309"/>
      <c r="J41" s="2030"/>
      <c r="K41" s="3420" t="str">
        <f t="shared" si="0"/>
        <v/>
      </c>
      <c r="L41" s="3421"/>
      <c r="M41" s="3421"/>
      <c r="N41" s="3422"/>
      <c r="O41" s="1391" t="str">
        <f>C46</f>
        <v>——</v>
      </c>
      <c r="P41" s="2028"/>
      <c r="V41" s="2028"/>
    </row>
    <row r="42" spans="1:26" ht="29.25">
      <c r="A42" s="3362" t="s">
        <v>2070</v>
      </c>
      <c r="B42" s="3363"/>
      <c r="C42" s="262">
        <f ca="1">C32</f>
        <v>33370</v>
      </c>
      <c r="D42" s="315">
        <f ca="1">C33</f>
        <v>33370</v>
      </c>
      <c r="E42" s="315">
        <f ca="1">C34</f>
        <v>160504</v>
      </c>
      <c r="F42" s="316">
        <f ca="1">C35</f>
        <v>10700</v>
      </c>
      <c r="G42" s="309"/>
      <c r="H42" s="309"/>
      <c r="I42" s="317"/>
      <c r="J42" s="2030"/>
      <c r="K42" s="1269" t="s">
        <v>361</v>
      </c>
      <c r="L42" s="2047" t="s">
        <v>362</v>
      </c>
      <c r="M42" s="1270" t="s">
        <v>363</v>
      </c>
      <c r="N42" s="2048" t="s">
        <v>364</v>
      </c>
      <c r="O42" s="2049" t="s">
        <v>365</v>
      </c>
      <c r="P42" s="2028"/>
      <c r="V42" s="2028"/>
    </row>
    <row r="43" spans="1:26" ht="18">
      <c r="A43" s="3373" t="s">
        <v>2734</v>
      </c>
      <c r="B43" s="3374"/>
      <c r="C43" s="262">
        <f>IF(H33="正常操作",G33+G34+G35,G34+G35)</f>
        <v>0</v>
      </c>
      <c r="D43" s="315" t="s">
        <v>43</v>
      </c>
      <c r="E43" s="315" t="s">
        <v>44</v>
      </c>
      <c r="F43" s="316" t="s">
        <v>44</v>
      </c>
      <c r="G43" s="2888" t="s">
        <v>952</v>
      </c>
      <c r="H43" s="309"/>
      <c r="I43" s="317"/>
      <c r="J43" s="2030"/>
      <c r="K43" s="1271" t="str">
        <f>C4</f>
        <v>剩余法-现房</v>
      </c>
      <c r="L43" s="1272">
        <f ca="1">IF(L42="估价结果/万元",C19,C20)</f>
        <v>29571.44808030401</v>
      </c>
      <c r="M43" s="1273">
        <f>C18</f>
        <v>0.4</v>
      </c>
      <c r="N43" s="1274">
        <f ca="1">IF(N42="测算结果/万元",G19,G20)</f>
        <v>33370</v>
      </c>
      <c r="O43" s="1275">
        <f ca="1">IF(O42="最终结果/万元",C32,C33)</f>
        <v>33370</v>
      </c>
      <c r="P43" s="2028"/>
      <c r="V43" s="2028"/>
    </row>
    <row r="44" spans="1:26" ht="18.75" thickBot="1">
      <c r="A44" s="3362" t="str">
        <f>IF(OR(项目基本情况!E8="抵押价格",项目基本情况!E8="已注销及未注销"),"3.抵押价格","——")</f>
        <v>——</v>
      </c>
      <c r="B44" s="3363"/>
      <c r="C44" s="262" t="str">
        <f>IF(A44="——","——",C42-C43)</f>
        <v>——</v>
      </c>
      <c r="D44" s="315" t="e">
        <f>ROUND(C44*10000/'数据-汇总表'!E3,0)</f>
        <v>#VALUE!</v>
      </c>
      <c r="E44" s="315" t="e">
        <f>ROUND(C44*10000/'数据-汇总表'!D3,0)</f>
        <v>#VALUE!</v>
      </c>
      <c r="F44" s="316" t="e">
        <f>ROUND(C44/('数据-汇总表'!D3/666.67),0)</f>
        <v>#VALUE!</v>
      </c>
      <c r="G44" s="309"/>
      <c r="H44" s="309"/>
      <c r="I44" s="317"/>
      <c r="J44" s="2030"/>
      <c r="K44" s="1276" t="str">
        <f>D4</f>
        <v>基准地价</v>
      </c>
      <c r="L44" s="1277">
        <f ca="1">IF(L42="估价结果/万元",D19,D20)</f>
        <v>35903</v>
      </c>
      <c r="M44" s="1278">
        <f>D18</f>
        <v>0.6</v>
      </c>
      <c r="N44" s="1279"/>
      <c r="O44" s="1280"/>
      <c r="P44" s="2028"/>
      <c r="V44" s="2028"/>
    </row>
    <row r="45" spans="1:26" ht="15">
      <c r="A45" s="3368" t="str">
        <f>IF(项目基本情况!E8="已注销及未注销","4.抵押担保权已注销时的抵押价格",IF(项目基本情况!E8="已注销","3.抵押担保权已注销时的抵押价格","——"))</f>
        <v>——</v>
      </c>
      <c r="B45" s="3369"/>
      <c r="C45" s="180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30"/>
      <c r="K45" s="2028"/>
      <c r="L45" s="2028"/>
      <c r="M45" s="2028"/>
      <c r="N45" s="2028"/>
      <c r="O45" s="2028"/>
      <c r="P45" s="2028"/>
      <c r="V45" s="2028"/>
    </row>
    <row r="46" spans="1:26" ht="15.75" thickBot="1">
      <c r="A46" s="3364" t="str">
        <f>IF(项目基本情况!E9="抵押净值",IF(A45="——","4.抵押净值","5.抵押净值"),"——")</f>
        <v>——</v>
      </c>
      <c r="B46" s="3365"/>
      <c r="C46" s="318" t="str">
        <f>IF(A46="——","——",O79)</f>
        <v>——</v>
      </c>
      <c r="D46" s="315" t="e">
        <f>ROUND(C46*10000/'数据-汇总表'!E3,0)</f>
        <v>#VALUE!</v>
      </c>
      <c r="E46" s="315" t="e">
        <f>ROUND(C46*10000/'数据-汇总表'!D3,0)</f>
        <v>#VALUE!</v>
      </c>
      <c r="F46" s="316" t="e">
        <f>ROUND(C46/('数据-汇总表'!D3/666.67),0)</f>
        <v>#VALUE!</v>
      </c>
      <c r="G46" s="309"/>
      <c r="H46" s="309"/>
      <c r="I46" s="317"/>
      <c r="J46" s="2030"/>
      <c r="K46" s="2028"/>
      <c r="L46" s="2028"/>
      <c r="M46" s="2028"/>
      <c r="N46" s="2028"/>
      <c r="O46" s="2028"/>
      <c r="P46" s="2028"/>
      <c r="Q46" s="2028"/>
      <c r="R46" s="2028"/>
      <c r="S46" s="2028"/>
      <c r="T46" s="2028"/>
      <c r="U46" s="2028"/>
      <c r="V46" s="2028"/>
    </row>
    <row r="47" spans="1:26" ht="15.75">
      <c r="A47" s="319" t="s">
        <v>366</v>
      </c>
      <c r="B47" s="1281"/>
      <c r="C47" s="320" t="s">
        <v>367</v>
      </c>
      <c r="D47" s="321"/>
      <c r="E47" s="321"/>
      <c r="F47" s="321"/>
      <c r="G47" s="322"/>
      <c r="H47" s="323"/>
      <c r="I47" s="324"/>
      <c r="J47" s="2030"/>
      <c r="K47" s="309"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5">
        <v>1</v>
      </c>
      <c r="B48" s="326"/>
      <c r="C48" s="326"/>
      <c r="D48" s="321"/>
      <c r="E48" s="321"/>
      <c r="F48" s="321"/>
      <c r="G48" s="321"/>
      <c r="H48" s="327"/>
      <c r="I48" s="328"/>
      <c r="J48" s="2030"/>
      <c r="K48" s="2028"/>
      <c r="L48" s="2028"/>
      <c r="M48" s="2028"/>
      <c r="N48" s="2028"/>
      <c r="O48" s="2028"/>
      <c r="P48" s="2028"/>
      <c r="Q48" s="2028"/>
      <c r="R48" s="2028"/>
      <c r="S48" s="2028"/>
      <c r="T48" s="2028"/>
      <c r="U48" s="2028"/>
      <c r="V48" s="2028"/>
    </row>
    <row r="49" spans="1:22" ht="12.75">
      <c r="A49" s="325">
        <v>2</v>
      </c>
      <c r="B49" s="326"/>
      <c r="C49" s="326"/>
      <c r="D49" s="321"/>
      <c r="E49" s="321"/>
      <c r="F49" s="321"/>
      <c r="G49" s="321"/>
      <c r="H49" s="327"/>
      <c r="I49" s="328"/>
      <c r="J49" s="2031"/>
      <c r="K49" s="2028"/>
      <c r="L49" s="2028"/>
      <c r="M49" s="2028"/>
      <c r="N49" s="2028"/>
      <c r="O49" s="2028"/>
      <c r="P49" s="2028"/>
      <c r="Q49" s="2028"/>
      <c r="R49" s="2028"/>
      <c r="S49" s="2028"/>
      <c r="T49" s="2028"/>
      <c r="U49" s="2028"/>
      <c r="V49" s="2028"/>
    </row>
    <row r="50" spans="1:22" ht="12.75">
      <c r="A50" s="325">
        <v>3</v>
      </c>
      <c r="B50" s="326"/>
      <c r="C50" s="326"/>
      <c r="D50" s="321"/>
      <c r="E50" s="321"/>
      <c r="F50" s="321"/>
      <c r="G50" s="321"/>
      <c r="H50" s="327"/>
      <c r="I50" s="328"/>
      <c r="J50" s="2031"/>
      <c r="K50" s="2028"/>
      <c r="L50" s="2028"/>
      <c r="M50" s="2028"/>
      <c r="N50" s="2028"/>
      <c r="O50" s="2028"/>
      <c r="P50" s="2028"/>
      <c r="Q50" s="2028"/>
      <c r="R50" s="2028"/>
      <c r="S50" s="2028"/>
      <c r="T50" s="2028"/>
      <c r="U50" s="2028"/>
      <c r="V50" s="2028"/>
    </row>
    <row r="51" spans="1:22" ht="12.75">
      <c r="A51" s="329"/>
      <c r="B51" s="330"/>
      <c r="C51" s="330"/>
      <c r="D51" s="331"/>
      <c r="E51" s="331"/>
      <c r="F51" s="331"/>
      <c r="G51" s="331"/>
      <c r="H51" s="332"/>
      <c r="I51" s="333"/>
      <c r="J51" s="2031"/>
      <c r="K51" s="2028"/>
      <c r="L51" s="2028"/>
      <c r="M51" s="2028"/>
      <c r="N51" s="2028"/>
      <c r="O51" s="2028"/>
      <c r="P51" s="2028"/>
      <c r="Q51" s="2028"/>
      <c r="R51" s="2028"/>
      <c r="S51" s="2028"/>
      <c r="T51" s="2028"/>
      <c r="U51" s="2028"/>
      <c r="V51" s="2028"/>
    </row>
    <row r="52" spans="1:22" ht="12.75">
      <c r="A52" s="326"/>
      <c r="B52" s="326"/>
      <c r="C52" s="326"/>
      <c r="D52" s="321"/>
      <c r="E52" s="321"/>
      <c r="F52" s="321"/>
      <c r="G52" s="321"/>
      <c r="H52" s="327"/>
      <c r="I52" s="255"/>
      <c r="J52" s="2031"/>
      <c r="K52" s="2028"/>
      <c r="L52" s="2028"/>
      <c r="M52" s="2028"/>
      <c r="N52" s="2028"/>
      <c r="O52" s="2028"/>
      <c r="P52" s="2028"/>
      <c r="Q52" s="2028"/>
      <c r="R52" s="2028"/>
      <c r="S52" s="2028"/>
      <c r="T52" s="2028"/>
      <c r="U52" s="2028"/>
      <c r="V52" s="2028"/>
    </row>
    <row r="53" spans="1:22" ht="12.75">
      <c r="A53" s="255"/>
      <c r="B53" s="255"/>
      <c r="C53" s="255"/>
      <c r="D53" s="255"/>
      <c r="E53" s="255"/>
      <c r="F53" s="334" t="s">
        <v>368</v>
      </c>
      <c r="G53" s="335"/>
      <c r="H53" s="335"/>
      <c r="I53" s="336" t="s">
        <v>369</v>
      </c>
      <c r="J53" s="2031"/>
      <c r="K53" s="2028"/>
      <c r="L53" s="2028"/>
      <c r="M53" s="2028"/>
      <c r="N53" s="2028"/>
      <c r="O53" s="2028"/>
      <c r="P53" s="2028"/>
      <c r="Q53" s="2028"/>
      <c r="R53" s="2028"/>
      <c r="S53" s="2028"/>
      <c r="T53" s="2028"/>
      <c r="U53" s="2028"/>
      <c r="V53" s="2028"/>
    </row>
    <row r="54" spans="1:22" ht="12.75">
      <c r="A54" s="255"/>
      <c r="B54" s="337" t="s">
        <v>370</v>
      </c>
      <c r="C54" s="255"/>
      <c r="D54" s="255"/>
      <c r="E54" s="255"/>
      <c r="F54" s="255"/>
      <c r="G54" s="255"/>
      <c r="H54" s="255"/>
      <c r="I54" s="255"/>
      <c r="J54" s="2031"/>
      <c r="K54" s="2028"/>
      <c r="L54" s="2028"/>
      <c r="M54" s="2028"/>
      <c r="N54" s="2028"/>
      <c r="O54" s="2028"/>
      <c r="P54" s="2028"/>
      <c r="Q54" s="2028"/>
      <c r="R54" s="2028"/>
      <c r="S54" s="2028"/>
      <c r="T54" s="2028"/>
      <c r="U54" s="2028"/>
      <c r="V54" s="2028"/>
    </row>
    <row r="55" spans="1:22" ht="12.75">
      <c r="A55" s="255"/>
      <c r="B55" s="255"/>
      <c r="C55" s="255"/>
      <c r="D55" s="255"/>
      <c r="E55" s="255"/>
      <c r="F55" s="255"/>
      <c r="G55" s="255"/>
      <c r="H55" s="255"/>
      <c r="I55" s="255"/>
      <c r="J55" s="2031"/>
      <c r="K55" s="2028"/>
      <c r="L55" s="2028"/>
      <c r="M55" s="2028"/>
      <c r="N55" s="2028"/>
      <c r="O55" s="2028"/>
      <c r="P55" s="2028"/>
      <c r="Q55" s="2028"/>
      <c r="R55" s="2028"/>
      <c r="S55" s="2028"/>
      <c r="T55" s="2028"/>
      <c r="U55" s="2028"/>
      <c r="V55" s="2028"/>
    </row>
    <row r="56" spans="1:22" ht="12.75">
      <c r="A56" s="255"/>
      <c r="B56" s="335"/>
      <c r="C56" s="335"/>
      <c r="D56" s="335"/>
      <c r="E56" s="335"/>
      <c r="F56" s="335"/>
      <c r="G56" s="335"/>
      <c r="H56" s="335"/>
      <c r="I56" s="336" t="s">
        <v>371</v>
      </c>
      <c r="J56" s="2031"/>
      <c r="K56" s="2028"/>
      <c r="L56" s="2028"/>
      <c r="M56" s="2028"/>
      <c r="N56" s="2028"/>
      <c r="O56" s="2028"/>
      <c r="P56" s="2028"/>
      <c r="Q56" s="2028"/>
      <c r="R56" s="2028"/>
      <c r="S56" s="2028"/>
      <c r="T56" s="2028"/>
      <c r="U56" s="2028"/>
      <c r="V56" s="2028"/>
    </row>
    <row r="57" spans="1:22" ht="12.75">
      <c r="A57" s="255"/>
      <c r="B57" s="337" t="s">
        <v>372</v>
      </c>
      <c r="C57" s="255"/>
      <c r="D57" s="255"/>
      <c r="E57" s="255"/>
      <c r="F57" s="255"/>
      <c r="G57" s="255"/>
      <c r="H57" s="255"/>
      <c r="I57" s="255"/>
      <c r="J57" s="2031"/>
      <c r="K57" s="2028"/>
      <c r="L57" s="2028"/>
      <c r="M57" s="2028"/>
      <c r="N57" s="2028"/>
      <c r="O57" s="2028"/>
      <c r="P57" s="2028"/>
      <c r="Q57" s="2028"/>
      <c r="R57" s="2028"/>
      <c r="S57" s="2028"/>
      <c r="T57" s="2028"/>
      <c r="U57" s="2028"/>
      <c r="V57" s="2028"/>
    </row>
    <row r="58" spans="1:22" ht="12.75">
      <c r="A58" s="255"/>
      <c r="B58" s="337"/>
      <c r="C58" s="255"/>
      <c r="D58" s="255"/>
      <c r="E58" s="255"/>
      <c r="F58" s="255"/>
      <c r="G58" s="255"/>
      <c r="H58" s="255"/>
      <c r="I58" s="255"/>
      <c r="J58" s="2031"/>
      <c r="K58" s="2028"/>
      <c r="L58" s="2028"/>
      <c r="M58" s="2028"/>
      <c r="N58" s="2028"/>
      <c r="O58" s="2028"/>
      <c r="P58" s="2028"/>
      <c r="Q58" s="2028"/>
      <c r="R58" s="2028"/>
      <c r="S58" s="2028"/>
      <c r="T58" s="2028"/>
      <c r="U58" s="2028"/>
      <c r="V58" s="2028"/>
    </row>
    <row r="59" spans="1:22" ht="12.75">
      <c r="A59" s="255"/>
      <c r="B59" s="335"/>
      <c r="C59" s="335"/>
      <c r="D59" s="335"/>
      <c r="E59" s="335"/>
      <c r="F59" s="335"/>
      <c r="G59" s="335"/>
      <c r="H59" s="335"/>
      <c r="I59" s="336" t="s">
        <v>371</v>
      </c>
      <c r="J59" s="2031"/>
      <c r="K59" s="2028"/>
      <c r="L59" s="2028"/>
      <c r="M59" s="2028"/>
      <c r="N59" s="2028"/>
      <c r="O59" s="2028"/>
      <c r="P59" s="2028"/>
      <c r="Q59" s="2028"/>
      <c r="R59" s="2028"/>
      <c r="S59" s="2028"/>
      <c r="T59" s="2028"/>
      <c r="U59" s="2028"/>
      <c r="V59" s="2028"/>
    </row>
    <row r="60" spans="1:22" ht="12.75">
      <c r="A60" s="255"/>
      <c r="B60" s="255"/>
      <c r="C60" s="255"/>
      <c r="D60" s="255"/>
      <c r="E60" s="255"/>
      <c r="F60" s="255"/>
      <c r="G60" s="255"/>
      <c r="H60" s="255"/>
      <c r="I60" s="255"/>
      <c r="J60" s="2031"/>
      <c r="K60" s="2028"/>
      <c r="L60" s="2028"/>
      <c r="M60" s="2028"/>
      <c r="N60" s="2028"/>
      <c r="O60" s="2028"/>
      <c r="P60" s="2028"/>
      <c r="Q60" s="2028"/>
      <c r="R60" s="2028"/>
      <c r="S60" s="2028"/>
      <c r="T60" s="2028"/>
      <c r="U60" s="2028"/>
      <c r="V60" s="2028"/>
    </row>
    <row r="61" spans="1:22" ht="12.75">
      <c r="A61" s="255"/>
      <c r="B61" s="337"/>
      <c r="C61" s="338"/>
      <c r="D61" s="214"/>
      <c r="E61" s="214"/>
      <c r="F61" s="251"/>
      <c r="G61" s="255"/>
      <c r="H61" s="255"/>
      <c r="I61" s="255"/>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409" t="s">
        <v>374</v>
      </c>
      <c r="B63" s="3410"/>
      <c r="C63" s="3411"/>
      <c r="D63" s="339">
        <f ca="1">ROUND(C42*F63,0)</f>
        <v>20022</v>
      </c>
      <c r="E63" s="300" t="s">
        <v>375</v>
      </c>
      <c r="F63" s="340">
        <v>0.6</v>
      </c>
      <c r="G63" s="341" t="s">
        <v>376</v>
      </c>
      <c r="H63" s="309"/>
      <c r="I63" s="309"/>
      <c r="J63" s="2028"/>
      <c r="K63" s="2028"/>
      <c r="L63" s="2028"/>
      <c r="M63" s="2028"/>
      <c r="N63" s="2028"/>
      <c r="O63" s="2028"/>
      <c r="P63" s="309"/>
      <c r="Q63" s="2028"/>
      <c r="R63" s="2028"/>
      <c r="S63" s="2028"/>
      <c r="T63" s="2028"/>
      <c r="U63" s="2028"/>
      <c r="V63" s="2028"/>
    </row>
    <row r="64" spans="1:22" ht="14.25" customHeight="1">
      <c r="A64" s="3370" t="s">
        <v>378</v>
      </c>
      <c r="B64" s="3371"/>
      <c r="C64" s="3371"/>
      <c r="D64" s="3371"/>
      <c r="E64" s="3371"/>
      <c r="F64" s="3371"/>
      <c r="G64" s="3372"/>
      <c r="H64" s="1286"/>
      <c r="I64" s="946"/>
      <c r="J64" s="1990"/>
      <c r="K64" s="1560" t="s">
        <v>377</v>
      </c>
      <c r="L64" s="11"/>
      <c r="M64" s="11"/>
      <c r="N64" s="11"/>
      <c r="O64" s="11"/>
      <c r="P64" s="309"/>
      <c r="Q64" s="2028"/>
      <c r="R64" s="2028"/>
      <c r="S64" s="2028"/>
      <c r="T64" s="2028"/>
      <c r="U64" s="2028"/>
      <c r="V64" s="2028"/>
    </row>
    <row r="65" spans="1:22" ht="12" customHeight="1">
      <c r="A65" s="342" t="s">
        <v>380</v>
      </c>
      <c r="B65" s="343"/>
      <c r="C65" s="344"/>
      <c r="D65" s="345" t="s">
        <v>381</v>
      </c>
      <c r="E65" s="51" t="s">
        <v>382</v>
      </c>
      <c r="F65" s="346" t="s">
        <v>383</v>
      </c>
      <c r="G65" s="347" t="s">
        <v>384</v>
      </c>
      <c r="H65" s="1286"/>
      <c r="I65" s="946"/>
      <c r="J65" s="1990"/>
      <c r="K65" s="1287"/>
      <c r="L65" s="1288"/>
      <c r="M65" s="1288"/>
      <c r="N65" s="1320" t="s">
        <v>379</v>
      </c>
      <c r="O65" s="1321"/>
      <c r="P65" s="1322"/>
      <c r="Q65" s="2028"/>
      <c r="R65" s="2028"/>
      <c r="S65" s="2028"/>
      <c r="T65" s="2028"/>
      <c r="U65" s="2028"/>
      <c r="V65" s="2028"/>
    </row>
    <row r="66" spans="1:22" ht="25.5">
      <c r="A66" s="3366" t="s">
        <v>386</v>
      </c>
      <c r="B66" s="3367"/>
      <c r="C66" s="3367"/>
      <c r="D66" s="259">
        <f ca="1">IF(H66="情况1",0,IF(H66="情况2",D70,IF(H66="情况3",D71,IF(H66="情况4",D72))))</f>
        <v>1068</v>
      </c>
      <c r="E66" s="991" t="str">
        <f>IF(H66="情况4","(销售额-原购置价)×税（费）率","销售额×税（费）率")</f>
        <v>销售额×税（费）率</v>
      </c>
      <c r="F66" s="348">
        <f>IF(H66="情况1","免征",'数据-取费表'!B41)</f>
        <v>5.6000000000000001E-2</v>
      </c>
      <c r="G66" s="349" t="s">
        <v>387</v>
      </c>
      <c r="H66" s="189" t="s">
        <v>388</v>
      </c>
      <c r="I66" s="1286"/>
      <c r="J66" s="2034"/>
      <c r="K66" s="1289">
        <v>1</v>
      </c>
      <c r="L66" s="3424" t="s">
        <v>385</v>
      </c>
      <c r="M66" s="3425"/>
      <c r="N66" s="2480"/>
      <c r="O66" s="2481"/>
      <c r="P66" s="2482"/>
      <c r="Q66" s="2028"/>
      <c r="R66" s="2028"/>
      <c r="S66" s="2028"/>
      <c r="T66" s="2028"/>
      <c r="U66" s="2028"/>
      <c r="V66" s="2028"/>
    </row>
    <row r="67" spans="1:22" ht="25.5" customHeight="1">
      <c r="A67" s="350" t="s">
        <v>390</v>
      </c>
      <c r="B67" s="3357" t="s">
        <v>391</v>
      </c>
      <c r="C67" s="3357"/>
      <c r="D67" s="351">
        <v>0</v>
      </c>
      <c r="E67" s="39" t="s">
        <v>392</v>
      </c>
      <c r="F67" s="60" t="s">
        <v>21</v>
      </c>
      <c r="G67" s="3412"/>
      <c r="H67" s="309"/>
      <c r="I67" s="1290"/>
      <c r="J67" s="2035"/>
      <c r="K67" s="1976">
        <v>2</v>
      </c>
      <c r="L67" s="3423" t="s">
        <v>389</v>
      </c>
      <c r="M67" s="3423"/>
      <c r="N67" s="1323">
        <f>'数据-取费表'!B2</f>
        <v>43230</v>
      </c>
      <c r="O67" s="1323"/>
      <c r="P67" s="1323"/>
      <c r="Q67" s="2028"/>
      <c r="R67" s="2028"/>
      <c r="S67" s="2028"/>
      <c r="T67" s="2028"/>
      <c r="U67" s="2028"/>
      <c r="V67" s="2028"/>
    </row>
    <row r="68" spans="1:22" ht="25.5" customHeight="1">
      <c r="A68" s="352"/>
      <c r="B68" s="3357" t="s">
        <v>394</v>
      </c>
      <c r="C68" s="3357"/>
      <c r="D68" s="353"/>
      <c r="E68" s="75"/>
      <c r="F68" s="354"/>
      <c r="G68" s="3413"/>
      <c r="H68" s="309"/>
      <c r="I68" s="1290"/>
      <c r="J68" s="2035"/>
      <c r="K68" s="1976">
        <v>3</v>
      </c>
      <c r="L68" s="3423" t="s">
        <v>393</v>
      </c>
      <c r="M68" s="3423"/>
      <c r="N68" s="1291">
        <f ca="1">C42</f>
        <v>33370</v>
      </c>
      <c r="O68" s="1291"/>
      <c r="P68" s="1291"/>
      <c r="Q68" s="2028"/>
      <c r="R68" s="2028"/>
      <c r="S68" s="2028"/>
      <c r="T68" s="2028"/>
      <c r="U68" s="2028"/>
      <c r="V68" s="2028"/>
    </row>
    <row r="69" spans="1:22" ht="12" customHeight="1">
      <c r="A69" s="355"/>
      <c r="B69" s="3357" t="s">
        <v>395</v>
      </c>
      <c r="C69" s="3357"/>
      <c r="D69" s="356"/>
      <c r="E69" s="71"/>
      <c r="F69" s="354"/>
      <c r="G69" s="3414"/>
      <c r="H69" s="309"/>
      <c r="I69" s="1290"/>
      <c r="J69" s="2035"/>
      <c r="K69" s="1292">
        <v>4</v>
      </c>
      <c r="L69" s="3428" t="s">
        <v>2885</v>
      </c>
      <c r="M69" s="3429"/>
      <c r="N69" s="1293" t="str">
        <f>C44</f>
        <v>——</v>
      </c>
      <c r="O69" s="1293"/>
      <c r="P69" s="1293"/>
      <c r="Q69" s="2028"/>
      <c r="R69" s="2028"/>
      <c r="S69" s="2028"/>
      <c r="T69" s="2028"/>
      <c r="U69" s="2028"/>
      <c r="V69" s="2028"/>
    </row>
    <row r="70" spans="1:22" ht="24" customHeight="1">
      <c r="A70" s="357" t="s">
        <v>396</v>
      </c>
      <c r="B70" s="3357" t="s">
        <v>397</v>
      </c>
      <c r="C70" s="3357"/>
      <c r="D70" s="356">
        <f ca="1">ROUND(D63*'数据-取费表'!B41/(1+'数据-取费表'!C42),0)</f>
        <v>1068</v>
      </c>
      <c r="E70" s="16" t="s">
        <v>398</v>
      </c>
      <c r="F70" s="358">
        <f>'数据-取费表'!B41</f>
        <v>5.6000000000000001E-2</v>
      </c>
      <c r="G70" s="359"/>
      <c r="H70" s="309"/>
      <c r="I70" s="1290"/>
      <c r="J70" s="2035"/>
      <c r="K70" s="3084"/>
      <c r="L70" s="3085"/>
      <c r="M70" s="3085"/>
      <c r="N70" s="3086" t="s">
        <v>2890</v>
      </c>
      <c r="O70" s="3085"/>
      <c r="P70" s="3087"/>
      <c r="Q70" s="2028"/>
      <c r="R70" s="2028"/>
      <c r="S70" s="2028"/>
      <c r="T70" s="2028"/>
      <c r="U70" s="2028"/>
      <c r="V70" s="2028"/>
    </row>
    <row r="71" spans="1:22" ht="12" customHeight="1">
      <c r="A71" s="357" t="s">
        <v>404</v>
      </c>
      <c r="B71" s="3358" t="s">
        <v>405</v>
      </c>
      <c r="C71" s="3359"/>
      <c r="D71" s="356">
        <f ca="1">ROUND(D63*'数据-取费表'!B41/(1+'数据-取费表'!C42),0)</f>
        <v>1068</v>
      </c>
      <c r="E71" s="16" t="s">
        <v>398</v>
      </c>
      <c r="F71" s="358">
        <f>'数据-取费表'!B41</f>
        <v>5.6000000000000001E-2</v>
      </c>
      <c r="G71" s="359"/>
      <c r="H71" s="309"/>
      <c r="I71" s="1290"/>
      <c r="J71" s="2035"/>
      <c r="K71" s="3083" t="s">
        <v>399</v>
      </c>
      <c r="L71" s="3430" t="s">
        <v>400</v>
      </c>
      <c r="M71" s="3430"/>
      <c r="N71" s="3083" t="s">
        <v>401</v>
      </c>
      <c r="O71" s="3083" t="s">
        <v>402</v>
      </c>
      <c r="P71" s="3083" t="s">
        <v>403</v>
      </c>
      <c r="Q71" s="2028"/>
      <c r="R71" s="2028"/>
      <c r="S71" s="2028"/>
      <c r="T71" s="2028"/>
      <c r="U71" s="2028"/>
      <c r="V71" s="2028"/>
    </row>
    <row r="72" spans="1:22" ht="12" customHeight="1">
      <c r="A72" s="357" t="s">
        <v>407</v>
      </c>
      <c r="B72" s="3358" t="s">
        <v>408</v>
      </c>
      <c r="C72" s="3359"/>
      <c r="D72" s="356">
        <f ca="1">C86</f>
        <v>956</v>
      </c>
      <c r="E72" s="71" t="s">
        <v>409</v>
      </c>
      <c r="F72" s="358">
        <f>'数据-取费表'!B41</f>
        <v>5.6000000000000001E-2</v>
      </c>
      <c r="G72" s="359"/>
      <c r="H72" s="1296"/>
      <c r="I72" s="1290"/>
      <c r="J72" s="2035"/>
      <c r="K72" s="1976">
        <v>1</v>
      </c>
      <c r="L72" s="3405" t="s">
        <v>406</v>
      </c>
      <c r="M72" s="3405"/>
      <c r="N72" s="1294">
        <f ca="1">D66</f>
        <v>1068</v>
      </c>
      <c r="O72" s="1859" t="str">
        <f>E66</f>
        <v>销售额×税（费）率</v>
      </c>
      <c r="P72" s="1295">
        <f>F66</f>
        <v>5.6000000000000001E-2</v>
      </c>
      <c r="Q72" s="2028"/>
      <c r="R72" s="2028"/>
      <c r="S72" s="2028"/>
      <c r="T72" s="2028"/>
      <c r="U72" s="2028"/>
      <c r="V72" s="2028"/>
    </row>
    <row r="73" spans="1:22" ht="24" customHeight="1">
      <c r="A73" s="3399" t="s">
        <v>411</v>
      </c>
      <c r="B73" s="3367"/>
      <c r="C73" s="3367"/>
      <c r="D73" s="360">
        <f>IF(H73="个人住宅",0,ROUND(D63*I73,0))</f>
        <v>0</v>
      </c>
      <c r="E73" s="16" t="s">
        <v>412</v>
      </c>
      <c r="F73" s="358" t="str">
        <f>IF(H73="正常",I73,"免征")</f>
        <v>免征</v>
      </c>
      <c r="G73" s="359"/>
      <c r="H73" s="189" t="s">
        <v>2459</v>
      </c>
      <c r="I73" s="358">
        <f>'数据-取费表'!B49</f>
        <v>5.0000000000000001E-4</v>
      </c>
      <c r="J73" s="2035"/>
      <c r="K73" s="1976">
        <v>2</v>
      </c>
      <c r="L73" s="3405" t="s">
        <v>410</v>
      </c>
      <c r="M73" s="3405"/>
      <c r="N73" s="1294">
        <f t="shared" ref="N73:P74" si="1">D73</f>
        <v>0</v>
      </c>
      <c r="O73" s="1859" t="str">
        <f t="shared" si="1"/>
        <v>销售额×税（费）率</v>
      </c>
      <c r="P73" s="1295" t="str">
        <f t="shared" si="1"/>
        <v>免征</v>
      </c>
      <c r="Q73" s="2028"/>
      <c r="R73" s="2028"/>
      <c r="S73" s="2028"/>
      <c r="T73" s="2028"/>
      <c r="U73" s="2028"/>
      <c r="V73" s="2028"/>
    </row>
    <row r="74" spans="1:22" ht="24.75">
      <c r="A74" s="3399" t="s">
        <v>415</v>
      </c>
      <c r="B74" s="3367"/>
      <c r="C74" s="3367"/>
      <c r="D74" s="360">
        <f ca="1">IF(H74="个人住宅",D75,D76)</f>
        <v>10678</v>
      </c>
      <c r="E74" s="16" t="s">
        <v>416</v>
      </c>
      <c r="F74" s="358" t="str">
        <f>IF(H74="正常",F76,"免征")</f>
        <v>——</v>
      </c>
      <c r="G74" s="981" t="s">
        <v>417</v>
      </c>
      <c r="H74" s="361" t="s">
        <v>413</v>
      </c>
      <c r="I74" s="40"/>
      <c r="J74" s="2035"/>
      <c r="K74" s="1976">
        <v>3</v>
      </c>
      <c r="L74" s="3405" t="s">
        <v>414</v>
      </c>
      <c r="M74" s="3405"/>
      <c r="N74" s="1294">
        <f t="shared" ca="1" si="1"/>
        <v>10678</v>
      </c>
      <c r="O74" s="1859" t="str">
        <f t="shared" si="1"/>
        <v>增值额×税（费）率</v>
      </c>
      <c r="P74" s="1297" t="str">
        <f t="shared" si="1"/>
        <v>——</v>
      </c>
      <c r="Q74" s="2028"/>
      <c r="R74" s="2028"/>
      <c r="S74" s="2028"/>
      <c r="T74" s="2028"/>
      <c r="U74" s="2028"/>
      <c r="V74" s="2028"/>
    </row>
    <row r="75" spans="1:22" ht="24">
      <c r="A75" s="357" t="s">
        <v>418</v>
      </c>
      <c r="B75" s="3355" t="s">
        <v>419</v>
      </c>
      <c r="C75" s="3385"/>
      <c r="D75" s="362">
        <v>0</v>
      </c>
      <c r="E75" s="39" t="s">
        <v>420</v>
      </c>
      <c r="F75" s="363"/>
      <c r="G75" s="359"/>
      <c r="H75" s="40"/>
      <c r="I75" s="40"/>
      <c r="J75" s="2035"/>
      <c r="K75" s="3076">
        <f>IF(H77="非个人房产","",4)</f>
        <v>4</v>
      </c>
      <c r="L75" s="3405" t="str">
        <f>IF(H77="非个人房产","——","个人所得税")</f>
        <v>个人所得税</v>
      </c>
      <c r="M75" s="3405"/>
      <c r="N75" s="1298">
        <f ca="1">D77</f>
        <v>200</v>
      </c>
      <c r="O75" s="1872" t="str">
        <f>E77</f>
        <v>销售额×税（费）率</v>
      </c>
      <c r="P75" s="1299">
        <f>F77</f>
        <v>0.01</v>
      </c>
      <c r="Q75" s="2028"/>
      <c r="R75" s="2028"/>
      <c r="S75" s="2028"/>
      <c r="T75" s="2028"/>
      <c r="U75" s="2028"/>
      <c r="V75" s="2028"/>
    </row>
    <row r="76" spans="1:22" ht="24.75">
      <c r="A76" s="357" t="s">
        <v>396</v>
      </c>
      <c r="B76" s="3355" t="s">
        <v>422</v>
      </c>
      <c r="C76" s="3356"/>
      <c r="D76" s="360">
        <f ca="1">IF(H76="转让取得",C99,C115)</f>
        <v>10678</v>
      </c>
      <c r="E76" s="16" t="s">
        <v>423</v>
      </c>
      <c r="F76" s="51" t="s">
        <v>21</v>
      </c>
      <c r="G76" s="359"/>
      <c r="H76" s="361" t="s">
        <v>424</v>
      </c>
      <c r="I76" s="40"/>
      <c r="J76" s="2035"/>
      <c r="K76" s="3076" t="str">
        <f>IF(项目基本情况!K6="上海银行",IF(K75="",4,K75+1),"")</f>
        <v/>
      </c>
      <c r="L76" s="3416" t="str">
        <f>IF(项目基本情况!K6="上海银行","其他处置费用","")</f>
        <v/>
      </c>
      <c r="M76" s="3417"/>
      <c r="N76" s="1294" t="str">
        <f>IF(项目基本情况!K6="上海银行",N89,"")</f>
        <v/>
      </c>
      <c r="O76" s="3418" t="str">
        <f>IF(项目基本情况!K6="上海银行","包含处置中涉及的律师、诉讼、拍卖、评估等费用","")</f>
        <v/>
      </c>
      <c r="P76" s="3419"/>
      <c r="Q76" s="2028"/>
      <c r="R76" s="2028"/>
      <c r="S76" s="2028"/>
      <c r="T76" s="2028"/>
      <c r="U76" s="2028"/>
      <c r="V76" s="2028"/>
    </row>
    <row r="77" spans="1:22" ht="26.25" thickBot="1">
      <c r="A77" s="3407" t="s">
        <v>426</v>
      </c>
      <c r="B77" s="3408"/>
      <c r="C77" s="3408"/>
      <c r="D77" s="364">
        <f ca="1">IF(H77="非个人房产","——",IF(H77="个人住宅",0,ROUND(D63*I77,0)))</f>
        <v>200</v>
      </c>
      <c r="E77" s="365" t="str">
        <f>IF(H77="非个人房产","——","销售额×税（费）率")</f>
        <v>销售额×税（费）率</v>
      </c>
      <c r="F77" s="366">
        <f>IF(H77="非个人房产","——",IF(H77="个人住宅","免征",I77))</f>
        <v>0.01</v>
      </c>
      <c r="G77" s="982" t="s">
        <v>417</v>
      </c>
      <c r="H77" s="361" t="s">
        <v>2886</v>
      </c>
      <c r="I77" s="367">
        <v>0.01</v>
      </c>
      <c r="J77" s="2035"/>
      <c r="K77" s="3406">
        <f>IF(AND(K75="",K76=""),4,IF(项目基本情况!K6="上海银行",K76+1,K75+1))</f>
        <v>5</v>
      </c>
      <c r="L77" s="3405" t="s">
        <v>2887</v>
      </c>
      <c r="M77" s="3082" t="s">
        <v>421</v>
      </c>
      <c r="N77" s="1300"/>
      <c r="O77" s="1301">
        <f ca="1">SUMIF(N72:N76,"&lt;9e307")</f>
        <v>11946</v>
      </c>
      <c r="P77" s="1302"/>
      <c r="Q77" s="3080" t="e">
        <f ca="1">O77/N69</f>
        <v>#VALUE!</v>
      </c>
      <c r="R77" s="2028"/>
      <c r="S77" s="2028"/>
      <c r="T77" s="2028"/>
      <c r="U77" s="2028"/>
      <c r="V77" s="2028"/>
    </row>
    <row r="78" spans="1:22" ht="12" customHeight="1">
      <c r="A78" s="1303"/>
      <c r="B78" s="309"/>
      <c r="C78" s="309"/>
      <c r="D78" s="309"/>
      <c r="E78" s="40"/>
      <c r="F78" s="40"/>
      <c r="G78" s="40"/>
      <c r="H78" s="1001"/>
      <c r="I78" s="309"/>
      <c r="J78" s="2035"/>
      <c r="K78" s="3406"/>
      <c r="L78" s="3405"/>
      <c r="M78" s="3082" t="s">
        <v>425</v>
      </c>
      <c r="N78" s="1300"/>
      <c r="O78" s="1301" t="str">
        <f ca="1">NUMBERSTRING(INT(O77*10000),2)&amp;"元整"</f>
        <v>壹亿壹仟玖佰肆拾陆万元整</v>
      </c>
      <c r="P78" s="1302"/>
      <c r="Q78" s="2028"/>
      <c r="R78" s="2028"/>
      <c r="S78" s="2028"/>
      <c r="T78" s="2028"/>
      <c r="U78" s="2028"/>
      <c r="V78" s="2028"/>
    </row>
    <row r="79" spans="1:22" ht="13.5" thickBot="1">
      <c r="A79" s="3400" t="s">
        <v>427</v>
      </c>
      <c r="B79" s="3400"/>
      <c r="C79" s="3400"/>
      <c r="D79" s="3400"/>
      <c r="E79" s="3400"/>
      <c r="F79" s="40"/>
      <c r="G79" s="40"/>
      <c r="H79" s="1001"/>
      <c r="I79" s="309"/>
      <c r="J79" s="2035"/>
      <c r="K79" s="3426">
        <f>K77+1</f>
        <v>6</v>
      </c>
      <c r="L79" s="3405" t="s">
        <v>2888</v>
      </c>
      <c r="M79" s="3082" t="s">
        <v>421</v>
      </c>
      <c r="N79" s="1300"/>
      <c r="O79" s="1301" t="e">
        <f ca="1">N69-O77</f>
        <v>#VALUE!</v>
      </c>
      <c r="P79" s="1302"/>
      <c r="Q79" s="2028"/>
      <c r="R79" s="2028"/>
      <c r="S79" s="2028"/>
      <c r="T79" s="2028"/>
      <c r="U79" s="2028"/>
      <c r="V79" s="2028"/>
    </row>
    <row r="80" spans="1:22" ht="12.75">
      <c r="A80" s="3395" t="s">
        <v>428</v>
      </c>
      <c r="B80" s="3396"/>
      <c r="C80" s="992"/>
      <c r="D80" s="992" t="s">
        <v>429</v>
      </c>
      <c r="E80" s="368" t="s">
        <v>430</v>
      </c>
      <c r="F80" s="40"/>
      <c r="G80" s="40"/>
      <c r="H80" s="1001"/>
      <c r="I80" s="309"/>
      <c r="J80" s="2028"/>
      <c r="K80" s="3427"/>
      <c r="L80" s="3405"/>
      <c r="M80" s="3082" t="s">
        <v>425</v>
      </c>
      <c r="N80" s="1300"/>
      <c r="O80" s="1301" t="e">
        <f ca="1">NUMBERSTRING(INT(O79*10000),2)&amp;"元整"</f>
        <v>#VALUE!</v>
      </c>
      <c r="P80" s="1302"/>
      <c r="Q80" s="2028"/>
      <c r="R80" s="2028"/>
      <c r="S80" s="2028"/>
      <c r="T80" s="2028"/>
      <c r="U80" s="2028"/>
      <c r="V80" s="2028"/>
    </row>
    <row r="81" spans="1:26" ht="13.5" thickBot="1">
      <c r="A81" s="379" t="s">
        <v>1824</v>
      </c>
      <c r="B81" s="369" t="s">
        <v>431</v>
      </c>
      <c r="C81" s="370">
        <f ca="1">ROUND((C82+C83)/(1+'数据-取费表'!C42),0)</f>
        <v>19069</v>
      </c>
      <c r="D81" s="371"/>
      <c r="E81" s="372"/>
      <c r="F81" s="40"/>
      <c r="G81" s="40"/>
      <c r="H81" s="1001"/>
      <c r="I81" s="309"/>
      <c r="J81" s="2028"/>
      <c r="K81" s="3076">
        <f>K79+1</f>
        <v>7</v>
      </c>
      <c r="L81" s="3403" t="s">
        <v>2889</v>
      </c>
      <c r="M81" s="3404"/>
      <c r="N81" s="1304"/>
      <c r="O81" s="1305" t="e">
        <f ca="1">ROUND(O79*10000/'数据-汇总表'!E3,0)</f>
        <v>#VALUE!</v>
      </c>
      <c r="P81" s="1306"/>
      <c r="Q81" s="2028"/>
      <c r="R81" s="2028"/>
      <c r="S81" s="2028"/>
      <c r="T81" s="2028"/>
      <c r="U81" s="2028"/>
      <c r="V81" s="2028"/>
    </row>
    <row r="82" spans="1:26" ht="13.5" thickTop="1">
      <c r="A82" s="373" t="s">
        <v>1825</v>
      </c>
      <c r="B82" s="374" t="s">
        <v>432</v>
      </c>
      <c r="C82" s="375">
        <f ca="1">D63</f>
        <v>20022</v>
      </c>
      <c r="D82" s="376" t="s">
        <v>19</v>
      </c>
      <c r="E82" s="377"/>
      <c r="F82" s="40"/>
      <c r="G82" s="40"/>
      <c r="H82" s="1001"/>
      <c r="I82" s="309"/>
      <c r="J82" s="2028"/>
      <c r="K82" s="2028"/>
      <c r="L82" s="2028"/>
      <c r="M82" s="2028"/>
      <c r="N82" s="2028"/>
      <c r="O82" s="2028"/>
      <c r="P82" s="2028"/>
      <c r="Q82" s="2028"/>
      <c r="R82" s="2028"/>
      <c r="S82" s="2028"/>
      <c r="T82" s="2028"/>
      <c r="U82" s="2028"/>
      <c r="V82" s="2028"/>
    </row>
    <row r="83" spans="1:26" ht="12.75">
      <c r="A83" s="373" t="s">
        <v>1826</v>
      </c>
      <c r="B83" s="374" t="s">
        <v>433</v>
      </c>
      <c r="C83" s="378">
        <v>0</v>
      </c>
      <c r="D83" s="376"/>
      <c r="E83" s="377"/>
      <c r="F83" s="40"/>
      <c r="G83" s="40"/>
      <c r="H83" s="1001"/>
      <c r="I83" s="309"/>
      <c r="J83" s="2028"/>
      <c r="K83" s="3415" t="s">
        <v>2876</v>
      </c>
      <c r="L83" s="3088" t="s">
        <v>2877</v>
      </c>
      <c r="M83" s="3078" t="e">
        <f>IF(N69&gt;10000,N69*0.5%,IF(AND(N69&gt;1000,N69&lt;=10000),N69*1%,IF(AND(N69&gt;100,N69&lt;=1000),N69*3%,IF(AND(N69&gt;10,N69&lt;=100),N69*5%,N69*8%))))</f>
        <v>#VALUE!</v>
      </c>
      <c r="N83" s="51" t="e">
        <f>ROUND(M83,1)</f>
        <v>#VALUE!</v>
      </c>
      <c r="O83" s="3081"/>
      <c r="P83" s="2028"/>
      <c r="Q83" s="2028"/>
      <c r="R83" s="2028"/>
      <c r="S83" s="2028"/>
      <c r="T83" s="2028"/>
      <c r="U83" s="2028"/>
      <c r="V83" s="2028"/>
    </row>
    <row r="84" spans="1:26" ht="12.75">
      <c r="A84" s="379" t="s">
        <v>1827</v>
      </c>
      <c r="B84" s="380" t="s">
        <v>434</v>
      </c>
      <c r="C84" s="381">
        <v>2000</v>
      </c>
      <c r="D84" s="382" t="s">
        <v>19</v>
      </c>
      <c r="E84" s="3123" t="s">
        <v>2941</v>
      </c>
      <c r="F84" s="40"/>
      <c r="G84" s="40"/>
      <c r="H84" s="1001"/>
      <c r="I84" s="309"/>
      <c r="J84" s="2028"/>
      <c r="K84" s="3415"/>
      <c r="L84" s="3088" t="s">
        <v>2878</v>
      </c>
      <c r="M84" s="3078"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2028" t="s">
        <v>2879</v>
      </c>
      <c r="P84" s="2028"/>
      <c r="Q84" s="2028"/>
      <c r="R84" s="2028"/>
      <c r="S84" s="2028"/>
      <c r="T84" s="2028"/>
      <c r="U84" s="2028"/>
      <c r="V84" s="2028"/>
    </row>
    <row r="85" spans="1:26" ht="12.75">
      <c r="A85" s="379" t="s">
        <v>1828</v>
      </c>
      <c r="B85" s="380" t="s">
        <v>435</v>
      </c>
      <c r="C85" s="383">
        <f ca="1">C81-C84</f>
        <v>17069</v>
      </c>
      <c r="D85" s="376" t="s">
        <v>19</v>
      </c>
      <c r="E85" s="377"/>
      <c r="F85" s="40"/>
      <c r="G85" s="40"/>
      <c r="H85" s="1001"/>
      <c r="I85" s="309"/>
      <c r="J85" s="2028"/>
      <c r="K85" s="3415"/>
      <c r="L85" s="3088" t="s">
        <v>2880</v>
      </c>
      <c r="M85" s="3078" t="e">
        <f>IF(N69&gt;1000,N69*0.1%,IF(AND(N69&gt;500,N69&lt;=1000),N69*0.5%,IF(AND(N69&gt;50,N69&lt;=500),N69*1%,IF(AND(N69&gt;1,N69&lt;=50),N69*1.5%))))</f>
        <v>#VALUE!</v>
      </c>
      <c r="N85" s="51" t="e">
        <f t="shared" si="2"/>
        <v>#VALUE!</v>
      </c>
      <c r="O85" s="2028" t="s">
        <v>2879</v>
      </c>
      <c r="P85" s="2028"/>
      <c r="Q85" s="2028"/>
      <c r="R85" s="2028"/>
      <c r="S85" s="2028"/>
      <c r="T85" s="2028"/>
      <c r="U85" s="2028"/>
      <c r="V85" s="2028"/>
    </row>
    <row r="86" spans="1:26" ht="13.5" thickBot="1">
      <c r="A86" s="384" t="s">
        <v>1829</v>
      </c>
      <c r="B86" s="385" t="s">
        <v>436</v>
      </c>
      <c r="C86" s="386">
        <f ca="1">IF(C85&lt;=0,0,ROUND(C85*D86,0))</f>
        <v>956</v>
      </c>
      <c r="D86" s="387">
        <f>'数据-取费表'!B41</f>
        <v>5.6000000000000001E-2</v>
      </c>
      <c r="E86" s="388"/>
      <c r="F86" s="40"/>
      <c r="G86" s="40"/>
      <c r="H86" s="1001"/>
      <c r="I86" s="309"/>
      <c r="J86" s="2028"/>
      <c r="K86" s="3415"/>
      <c r="L86" s="3088" t="s">
        <v>2881</v>
      </c>
      <c r="M86" s="3078" t="e">
        <f>N69*0.5%</f>
        <v>#VALUE!</v>
      </c>
      <c r="N86" s="51" t="e">
        <f>IF(M86&gt;0.5,0.5,ROUND(M86,0))</f>
        <v>#VALUE!</v>
      </c>
      <c r="O86" s="2028" t="s">
        <v>2882</v>
      </c>
      <c r="P86" s="2028"/>
      <c r="Q86" s="2028"/>
      <c r="R86" s="2028"/>
      <c r="S86" s="2028"/>
      <c r="T86" s="2028"/>
      <c r="U86" s="2028"/>
      <c r="V86" s="2028"/>
    </row>
    <row r="87" spans="1:26" s="1252" customFormat="1" ht="14.25" customHeight="1">
      <c r="A87" s="1307"/>
      <c r="B87" s="1308"/>
      <c r="C87" s="1309"/>
      <c r="D87" s="1310"/>
      <c r="E87" s="1311"/>
      <c r="F87" s="40"/>
      <c r="G87" s="40"/>
      <c r="H87" s="1001"/>
      <c r="I87" s="309"/>
      <c r="J87" s="2028"/>
      <c r="K87" s="3415"/>
      <c r="L87" s="3088" t="s">
        <v>2883</v>
      </c>
      <c r="M87" s="3078"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3081"/>
      <c r="P87" s="309"/>
      <c r="Q87" s="2028"/>
      <c r="R87" s="2028"/>
      <c r="S87" s="2028"/>
      <c r="T87" s="2028"/>
      <c r="U87" s="2028"/>
      <c r="V87" s="2028"/>
      <c r="W87" s="290"/>
      <c r="X87" s="290"/>
      <c r="Y87" s="290"/>
      <c r="Z87" s="290"/>
    </row>
    <row r="88" spans="1:26" s="1312" customFormat="1" ht="15" thickBot="1">
      <c r="A88" s="3397" t="s">
        <v>437</v>
      </c>
      <c r="B88" s="3398"/>
      <c r="C88" s="3398"/>
      <c r="D88" s="3398"/>
      <c r="E88" s="3398"/>
      <c r="F88" s="3398"/>
      <c r="G88" s="3398"/>
      <c r="H88" s="3398"/>
      <c r="I88" s="1313"/>
      <c r="J88" s="2036"/>
      <c r="K88" s="3415"/>
      <c r="L88" s="3088" t="s">
        <v>2884</v>
      </c>
      <c r="M88" s="3078" t="e">
        <f>IF(N69&gt;10000,N69*0.5%,IF(AND(N69&gt;5000,N69&lt;=10000),N69*1%,IF(AND(N69&gt;1000,N69&lt;=5000),N69*2%,IF(AND(N69&gt;200,N69&lt;=1000),N69*3%,N69*5%))))</f>
        <v>#VALUE!</v>
      </c>
      <c r="N88" s="51" t="e">
        <f>ROUND(M88,1)</f>
        <v>#VALUE!</v>
      </c>
      <c r="O88" s="3081"/>
      <c r="P88" s="11"/>
      <c r="Q88" s="2033"/>
      <c r="R88" s="2033"/>
      <c r="S88" s="2033"/>
      <c r="T88" s="2033"/>
      <c r="U88" s="2033"/>
      <c r="V88" s="2033"/>
      <c r="W88" s="2037"/>
      <c r="X88" s="2037"/>
      <c r="Y88" s="2037"/>
      <c r="Z88" s="2037"/>
    </row>
    <row r="89" spans="1:26" s="1312" customFormat="1" ht="14.25">
      <c r="A89" s="3395" t="s">
        <v>428</v>
      </c>
      <c r="B89" s="3396"/>
      <c r="C89" s="992"/>
      <c r="D89" s="992" t="s">
        <v>429</v>
      </c>
      <c r="E89" s="389" t="s">
        <v>438</v>
      </c>
      <c r="F89" s="390"/>
      <c r="G89" s="390"/>
      <c r="H89" s="391"/>
      <c r="I89" s="1314"/>
      <c r="J89" s="2038"/>
      <c r="K89" s="3415"/>
      <c r="L89" s="3088" t="s">
        <v>27</v>
      </c>
      <c r="M89" s="3079"/>
      <c r="N89" s="51" t="e">
        <f>ROUND(SUM(N83:N88),0)</f>
        <v>#VALUE!</v>
      </c>
      <c r="O89" s="3089" t="e">
        <f>N89/N69</f>
        <v>#VALUE!</v>
      </c>
      <c r="P89" s="2033"/>
      <c r="Q89" s="2033"/>
      <c r="R89" s="2033"/>
      <c r="S89" s="2033"/>
      <c r="T89" s="2033"/>
      <c r="U89" s="2033"/>
      <c r="V89" s="2033"/>
      <c r="W89" s="2037"/>
      <c r="X89" s="2037"/>
      <c r="Y89" s="2037"/>
      <c r="Z89" s="2037"/>
    </row>
    <row r="90" spans="1:26" s="1312" customFormat="1" ht="14.25">
      <c r="A90" s="379" t="s">
        <v>1824</v>
      </c>
      <c r="B90" s="380" t="s">
        <v>439</v>
      </c>
      <c r="C90" s="383">
        <f ca="1">ROUND(D63/(1+'数据-取费表'!C42),0)</f>
        <v>19069</v>
      </c>
      <c r="D90" s="376" t="s">
        <v>19</v>
      </c>
      <c r="E90" s="989"/>
      <c r="F90" s="988"/>
      <c r="G90" s="988"/>
      <c r="H90" s="392"/>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79" t="s">
        <v>1830</v>
      </c>
      <c r="B91" s="346" t="s">
        <v>440</v>
      </c>
      <c r="C91" s="383">
        <f ca="1">C92+C96</f>
        <v>2675</v>
      </c>
      <c r="D91" s="376" t="s">
        <v>19</v>
      </c>
      <c r="E91" s="989"/>
      <c r="F91" s="988"/>
      <c r="G91" s="988"/>
      <c r="H91" s="392"/>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3" t="s">
        <v>1831</v>
      </c>
      <c r="B92" s="374" t="s">
        <v>441</v>
      </c>
      <c r="C92" s="376">
        <f>ROUND(IF(G95="2016年5月1日后购买",C93/(1+'数据-取费表'!C30)+C94+C95,C93+C94+C95),0)</f>
        <v>2561</v>
      </c>
      <c r="D92" s="376" t="s">
        <v>19</v>
      </c>
      <c r="E92" s="989"/>
      <c r="F92" s="988"/>
      <c r="G92" s="988"/>
      <c r="H92" s="392"/>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3" t="s">
        <v>1832</v>
      </c>
      <c r="B93" s="374" t="s">
        <v>442</v>
      </c>
      <c r="C93" s="394">
        <v>2000</v>
      </c>
      <c r="D93" s="376" t="s">
        <v>19</v>
      </c>
      <c r="E93" s="395" t="s">
        <v>443</v>
      </c>
      <c r="F93" s="396" t="s">
        <v>444</v>
      </c>
      <c r="G93" s="395" t="s">
        <v>445</v>
      </c>
      <c r="H93" s="397">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3" t="s">
        <v>1833</v>
      </c>
      <c r="B94" s="398" t="s">
        <v>446</v>
      </c>
      <c r="C94" s="376">
        <f>IF(F93="购房发票",ROUND(C93*H93*5%,0),0)</f>
        <v>500</v>
      </c>
      <c r="D94" s="399">
        <v>0.05</v>
      </c>
      <c r="E94" s="3358" t="s">
        <v>447</v>
      </c>
      <c r="F94" s="3357"/>
      <c r="G94" s="3357"/>
      <c r="H94" s="3394"/>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3" t="s">
        <v>1834</v>
      </c>
      <c r="B95" s="374" t="s">
        <v>448</v>
      </c>
      <c r="C95" s="376">
        <f>ROUND(IF(G95="个人买卖住房",0,IF(G95="2016年5月1日前购买",C93*D95,C93*D95/(1+'数据-取费表'!C42))),0)</f>
        <v>61</v>
      </c>
      <c r="D95" s="400">
        <f>'数据-取费表'!B48+'数据-取费表'!B49</f>
        <v>3.0499999999999999E-2</v>
      </c>
      <c r="E95" s="24" t="s">
        <v>449</v>
      </c>
      <c r="F95" s="401"/>
      <c r="G95" s="402" t="s">
        <v>2433</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3" t="s">
        <v>1835</v>
      </c>
      <c r="B96" s="374" t="s">
        <v>450</v>
      </c>
      <c r="C96" s="403">
        <f ca="1">ROUND(D63*D96/(1+'数据-取费表'!C42),0)</f>
        <v>114</v>
      </c>
      <c r="D96" s="404">
        <f>'数据-取费表'!B43</f>
        <v>6.000000000000001E-3</v>
      </c>
      <c r="E96" s="3386" t="s">
        <v>2432</v>
      </c>
      <c r="F96" s="3387"/>
      <c r="G96" s="3387"/>
      <c r="H96" s="3388"/>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1836</v>
      </c>
      <c r="B97" s="380" t="s">
        <v>451</v>
      </c>
      <c r="C97" s="383">
        <f ca="1">C90-C91</f>
        <v>16394</v>
      </c>
      <c r="D97" s="376" t="s">
        <v>19</v>
      </c>
      <c r="E97" s="989"/>
      <c r="F97" s="988"/>
      <c r="G97" s="988"/>
      <c r="H97" s="392"/>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1837</v>
      </c>
      <c r="B98" s="380" t="s">
        <v>452</v>
      </c>
      <c r="C98" s="405">
        <f ca="1">IF(C97&lt;=0,0,C97/C91)</f>
        <v>6.1285981308411213</v>
      </c>
      <c r="D98" s="376"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1838</v>
      </c>
      <c r="B99" s="385" t="s">
        <v>453</v>
      </c>
      <c r="C99" s="406">
        <f ca="1">ROUND(IF(C97&lt;=0,0,IF(C98&gt;=200%,C97*60%-C91*35%,IF(C98&gt;=100%,C97*50%-C91*15%,IF(C98&gt;=50%,C97*40%-C91*5%,IF(C98&lt;50%,C97*30%,0))))),0)</f>
        <v>8900</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97" t="s">
        <v>454</v>
      </c>
      <c r="B101" s="3398"/>
      <c r="C101" s="3398"/>
      <c r="D101" s="3398"/>
      <c r="E101" s="3398"/>
      <c r="F101" s="3398"/>
      <c r="G101" s="3398"/>
      <c r="H101" s="3398"/>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95" t="s">
        <v>428</v>
      </c>
      <c r="B102" s="3396"/>
      <c r="C102" s="992"/>
      <c r="D102" s="992" t="s">
        <v>429</v>
      </c>
      <c r="E102" s="389" t="s">
        <v>438</v>
      </c>
      <c r="F102" s="390"/>
      <c r="G102" s="390"/>
      <c r="H102" s="411"/>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79" t="s">
        <v>1824</v>
      </c>
      <c r="B103" s="380" t="s">
        <v>439</v>
      </c>
      <c r="C103" s="383">
        <f ca="1">ROUND(D63/(1+'数据-取费表'!C42),0)</f>
        <v>19069</v>
      </c>
      <c r="D103" s="376" t="s">
        <v>19</v>
      </c>
      <c r="E103" s="989"/>
      <c r="F103" s="988"/>
      <c r="G103" s="988"/>
      <c r="H103" s="412"/>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79" t="s">
        <v>1830</v>
      </c>
      <c r="B104" s="346" t="s">
        <v>440</v>
      </c>
      <c r="C104" s="383">
        <f ca="1">IF(H106="仅含出让金",C105+C108+C109+C110+C111+C112,C105+C109+C110+C111+C112)</f>
        <v>804</v>
      </c>
      <c r="D104" s="413"/>
      <c r="E104" s="989"/>
      <c r="F104" s="988"/>
      <c r="G104" s="988"/>
      <c r="H104" s="412"/>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3" t="s">
        <v>1831</v>
      </c>
      <c r="B105" s="374" t="s">
        <v>455</v>
      </c>
      <c r="C105" s="403">
        <f>C106+C107</f>
        <v>572</v>
      </c>
      <c r="D105" s="404"/>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3" t="s">
        <v>1832</v>
      </c>
      <c r="B106" s="374" t="s">
        <v>456</v>
      </c>
      <c r="C106" s="414">
        <v>555</v>
      </c>
      <c r="D106" s="404"/>
      <c r="E106" s="415" t="s">
        <v>457</v>
      </c>
      <c r="F106" s="984"/>
      <c r="G106" s="416" t="s">
        <v>458</v>
      </c>
      <c r="H106" s="417" t="s">
        <v>2443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3" t="s">
        <v>1833</v>
      </c>
      <c r="B107" s="374" t="s">
        <v>448</v>
      </c>
      <c r="C107" s="403">
        <f>ROUND(C106*D107,0)</f>
        <v>17</v>
      </c>
      <c r="D107" s="404">
        <f>'数据-取费表'!B48+'数据-取费表'!B49</f>
        <v>3.0499999999999999E-2</v>
      </c>
      <c r="E107" s="415"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3" t="s">
        <v>1835</v>
      </c>
      <c r="B108" s="374" t="s">
        <v>460</v>
      </c>
      <c r="C108" s="414"/>
      <c r="D108" s="404"/>
      <c r="E108" s="415"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1839</v>
      </c>
      <c r="B109" s="374" t="s">
        <v>461</v>
      </c>
      <c r="C109" s="403">
        <f>IF(H109="——",IF(F1="现房",'剩余法-现房'!C18,'剩余法-待开发'!C18),I109)</f>
        <v>55</v>
      </c>
      <c r="D109" s="404"/>
      <c r="E109" s="3389" t="s">
        <v>462</v>
      </c>
      <c r="F109" s="3387"/>
      <c r="G109" s="3387"/>
      <c r="H109" s="1941" t="s">
        <v>2282</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1840</v>
      </c>
      <c r="B110" s="374" t="s">
        <v>463</v>
      </c>
      <c r="C110" s="403">
        <f>ROUND((C105+C108+C109)*D110,0)</f>
        <v>63</v>
      </c>
      <c r="D110" s="404">
        <v>0.1</v>
      </c>
      <c r="E110" s="3389" t="s">
        <v>464</v>
      </c>
      <c r="F110" s="3387"/>
      <c r="G110" s="3387"/>
      <c r="H110" s="3388"/>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1841</v>
      </c>
      <c r="B111" s="374" t="s">
        <v>450</v>
      </c>
      <c r="C111" s="403">
        <f ca="1">ROUND(D63*D111/(1+'数据-取费表'!C42),0)</f>
        <v>114</v>
      </c>
      <c r="D111" s="404">
        <f>'数据-取费表'!B43</f>
        <v>6.000000000000001E-3</v>
      </c>
      <c r="E111" s="3386" t="s">
        <v>2432</v>
      </c>
      <c r="F111" s="3387"/>
      <c r="G111" s="3387"/>
      <c r="H111" s="3388"/>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1842</v>
      </c>
      <c r="B112" s="374" t="s">
        <v>465</v>
      </c>
      <c r="C112" s="403">
        <f>ROUND(C108*D112,0)</f>
        <v>0</v>
      </c>
      <c r="D112" s="404">
        <v>0.2</v>
      </c>
      <c r="E112" s="3389" t="s">
        <v>2457</v>
      </c>
      <c r="F112" s="3387"/>
      <c r="G112" s="3387"/>
      <c r="H112" s="3388"/>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1836</v>
      </c>
      <c r="B113" s="380" t="s">
        <v>451</v>
      </c>
      <c r="C113" s="383">
        <f ca="1">ROUND(C103-C104,0)</f>
        <v>18265</v>
      </c>
      <c r="D113" s="376" t="s">
        <v>19</v>
      </c>
      <c r="E113" s="989"/>
      <c r="F113" s="988"/>
      <c r="G113" s="988"/>
      <c r="H113" s="412"/>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1837</v>
      </c>
      <c r="B114" s="380" t="s">
        <v>452</v>
      </c>
      <c r="C114" s="405">
        <f ca="1">IF(C113&lt;=0,0,C113/C104)</f>
        <v>22.71766169154229</v>
      </c>
      <c r="D114" s="376"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2"/>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1838</v>
      </c>
      <c r="B115" s="385" t="s">
        <v>453</v>
      </c>
      <c r="C115" s="406">
        <f ca="1">ROUND(IF(C113&lt;=0,0,IF(C114&gt;=200%,C113*60%-C104*35%,IF(C114&gt;=100%,C113*50%-C104*15%,IF(C114&gt;=50%,C113*40%-C104*5%,IF(C114&lt;50%,C113*30%,0))))),0)</f>
        <v>10678</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5" customFormat="1" ht="21.75" customHeight="1">
      <c r="K185" s="2041"/>
      <c r="L185" s="2041"/>
      <c r="M185" s="2041"/>
      <c r="N185" s="2041"/>
      <c r="O185" s="204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C10:D13">
    <cfRule type="cellIs" dxfId="134" priority="8" stopIfTrue="1" operator="equal">
      <formula>15</formula>
    </cfRule>
  </conditionalFormatting>
  <conditionalFormatting sqref="D14:D16">
    <cfRule type="cellIs" dxfId="133" priority="6" stopIfTrue="1" operator="equal">
      <formula>30</formula>
    </cfRule>
  </conditionalFormatting>
  <conditionalFormatting sqref="C108">
    <cfRule type="expression" dxfId="132" priority="3" stopIfTrue="1">
      <formula>$H$106&lt;&gt;"仅含出让金"</formula>
    </cfRule>
  </conditionalFormatting>
  <conditionalFormatting sqref="C109">
    <cfRule type="expression" dxfId="131" priority="2" stopIfTrue="1">
      <formula>$H$109="由企业提供"</formula>
    </cfRule>
  </conditionalFormatting>
  <conditionalFormatting sqref="I33">
    <cfRule type="expression" dxfId="13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4" workbookViewId="0">
      <selection activeCell="C27" sqref="C27"/>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1" t="s">
        <v>1678</v>
      </c>
      <c r="C1" s="2104"/>
      <c r="D1" s="2104"/>
      <c r="E1" s="2104"/>
      <c r="F1" s="2104"/>
      <c r="G1" s="2104"/>
      <c r="H1" s="2104"/>
      <c r="I1" s="2104"/>
      <c r="J1" s="2104"/>
      <c r="K1" s="420">
        <f>MATCH(B1,'数据-取费表'!A6:A16,0)+5</f>
        <v>6</v>
      </c>
    </row>
    <row r="2" spans="1:31" s="2041" customFormat="1" ht="18" customHeight="1">
      <c r="A2" s="2101" t="s">
        <v>467</v>
      </c>
      <c r="B2" s="2105" t="e">
        <f ca="1">C36</f>
        <v>#VALUE!</v>
      </c>
      <c r="C2" s="2104"/>
      <c r="D2" s="2104"/>
      <c r="E2" s="2104"/>
      <c r="F2" s="2104"/>
      <c r="G2" s="2104"/>
      <c r="H2" s="2104"/>
      <c r="I2" s="2104"/>
      <c r="J2" s="2104"/>
      <c r="K2" s="2104"/>
    </row>
    <row r="3" spans="1:31" s="2041" customFormat="1" ht="18" customHeight="1">
      <c r="A3" s="2106" t="s">
        <v>1685</v>
      </c>
      <c r="B3" s="2107" t="e">
        <f ca="1">ROUND(B2*10000/IF(B1="",'数据-汇总表'!E3,INDIRECT("'数据-取费表'!K"&amp;$K$1)),0)</f>
        <v>#VALUE!</v>
      </c>
      <c r="C3" s="2104"/>
      <c r="D3" s="2104"/>
      <c r="E3" s="2104"/>
      <c r="F3" s="2104"/>
      <c r="G3" s="2104"/>
      <c r="H3" s="2104"/>
      <c r="I3" s="2104"/>
      <c r="J3" s="2104"/>
      <c r="K3" s="2104"/>
    </row>
    <row r="4" spans="1:31" s="2041" customFormat="1" ht="18" customHeight="1">
      <c r="A4" s="424" t="s">
        <v>468</v>
      </c>
      <c r="B4" s="425" t="e">
        <f ca="1">ROUND(B2*10000/IF(B1="",'数据-汇总表'!D3,INDIRECT("'数据-取费表'!R"&amp;$K$1)),0)</f>
        <v>#VALUE!</v>
      </c>
      <c r="C4" s="426"/>
      <c r="D4" s="420"/>
      <c r="E4" s="420"/>
      <c r="F4" s="420"/>
      <c r="G4" s="420"/>
      <c r="H4" s="420"/>
      <c r="I4" s="420"/>
      <c r="J4" s="420"/>
      <c r="K4" s="420"/>
    </row>
    <row r="5" spans="1:31" s="2041" customFormat="1" ht="18" customHeight="1" thickBot="1">
      <c r="A5" s="427"/>
      <c r="B5" s="428" t="e">
        <f ca="1">ROUND(B2/(IF(B1="",'数据-汇总表'!D3,INDIRECT("'数据-取费表'!R"&amp;$K$1))/666.67),0)</f>
        <v>#VALUE!</v>
      </c>
      <c r="C5" s="429" t="s">
        <v>469</v>
      </c>
      <c r="D5" s="420"/>
      <c r="E5" s="420"/>
      <c r="F5" s="420"/>
      <c r="G5" s="420"/>
      <c r="H5" s="420"/>
      <c r="I5" s="420"/>
      <c r="J5" s="420"/>
      <c r="K5" s="420"/>
    </row>
    <row r="6" spans="1:31" s="2111" customFormat="1" ht="16.5" customHeight="1">
      <c r="A6" s="2850" t="s">
        <v>1843</v>
      </c>
      <c r="B6" s="2851"/>
      <c r="C6" s="2852">
        <f>SUM(C10:K10)</f>
        <v>0</v>
      </c>
      <c r="D6" s="2851"/>
      <c r="E6" s="2851"/>
      <c r="F6" s="2851"/>
      <c r="G6" s="2851"/>
      <c r="H6" s="2851"/>
      <c r="I6" s="2851"/>
      <c r="J6" s="2851"/>
      <c r="K6" s="2853"/>
    </row>
    <row r="7" spans="1:31" s="2113" customFormat="1" ht="15">
      <c r="A7" s="2854" t="s">
        <v>470</v>
      </c>
      <c r="B7" s="2855" t="s">
        <v>471</v>
      </c>
      <c r="C7" s="434" t="s">
        <v>1678</v>
      </c>
      <c r="D7" s="434"/>
      <c r="E7" s="434"/>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1" t="s">
        <v>1846</v>
      </c>
      <c r="B8" s="259" t="s">
        <v>472</v>
      </c>
      <c r="C8" s="2856"/>
      <c r="D8" s="2856"/>
      <c r="E8" s="2856"/>
      <c r="F8" s="2856"/>
      <c r="G8" s="2856"/>
      <c r="H8" s="2856"/>
      <c r="I8" s="2856"/>
      <c r="J8" s="2856"/>
      <c r="K8" s="2857"/>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1" t="s">
        <v>1847</v>
      </c>
      <c r="B9" s="259" t="s">
        <v>473</v>
      </c>
      <c r="C9" s="439">
        <f>SUMIF('数据-汇总表'!$C19:$C33,'剩余法-待开发'!C7,'数据-汇总表'!$E19:$E33)</f>
        <v>10000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58" t="s">
        <v>1848</v>
      </c>
      <c r="B10" s="2844" t="s">
        <v>474</v>
      </c>
      <c r="C10" s="3051"/>
      <c r="D10" s="3051"/>
      <c r="E10" s="3051"/>
      <c r="F10" s="2859"/>
      <c r="G10" s="2859"/>
      <c r="H10" s="2859"/>
      <c r="I10" s="2859"/>
      <c r="J10" s="2859"/>
      <c r="K10" s="2860"/>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1" t="s">
        <v>1844</v>
      </c>
      <c r="B11" s="2851"/>
      <c r="C11" s="2851"/>
      <c r="D11" s="2851"/>
      <c r="E11" s="2851"/>
      <c r="F11" s="2851"/>
      <c r="G11" s="2851"/>
      <c r="H11" s="2851"/>
      <c r="I11" s="2851"/>
      <c r="J11" s="2851"/>
      <c r="K11" s="2853"/>
    </row>
    <row r="12" spans="1:31" s="2085" customFormat="1" ht="13.5" customHeight="1">
      <c r="A12" s="2862" t="s">
        <v>470</v>
      </c>
      <c r="B12" s="2834" t="s">
        <v>471</v>
      </c>
      <c r="C12" s="2863" t="s">
        <v>475</v>
      </c>
      <c r="D12" s="2830" t="s">
        <v>476</v>
      </c>
      <c r="E12" s="2830" t="s">
        <v>477</v>
      </c>
      <c r="F12" s="2830" t="s">
        <v>478</v>
      </c>
      <c r="G12" s="2834"/>
      <c r="H12" s="2835"/>
      <c r="I12" s="2835"/>
      <c r="J12" s="2835"/>
      <c r="K12" s="2836"/>
    </row>
    <row r="13" spans="1:31" s="2116" customFormat="1" ht="13.5" customHeight="1">
      <c r="A13" s="2864" t="s">
        <v>1849</v>
      </c>
      <c r="B13" s="2865" t="s">
        <v>479</v>
      </c>
      <c r="C13" s="448" t="e">
        <f ca="1">IF(B1="",'数据-取费表'!P16,INDIRECT("'数据-取费表'!p"&amp;$K$1)+INDIRECT("'数据-取费表'!t"&amp;$K$1))</f>
        <v>#VALUE!</v>
      </c>
      <c r="D13" s="2866"/>
      <c r="E13" s="2867"/>
      <c r="F13" s="2868"/>
      <c r="G13" s="2834"/>
      <c r="H13" s="2835"/>
      <c r="I13" s="2835"/>
      <c r="J13" s="2835"/>
      <c r="K13" s="2836"/>
    </row>
    <row r="14" spans="1:31" s="2116" customFormat="1" ht="13.5" customHeight="1">
      <c r="A14" s="2864" t="s">
        <v>1850</v>
      </c>
      <c r="B14" s="2865" t="s">
        <v>480</v>
      </c>
      <c r="C14" s="51" t="e">
        <f ca="1">ROUND(C13*F14,0)</f>
        <v>#VALUE!</v>
      </c>
      <c r="D14" s="2866"/>
      <c r="E14" s="2867"/>
      <c r="F14" s="2869">
        <f>'数据-取费表'!B33</f>
        <v>0.03</v>
      </c>
      <c r="G14" s="2834" t="s">
        <v>481</v>
      </c>
      <c r="H14" s="2835"/>
      <c r="I14" s="2835"/>
      <c r="J14" s="2835"/>
      <c r="K14" s="2836"/>
    </row>
    <row r="15" spans="1:31" s="2116" customFormat="1" ht="13.5" customHeight="1">
      <c r="A15" s="2864" t="s">
        <v>1851</v>
      </c>
      <c r="B15" s="2865" t="s">
        <v>482</v>
      </c>
      <c r="C15" s="51">
        <f ca="1">ROUND(IF(B1="",SUMIF('数据-取费表'!C:C,"住宅",'数据-取费表'!P:P)*F15,IF(INDIRECT("'数据-取费表'!c"&amp;$K$1)="住宅",INDIRECT("'数据-取费表'!P"&amp;$K$1)*F15,0)),0)</f>
        <v>0</v>
      </c>
      <c r="D15" s="2866"/>
      <c r="E15" s="2867"/>
      <c r="F15" s="2869">
        <f>'数据-取费表'!B34</f>
        <v>0</v>
      </c>
      <c r="G15" s="2834" t="s">
        <v>483</v>
      </c>
      <c r="H15" s="2835"/>
      <c r="I15" s="2835"/>
      <c r="J15" s="2835"/>
      <c r="K15" s="2836"/>
    </row>
    <row r="16" spans="1:31" s="2117" customFormat="1" ht="13.5" customHeight="1">
      <c r="A16" s="2864" t="s">
        <v>1852</v>
      </c>
      <c r="B16" s="2865" t="s">
        <v>484</v>
      </c>
      <c r="C16" s="51">
        <f ca="1">ROUND(D16*E16/10000,0)</f>
        <v>200</v>
      </c>
      <c r="D16" s="2866">
        <f ca="1">IF(B1="",'数据-汇总表'!E3,INDIRECT("'数据-取费表'!K"&amp;$K$1)+INDIRECT("'数据-取费表'!S"&amp;$K$1))</f>
        <v>10000</v>
      </c>
      <c r="E16" s="51">
        <f>'数据-取费表'!B35</f>
        <v>200</v>
      </c>
      <c r="F16" s="2869"/>
      <c r="G16" s="2834"/>
      <c r="H16" s="2835"/>
      <c r="I16" s="2835"/>
      <c r="J16" s="2835"/>
      <c r="K16" s="2836"/>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4" t="s">
        <v>1853</v>
      </c>
      <c r="B17" s="2865" t="s">
        <v>485</v>
      </c>
      <c r="C17" s="2870" t="e">
        <f ca="1">ROUND(C13*F17,0)</f>
        <v>#VALUE!</v>
      </c>
      <c r="D17" s="473"/>
      <c r="E17" s="2870"/>
      <c r="F17" s="2871">
        <f>'数据-取费表'!B36</f>
        <v>1.4999999999999999E-2</v>
      </c>
      <c r="G17" s="259" t="s">
        <v>486</v>
      </c>
      <c r="H17" s="2837"/>
      <c r="I17" s="2837"/>
      <c r="J17" s="2837"/>
      <c r="K17" s="277"/>
    </row>
    <row r="18" spans="1:14" s="2116" customFormat="1" ht="13.5" customHeight="1">
      <c r="A18" s="2872" t="s">
        <v>1854</v>
      </c>
      <c r="B18" s="2873" t="s">
        <v>487</v>
      </c>
      <c r="C18" s="2874" t="e">
        <f ca="1">SUM(C13:C17)</f>
        <v>#VALUE!</v>
      </c>
      <c r="D18" s="2875"/>
      <c r="E18" s="466"/>
      <c r="F18" s="466"/>
      <c r="G18" s="2838" t="s">
        <v>2434</v>
      </c>
      <c r="H18" s="2839"/>
      <c r="I18" s="2839"/>
      <c r="J18" s="2839"/>
      <c r="K18" s="2840"/>
    </row>
    <row r="19" spans="1:14" s="2116" customFormat="1" ht="13.5" customHeight="1">
      <c r="A19" s="2872" t="s">
        <v>1855</v>
      </c>
      <c r="B19" s="2873" t="s">
        <v>488</v>
      </c>
      <c r="C19" s="2830">
        <f ca="1">ROUND(D19*E19/10000,0)</f>
        <v>0</v>
      </c>
      <c r="D19" s="2876">
        <f ca="1">D16</f>
        <v>10000</v>
      </c>
      <c r="E19" s="2830">
        <f>'数据-取费表'!B32</f>
        <v>0</v>
      </c>
      <c r="F19" s="466"/>
      <c r="G19" s="2834" t="s">
        <v>489</v>
      </c>
      <c r="H19" s="2835"/>
      <c r="I19" s="2839"/>
      <c r="J19" s="2839"/>
      <c r="K19" s="2840"/>
    </row>
    <row r="20" spans="1:14" s="2116" customFormat="1" ht="13.5" customHeight="1">
      <c r="A20" s="2872" t="s">
        <v>1856</v>
      </c>
      <c r="B20" s="2873" t="s">
        <v>490</v>
      </c>
      <c r="C20" s="2830">
        <f ca="1">C21+C22-IF(B1="",'数据-取费表'!B29,IF(G20="已全部缴纳",C21+C22,H20))</f>
        <v>200</v>
      </c>
      <c r="D20" s="2876"/>
      <c r="E20" s="2830"/>
      <c r="F20" s="2877"/>
      <c r="G20" s="3111"/>
      <c r="H20" s="2832"/>
      <c r="I20" s="2833" t="s">
        <v>2655</v>
      </c>
      <c r="J20" s="2839"/>
      <c r="K20" s="2840"/>
    </row>
    <row r="21" spans="1:14" s="2116" customFormat="1" ht="13.5" customHeight="1">
      <c r="A21" s="2864" t="s">
        <v>1857</v>
      </c>
      <c r="B21" s="2865" t="s">
        <v>491</v>
      </c>
      <c r="C21" s="51">
        <f ca="1">ROUND(D21*E21/10000,0)</f>
        <v>0</v>
      </c>
      <c r="D21" s="2866">
        <f ca="1">IF(B1="",'数据-汇总表'!E5,IF(INDIRECT("'数据-取费表'!c"&amp;$K$1)="住宅",INDIRECT("'数据-取费表'!k"&amp;$K$1),0))</f>
        <v>0</v>
      </c>
      <c r="E21" s="51">
        <f>'数据-取费表'!B27</f>
        <v>0</v>
      </c>
      <c r="F21" s="2869"/>
      <c r="G21" s="24"/>
      <c r="H21" s="49"/>
      <c r="I21" s="49"/>
      <c r="J21" s="49"/>
      <c r="K21" s="2841"/>
    </row>
    <row r="22" spans="1:14" s="2116" customFormat="1" ht="13.5" customHeight="1">
      <c r="A22" s="2864" t="s">
        <v>1858</v>
      </c>
      <c r="B22" s="2865" t="s">
        <v>492</v>
      </c>
      <c r="C22" s="51">
        <f ca="1">ROUND(D22*E22/10000,0)</f>
        <v>200</v>
      </c>
      <c r="D22" s="2866">
        <f ca="1">IF(B1="",'数据-汇总表'!E6,IF(INDIRECT("'数据-取费表'!c"&amp;$K$1)="住宅",INDIRECT("'数据-取费表'!s"&amp;$K$1),INDIRECT("'数据-取费表'!k"&amp;$K$1)+INDIRECT("'数据-取费表'!s"&amp;$K$1)))</f>
        <v>10000</v>
      </c>
      <c r="E22" s="51">
        <f>'数据-取费表'!B28</f>
        <v>200</v>
      </c>
      <c r="F22" s="2869"/>
      <c r="G22" s="24"/>
      <c r="H22" s="49"/>
      <c r="I22" s="49"/>
      <c r="J22" s="49"/>
      <c r="K22" s="2841"/>
    </row>
    <row r="23" spans="1:14" s="2116" customFormat="1" ht="13.5" customHeight="1">
      <c r="A23" s="2872" t="s">
        <v>1859</v>
      </c>
      <c r="B23" s="3057" t="s">
        <v>2836</v>
      </c>
      <c r="C23" s="2874" t="e">
        <f ca="1">ROUND((C18+C19+C20)*F23,0)</f>
        <v>#VALUE!</v>
      </c>
      <c r="D23" s="466"/>
      <c r="E23" s="466"/>
      <c r="F23" s="2878">
        <f>'数据-取费表'!B37</f>
        <v>0.02</v>
      </c>
      <c r="G23" s="2834" t="s">
        <v>2435</v>
      </c>
      <c r="H23" s="2835"/>
      <c r="I23" s="2835"/>
      <c r="J23" s="2835"/>
      <c r="K23" s="2836"/>
      <c r="L23" s="2118"/>
      <c r="M23" s="2118"/>
      <c r="N23" s="2118"/>
    </row>
    <row r="24" spans="1:14" s="2116" customFormat="1" ht="13.5" customHeight="1">
      <c r="A24" s="2872" t="s">
        <v>1860</v>
      </c>
      <c r="B24" s="3057" t="s">
        <v>2839</v>
      </c>
      <c r="C24" s="2874">
        <f>ROUND(C6*F24,0)</f>
        <v>0</v>
      </c>
      <c r="D24" s="473"/>
      <c r="E24" s="471"/>
      <c r="F24" s="2878">
        <f>'数据-取费表'!B38</f>
        <v>0.02</v>
      </c>
      <c r="G24" s="2843" t="s">
        <v>499</v>
      </c>
      <c r="H24" s="2837"/>
      <c r="I24" s="2837"/>
      <c r="J24" s="2837"/>
      <c r="K24" s="277"/>
      <c r="L24" s="2118"/>
      <c r="M24" s="2118"/>
      <c r="N24" s="2118"/>
    </row>
    <row r="25" spans="1:14" s="2119" customFormat="1" ht="13.5" customHeight="1">
      <c r="A25" s="2872" t="s">
        <v>1861</v>
      </c>
      <c r="B25" s="3057" t="s">
        <v>2837</v>
      </c>
      <c r="C25" s="465">
        <f>ROUND(F25/(1+'数据-取费表'!C42),4)</f>
        <v>2.9000000000000001E-2</v>
      </c>
      <c r="D25" s="460" t="s">
        <v>2831</v>
      </c>
      <c r="E25" s="467"/>
      <c r="F25" s="2878">
        <f>'数据-取费表'!B48+'数据-取费表'!B49</f>
        <v>3.0499999999999999E-2</v>
      </c>
      <c r="G25" s="2842" t="s">
        <v>2292</v>
      </c>
      <c r="H25" s="2835"/>
      <c r="I25" s="2835"/>
      <c r="J25" s="2835"/>
      <c r="K25" s="2836"/>
    </row>
    <row r="26" spans="1:14" s="2118" customFormat="1" ht="13.5" customHeight="1">
      <c r="A26" s="2872" t="s">
        <v>1862</v>
      </c>
      <c r="B26" s="3058" t="s">
        <v>2838</v>
      </c>
      <c r="C26" s="2879" t="e">
        <f ca="1">C28</f>
        <v>#VALUE!</v>
      </c>
      <c r="D26" s="465">
        <f ca="1">C27</f>
        <v>0</v>
      </c>
      <c r="E26" s="467" t="s">
        <v>495</v>
      </c>
      <c r="F26" s="469">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20" customFormat="1" ht="13.5" customHeight="1">
      <c r="A27" s="801" t="s">
        <v>1857</v>
      </c>
      <c r="B27" s="2880" t="s">
        <v>496</v>
      </c>
      <c r="C27" s="2881">
        <f ca="1">ROUND(IF('数据-取费表'!B22&lt;=1,(1+C25)*F26*'数据-取费表'!B24,(1+C25)*(POWER((1+F26),'数据-取费表'!B24)-1)),4)</f>
        <v>0</v>
      </c>
      <c r="D27" s="470"/>
      <c r="E27" s="471"/>
      <c r="F27" s="472"/>
      <c r="G27" s="2594" t="str">
        <f>IF('数据-取费表'!B22&lt;=1,"（1+取得税费率/(1+5%)）×年利率×建设期","（1+取得税费率）/(1+5%)×((1+年利率)^建设期-1)")</f>
        <v>（1+取得税费率）/(1+5%)×((1+年利率)^建设期-1)</v>
      </c>
      <c r="H27" s="2837"/>
      <c r="I27" s="2837"/>
      <c r="J27" s="2837"/>
      <c r="K27" s="277"/>
    </row>
    <row r="28" spans="1:14" s="2120" customFormat="1" ht="13.5" customHeight="1">
      <c r="A28" s="801" t="s">
        <v>1858</v>
      </c>
      <c r="B28" s="2880" t="s">
        <v>2840</v>
      </c>
      <c r="C28" s="2882" t="e">
        <f ca="1">ROUND(IF('数据-取费表'!B22&lt;=1,(C18+C19+C20+C23+C24)*F26*'数据-取费表'!B24/2,(C18+C19+C20+C23+C24)*(POWER((1+F26),'数据-取费表'!B24/2)-1)),0)</f>
        <v>#VALUE!</v>
      </c>
      <c r="D28" s="470"/>
      <c r="E28" s="471"/>
      <c r="F28" s="472"/>
      <c r="G28" s="2594" t="str">
        <f>IF('数据-取费表'!B22&lt;=1,"（1）-（4）项×年利率×建设期÷2","（1）-（4）项×((1+年利率)^(建设期÷2)-1)")</f>
        <v>（1）-（4）项×((1+年利率)^(建设期÷2)-1)</v>
      </c>
      <c r="H28" s="2837"/>
      <c r="I28" s="2837"/>
      <c r="J28" s="2837"/>
      <c r="K28" s="277"/>
    </row>
    <row r="29" spans="1:14" s="2120" customFormat="1" ht="13.5" customHeight="1">
      <c r="A29" s="2883" t="s">
        <v>1863</v>
      </c>
      <c r="B29" s="2873" t="s">
        <v>497</v>
      </c>
      <c r="C29" s="2874">
        <f>ROUND(C6*F29/(1+'数据-取费表'!C42),0)</f>
        <v>0</v>
      </c>
      <c r="D29" s="466"/>
      <c r="E29" s="466"/>
      <c r="F29" s="3059">
        <f>'数据-取费表'!B41</f>
        <v>5.6000000000000001E-2</v>
      </c>
      <c r="G29" s="2843" t="s">
        <v>498</v>
      </c>
      <c r="H29" s="2835"/>
      <c r="I29" s="2835"/>
      <c r="J29" s="2835"/>
      <c r="K29" s="2836"/>
    </row>
    <row r="30" spans="1:14" s="2121" customFormat="1" ht="13.5" customHeight="1">
      <c r="A30" s="1634" t="s">
        <v>1864</v>
      </c>
      <c r="B30" s="2884" t="s">
        <v>500</v>
      </c>
      <c r="C30" s="2879" t="e">
        <f ca="1">C31</f>
        <v>#VALUE!</v>
      </c>
      <c r="D30" s="475">
        <f ca="1">C32</f>
        <v>2.9000000000000001E-2</v>
      </c>
      <c r="E30" s="467" t="s">
        <v>495</v>
      </c>
      <c r="F30" s="469"/>
      <c r="G30" s="2842" t="s">
        <v>2974</v>
      </c>
      <c r="H30" s="2835"/>
      <c r="I30" s="2835"/>
      <c r="J30" s="2835"/>
      <c r="K30" s="2836"/>
    </row>
    <row r="31" spans="1:14" s="2120" customFormat="1" ht="13.5" customHeight="1">
      <c r="A31" s="801" t="s">
        <v>1857</v>
      </c>
      <c r="B31" s="2880"/>
      <c r="C31" s="448" t="e">
        <f ca="1">C18+C19+C20+C23+C24+C26+C29</f>
        <v>#VALUE!</v>
      </c>
      <c r="D31" s="470"/>
      <c r="E31" s="471"/>
      <c r="F31" s="472"/>
      <c r="G31" s="259"/>
      <c r="H31" s="2837"/>
      <c r="I31" s="2837"/>
      <c r="J31" s="2837"/>
      <c r="K31" s="277"/>
    </row>
    <row r="32" spans="1:14" s="2120" customFormat="1" ht="13.5" customHeight="1">
      <c r="A32" s="801" t="s">
        <v>1858</v>
      </c>
      <c r="B32" s="2880"/>
      <c r="C32" s="51">
        <f ca="1">ROUND(C25+D26,4)</f>
        <v>2.9000000000000001E-2</v>
      </c>
      <c r="D32" s="470"/>
      <c r="E32" s="471"/>
      <c r="F32" s="472"/>
      <c r="G32" s="259"/>
      <c r="H32" s="2837"/>
      <c r="I32" s="2837"/>
      <c r="J32" s="2837"/>
      <c r="K32" s="277"/>
    </row>
    <row r="33" spans="1:11" s="2122" customFormat="1" ht="13.5" customHeight="1">
      <c r="A33" s="3056" t="s">
        <v>2835</v>
      </c>
      <c r="B33" s="3054" t="s">
        <v>2833</v>
      </c>
      <c r="C33" s="476" t="e">
        <f ca="1">C35</f>
        <v>#VALUE!</v>
      </c>
      <c r="D33" s="465">
        <f ca="1">C34</f>
        <v>0.25729999999999997</v>
      </c>
      <c r="E33" s="467" t="s">
        <v>495</v>
      </c>
      <c r="F33" s="477">
        <f ca="1">IF(B1="",'数据-取费表'!Q16,INDIRECT("'数据-取费表'!q"&amp;$K$1))</f>
        <v>0.25</v>
      </c>
      <c r="G33" s="2838"/>
      <c r="H33" s="2839"/>
      <c r="I33" s="2839"/>
      <c r="J33" s="2839"/>
      <c r="K33" s="2840"/>
    </row>
    <row r="34" spans="1:11" s="2123" customFormat="1" ht="13.5" customHeight="1">
      <c r="A34" s="373" t="s">
        <v>1857</v>
      </c>
      <c r="B34" s="2885" t="s">
        <v>501</v>
      </c>
      <c r="C34" s="470">
        <f ca="1">ROUND((1+C25)*F33,4)</f>
        <v>0.25729999999999997</v>
      </c>
      <c r="D34" s="470"/>
      <c r="E34" s="471"/>
      <c r="F34" s="478"/>
      <c r="G34" s="259" t="s">
        <v>2293</v>
      </c>
      <c r="H34" s="2837"/>
      <c r="I34" s="2837"/>
      <c r="J34" s="2837"/>
      <c r="K34" s="277"/>
    </row>
    <row r="35" spans="1:11" s="2123" customFormat="1" ht="13.5" customHeight="1" thickBot="1">
      <c r="A35" s="1635" t="s">
        <v>1858</v>
      </c>
      <c r="B35" s="3055" t="s">
        <v>2841</v>
      </c>
      <c r="C35" s="1627" t="e">
        <f ca="1">ROUND((C18+C19+C20+C23+C24)*F33,0)</f>
        <v>#VALUE!</v>
      </c>
      <c r="D35" s="1628"/>
      <c r="E35" s="2886"/>
      <c r="F35" s="1629"/>
      <c r="G35" s="2844"/>
      <c r="H35" s="2845"/>
      <c r="I35" s="2845"/>
      <c r="J35" s="2845"/>
      <c r="K35" s="2846"/>
    </row>
    <row r="36" spans="1:11" s="2085" customFormat="1" ht="13.5" customHeight="1" thickBot="1">
      <c r="A36" s="282" t="s">
        <v>1845</v>
      </c>
      <c r="B36" s="2848"/>
      <c r="C36" s="2887" t="e">
        <f ca="1">ROUND((C6-C30-C33)/(1+D30+D33),0)</f>
        <v>#VALUE!</v>
      </c>
      <c r="D36" s="2848"/>
      <c r="E36" s="2848"/>
      <c r="F36" s="2848"/>
      <c r="G36" s="2847" t="s">
        <v>2842</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19.xml><?xml version="1.0" encoding="utf-8"?>
<worksheet xmlns="http://schemas.openxmlformats.org/spreadsheetml/2006/main" xmlns:r="http://schemas.openxmlformats.org/officeDocument/2006/relationships">
  <sheetPr>
    <tabColor rgb="FFFF0000"/>
  </sheetPr>
  <dimension ref="A1:U60"/>
  <sheetViews>
    <sheetView tabSelected="1" topLeftCell="E49" workbookViewId="0">
      <selection activeCell="R59" sqref="R59"/>
    </sheetView>
  </sheetViews>
  <sheetFormatPr defaultRowHeight="13.5"/>
  <cols>
    <col min="1" max="1" width="13.125" customWidth="1"/>
    <col min="2" max="2" width="13.375" customWidth="1"/>
    <col min="3" max="4" width="12.625" customWidth="1"/>
    <col min="5" max="5" width="12.25" customWidth="1"/>
    <col min="6" max="6" width="10.5" customWidth="1"/>
    <col min="7" max="7" width="7.5" customWidth="1"/>
    <col min="8" max="8" width="11.625" customWidth="1"/>
    <col min="9" max="9" width="11.125" customWidth="1"/>
    <col min="11" max="11" width="9.875" customWidth="1"/>
    <col min="12" max="12" width="12.625" bestFit="1" customWidth="1"/>
    <col min="19" max="19" width="11.375" bestFit="1" customWidth="1"/>
  </cols>
  <sheetData>
    <row r="1" spans="1:16" s="3182" customFormat="1">
      <c r="A1" s="3186" t="s">
        <v>2994</v>
      </c>
      <c r="B1" s="3186" t="s">
        <v>2992</v>
      </c>
      <c r="C1" s="3186" t="s">
        <v>2993</v>
      </c>
      <c r="D1" s="3186" t="s">
        <v>3124</v>
      </c>
      <c r="E1" s="3186" t="s">
        <v>3125</v>
      </c>
    </row>
    <row r="2" spans="1:16" s="3182" customFormat="1">
      <c r="A2" s="3188" t="s">
        <v>2995</v>
      </c>
      <c r="B2" s="3183">
        <v>1280</v>
      </c>
      <c r="C2" s="3183">
        <v>0</v>
      </c>
      <c r="D2" s="3183">
        <f>C2-B2</f>
        <v>-1280</v>
      </c>
      <c r="E2" s="3183"/>
    </row>
    <row r="3" spans="1:16" s="3182" customFormat="1">
      <c r="A3" s="3188" t="s">
        <v>3121</v>
      </c>
      <c r="B3" s="3183">
        <v>0</v>
      </c>
      <c r="C3" s="3183">
        <v>1291.48</v>
      </c>
      <c r="D3" s="3183">
        <v>1280</v>
      </c>
      <c r="E3" s="3183">
        <f>C3-B2</f>
        <v>11.480000000000018</v>
      </c>
    </row>
    <row r="4" spans="1:16" s="3182" customFormat="1">
      <c r="A4" s="3188" t="s">
        <v>3122</v>
      </c>
      <c r="B4" s="3183">
        <v>415</v>
      </c>
      <c r="C4" s="3183">
        <v>0</v>
      </c>
      <c r="D4" s="3183">
        <f>C4-B4</f>
        <v>-415</v>
      </c>
      <c r="E4" s="3183"/>
    </row>
    <row r="5" spans="1:16" s="3182" customFormat="1">
      <c r="A5" s="3188" t="s">
        <v>3123</v>
      </c>
      <c r="B5" s="3183">
        <v>0</v>
      </c>
      <c r="C5" s="3183">
        <v>415</v>
      </c>
      <c r="D5" s="3183">
        <f>C5-B5</f>
        <v>415</v>
      </c>
      <c r="E5" s="3183"/>
    </row>
    <row r="6" spans="1:16" s="3182" customFormat="1">
      <c r="A6" s="3187" t="s">
        <v>2996</v>
      </c>
      <c r="B6" s="3185">
        <v>1313</v>
      </c>
      <c r="C6" s="3185">
        <v>1176.78</v>
      </c>
      <c r="D6" s="3185">
        <f>C6</f>
        <v>1176.78</v>
      </c>
      <c r="E6" s="3261">
        <f>C6-B6</f>
        <v>-136.22000000000003</v>
      </c>
      <c r="F6" s="3182">
        <v>136.22</v>
      </c>
    </row>
    <row r="7" spans="1:16" s="3182" customFormat="1">
      <c r="A7" s="3205"/>
      <c r="B7" s="3206"/>
      <c r="C7" s="3206"/>
      <c r="D7" s="3206"/>
      <c r="E7" s="3260"/>
    </row>
    <row r="8" spans="1:16" ht="15" customHeight="1"/>
    <row r="9" spans="1:16" ht="15" customHeight="1"/>
    <row r="11" spans="1:16" ht="38.25" customHeight="1">
      <c r="A11" s="3491" t="s">
        <v>3007</v>
      </c>
      <c r="B11" s="3491"/>
      <c r="C11" s="3491"/>
      <c r="D11" s="3491"/>
      <c r="E11" s="3491"/>
      <c r="F11" s="3491"/>
      <c r="G11" s="3491"/>
      <c r="H11" s="3491"/>
      <c r="I11" s="3491"/>
      <c r="J11" s="3491"/>
      <c r="K11" s="3231"/>
    </row>
    <row r="12" spans="1:16" ht="57">
      <c r="A12" s="3193" t="s">
        <v>2997</v>
      </c>
      <c r="B12" s="3193" t="s">
        <v>2998</v>
      </c>
      <c r="C12" s="3193" t="s">
        <v>2999</v>
      </c>
      <c r="D12" s="3193" t="s">
        <v>3000</v>
      </c>
      <c r="E12" s="3193" t="s">
        <v>3001</v>
      </c>
      <c r="F12" s="3193" t="s">
        <v>3087</v>
      </c>
      <c r="G12" s="3193" t="s">
        <v>3002</v>
      </c>
      <c r="H12" s="3193" t="s">
        <v>3003</v>
      </c>
      <c r="I12" s="3193" t="s">
        <v>3004</v>
      </c>
      <c r="J12" s="3193"/>
      <c r="K12" s="3193" t="s">
        <v>3002</v>
      </c>
      <c r="L12" s="2"/>
      <c r="M12" s="2"/>
      <c r="N12" s="2"/>
      <c r="O12" s="2"/>
      <c r="P12" s="2"/>
    </row>
    <row r="13" spans="1:16" s="2" customFormat="1" ht="54" customHeight="1">
      <c r="A13" s="3487" t="s">
        <v>3114</v>
      </c>
      <c r="B13" s="3191" t="s">
        <v>3005</v>
      </c>
      <c r="C13" s="3192">
        <f ca="1">结果表!D20</f>
        <v>35903</v>
      </c>
      <c r="D13" s="3192">
        <f>结果表!D18</f>
        <v>0.6</v>
      </c>
      <c r="E13" s="3437">
        <f ca="1">ROUND(C13*D13+C14*D14,0)</f>
        <v>33370</v>
      </c>
      <c r="F13" s="3437">
        <f ca="1">ROUND(E13*B2/10000,2)</f>
        <v>4271.3599999999997</v>
      </c>
      <c r="G13" s="3437">
        <f ca="1">ROUND(E13*0.25,)</f>
        <v>8343</v>
      </c>
      <c r="H13" s="3437">
        <f ca="1">ROUND(G13*B2/10000,2)</f>
        <v>1067.9000000000001</v>
      </c>
      <c r="I13" s="3192"/>
      <c r="J13" s="3192"/>
      <c r="K13" s="3228"/>
    </row>
    <row r="14" spans="1:16" s="2" customFormat="1" ht="45.75" customHeight="1">
      <c r="A14" s="3488"/>
      <c r="B14" s="3191" t="s">
        <v>3006</v>
      </c>
      <c r="C14" s="3192">
        <f ca="1">结果表!C20</f>
        <v>29571</v>
      </c>
      <c r="D14" s="3192">
        <f>结果表!C18</f>
        <v>0.4</v>
      </c>
      <c r="E14" s="3438"/>
      <c r="F14" s="3438"/>
      <c r="G14" s="3438"/>
      <c r="H14" s="3438"/>
      <c r="I14" s="3192"/>
      <c r="J14" s="3192"/>
      <c r="K14" s="3228"/>
    </row>
    <row r="15" spans="1:16" s="2" customFormat="1" ht="45.75" customHeight="1">
      <c r="A15" s="3487" t="s">
        <v>3117</v>
      </c>
      <c r="B15" s="3191" t="s">
        <v>3005</v>
      </c>
      <c r="C15" s="3192">
        <f ca="1">[1]结果表!$D$20</f>
        <v>42180</v>
      </c>
      <c r="D15" s="3192">
        <f>[1]结果表!$D$18</f>
        <v>0.6</v>
      </c>
      <c r="E15" s="3437">
        <f ca="1">ROUND(C15*D15+C16*D16,0)</f>
        <v>41742</v>
      </c>
      <c r="F15" s="3258">
        <f ca="1">ROUND(E15*D3/10000,2)</f>
        <v>5342.98</v>
      </c>
      <c r="G15" s="3437">
        <f ca="1">ROUND(E15*0.25,)</f>
        <v>10436</v>
      </c>
      <c r="H15" s="3437">
        <f ca="1">ROUND(G15*B2/10000,2)</f>
        <v>1335.81</v>
      </c>
      <c r="I15" s="3192"/>
      <c r="J15" s="3192"/>
      <c r="K15" s="3228"/>
    </row>
    <row r="16" spans="1:16" s="2" customFormat="1" ht="45.75" customHeight="1">
      <c r="A16" s="3488"/>
      <c r="B16" s="3191" t="s">
        <v>3006</v>
      </c>
      <c r="C16" s="3192">
        <f ca="1">[1]结果表!$C$20</f>
        <v>41084</v>
      </c>
      <c r="D16" s="3192">
        <f>[1]结果表!$C$18</f>
        <v>0.4</v>
      </c>
      <c r="E16" s="3438"/>
      <c r="F16" s="3256"/>
      <c r="G16" s="3438"/>
      <c r="H16" s="3438"/>
      <c r="I16" s="3192"/>
      <c r="J16" s="3192"/>
      <c r="K16" s="3228"/>
    </row>
    <row r="17" spans="1:20" s="2" customFormat="1" ht="45.75" customHeight="1">
      <c r="A17" s="3487" t="s">
        <v>3154</v>
      </c>
      <c r="B17" s="3191" t="s">
        <v>3005</v>
      </c>
      <c r="C17" s="3192">
        <f ca="1">基准地价!C37</f>
        <v>10771</v>
      </c>
      <c r="D17" s="3192">
        <f>D13</f>
        <v>0.6</v>
      </c>
      <c r="E17" s="3437">
        <f ca="1">ROUND(C17*D17+C18*D18,0)</f>
        <v>10011</v>
      </c>
      <c r="F17" s="3258">
        <f ca="1">ROUND(E17*B4/10000,2)</f>
        <v>415.46</v>
      </c>
      <c r="G17" s="3437">
        <f ca="1">ROUND(E17*0.25,)</f>
        <v>2503</v>
      </c>
      <c r="H17" s="3437">
        <f ca="1">ROUND(G17*B4/10000,2)</f>
        <v>103.87</v>
      </c>
      <c r="I17" s="3192"/>
      <c r="J17" s="3192"/>
      <c r="K17" s="3228"/>
    </row>
    <row r="18" spans="1:20" s="2" customFormat="1" ht="45.75" customHeight="1">
      <c r="A18" s="3488"/>
      <c r="B18" s="3191" t="s">
        <v>3006</v>
      </c>
      <c r="C18" s="3192">
        <f>ROUND([2]结果表!$C$20*0.3,0)</f>
        <v>8871</v>
      </c>
      <c r="D18" s="3192">
        <f>D14</f>
        <v>0.4</v>
      </c>
      <c r="E18" s="3438"/>
      <c r="F18" s="3258"/>
      <c r="G18" s="3438"/>
      <c r="H18" s="3438"/>
      <c r="I18" s="3192"/>
      <c r="J18" s="3192"/>
      <c r="K18" s="3228"/>
    </row>
    <row r="19" spans="1:20" s="2" customFormat="1" ht="45.75" customHeight="1">
      <c r="A19" s="3487" t="s">
        <v>3144</v>
      </c>
      <c r="B19" s="3191" t="s">
        <v>3005</v>
      </c>
      <c r="C19" s="3192">
        <f ca="1">[1]基准地价!$C$33</f>
        <v>30676</v>
      </c>
      <c r="D19" s="3192">
        <f>D13</f>
        <v>0.6</v>
      </c>
      <c r="E19" s="3437">
        <f ca="1">ROUND(C19*D19+C20*D20,0)</f>
        <v>31552</v>
      </c>
      <c r="F19" s="3258">
        <f ca="1">ROUND(E19*D5/10000,2)</f>
        <v>1309.4100000000001</v>
      </c>
      <c r="G19" s="3437">
        <f ca="1">ROUND(E19*0.25,)</f>
        <v>7888</v>
      </c>
      <c r="H19" s="3437">
        <f ca="1">ROUND(G19*B4/10000,2)</f>
        <v>327.35000000000002</v>
      </c>
      <c r="I19" s="3192"/>
      <c r="J19" s="3192"/>
      <c r="K19" s="3228"/>
    </row>
    <row r="20" spans="1:20" s="2" customFormat="1" ht="45.75" customHeight="1">
      <c r="A20" s="3488"/>
      <c r="B20" s="3191" t="s">
        <v>3006</v>
      </c>
      <c r="C20" s="3192">
        <f ca="1">ROUND(C16*0.8,0)</f>
        <v>32867</v>
      </c>
      <c r="D20" s="3192">
        <f>D14</f>
        <v>0.4</v>
      </c>
      <c r="E20" s="3438"/>
      <c r="F20" s="3258"/>
      <c r="G20" s="3438"/>
      <c r="H20" s="3438"/>
      <c r="I20" s="3192"/>
      <c r="J20" s="3192"/>
      <c r="K20" s="3228"/>
    </row>
    <row r="21" spans="1:20" s="2" customFormat="1" ht="44.25" customHeight="1">
      <c r="A21" s="3489" t="s">
        <v>3153</v>
      </c>
      <c r="B21" s="3189" t="s">
        <v>3005</v>
      </c>
      <c r="C21" s="3189">
        <f>[3]基准地价!$C$38</f>
        <v>10165</v>
      </c>
      <c r="D21" s="3190">
        <f>D13</f>
        <v>0.6</v>
      </c>
      <c r="E21" s="3492">
        <f ca="1">ROUND(C21*D21+C22*D22,0)</f>
        <v>9647</v>
      </c>
      <c r="F21" s="3492"/>
      <c r="G21" s="3492">
        <f ca="1">ROUND(E21*0.25,0)</f>
        <v>2412</v>
      </c>
      <c r="H21" s="3492">
        <f ca="1">ROUND(G21*F6/10000,2)</f>
        <v>32.86</v>
      </c>
      <c r="I21" s="3190"/>
      <c r="J21" s="3190"/>
      <c r="K21" s="3229"/>
    </row>
    <row r="22" spans="1:20" ht="45.75" customHeight="1">
      <c r="A22" s="3490"/>
      <c r="B22" s="3189" t="s">
        <v>3006</v>
      </c>
      <c r="C22" s="3184">
        <f ca="1">ROUND(C14*0.3,0)</f>
        <v>8871</v>
      </c>
      <c r="D22" s="3184">
        <f>D14</f>
        <v>0.4</v>
      </c>
      <c r="E22" s="3493"/>
      <c r="F22" s="3493"/>
      <c r="G22" s="3493"/>
      <c r="H22" s="3493"/>
      <c r="I22" s="3184"/>
      <c r="J22" s="3184"/>
      <c r="K22" s="3230"/>
    </row>
    <row r="26" spans="1:20" ht="19.5" hidden="1" thickBot="1">
      <c r="A26" s="3218" t="s">
        <v>3077</v>
      </c>
      <c r="H26" s="2897" t="s">
        <v>3076</v>
      </c>
      <c r="N26" s="3223" t="s">
        <v>3079</v>
      </c>
    </row>
    <row r="27" spans="1:20" ht="42" hidden="1" customHeight="1" thickBot="1">
      <c r="A27" s="3461" t="s">
        <v>3058</v>
      </c>
      <c r="B27" s="3461" t="s">
        <v>3059</v>
      </c>
      <c r="C27" s="3207" t="s">
        <v>3060</v>
      </c>
      <c r="D27" s="3207" t="s">
        <v>3063</v>
      </c>
      <c r="E27" s="3207" t="s">
        <v>3066</v>
      </c>
      <c r="F27" s="3207" t="s">
        <v>3068</v>
      </c>
      <c r="H27" s="3461" t="s">
        <v>3058</v>
      </c>
      <c r="I27" s="3461" t="s">
        <v>3059</v>
      </c>
      <c r="J27" s="3207" t="s">
        <v>3071</v>
      </c>
      <c r="K27" s="3207" t="s">
        <v>3072</v>
      </c>
      <c r="L27" s="3461" t="s">
        <v>3073</v>
      </c>
      <c r="M27" s="3216"/>
      <c r="N27" s="3464" t="s">
        <v>3058</v>
      </c>
      <c r="O27" s="3467" t="s">
        <v>3059</v>
      </c>
      <c r="P27" s="3468"/>
      <c r="Q27" s="3219" t="s">
        <v>3071</v>
      </c>
      <c r="R27" s="3220" t="s">
        <v>3078</v>
      </c>
      <c r="S27" s="3220" t="s">
        <v>3079</v>
      </c>
      <c r="T27" s="3220" t="s">
        <v>3068</v>
      </c>
    </row>
    <row r="28" spans="1:20" ht="15" hidden="1" customHeight="1" thickBot="1">
      <c r="A28" s="3462"/>
      <c r="B28" s="3462"/>
      <c r="C28" s="3208" t="s">
        <v>3061</v>
      </c>
      <c r="D28" s="3208" t="s">
        <v>3064</v>
      </c>
      <c r="E28" s="3208" t="s">
        <v>3067</v>
      </c>
      <c r="F28" s="3208" t="s">
        <v>3065</v>
      </c>
      <c r="H28" s="3463"/>
      <c r="I28" s="3475"/>
      <c r="J28" s="3209" t="s">
        <v>3074</v>
      </c>
      <c r="K28" s="3209" t="s">
        <v>3075</v>
      </c>
      <c r="L28" s="3475"/>
      <c r="M28" s="3216"/>
      <c r="N28" s="3465"/>
      <c r="O28" s="3469"/>
      <c r="P28" s="3470"/>
      <c r="Q28" s="3457" t="s">
        <v>3080</v>
      </c>
      <c r="R28" s="3457" t="s">
        <v>3081</v>
      </c>
      <c r="S28" s="3221" t="s">
        <v>3066</v>
      </c>
      <c r="T28" s="3457" t="s">
        <v>3081</v>
      </c>
    </row>
    <row r="29" spans="1:20" ht="16.5" hidden="1" customHeight="1" thickBot="1">
      <c r="A29" s="3463"/>
      <c r="B29" s="3463"/>
      <c r="C29" s="3209" t="s">
        <v>3062</v>
      </c>
      <c r="D29" s="3209" t="s">
        <v>3065</v>
      </c>
      <c r="E29" s="3210"/>
      <c r="F29" s="3210"/>
      <c r="H29" s="3433" t="s">
        <v>2990</v>
      </c>
      <c r="I29" s="3476" t="s">
        <v>3085</v>
      </c>
      <c r="J29" s="3212">
        <v>11.48</v>
      </c>
      <c r="K29" s="3439">
        <f ca="1">G13</f>
        <v>8343</v>
      </c>
      <c r="L29" s="3455">
        <f ca="1">ROUND(K29*J29/10000,2)</f>
        <v>9.58</v>
      </c>
      <c r="M29" s="3484"/>
      <c r="N29" s="3466"/>
      <c r="O29" s="3471"/>
      <c r="P29" s="3472"/>
      <c r="Q29" s="3458"/>
      <c r="R29" s="3458"/>
      <c r="S29" s="3222" t="s">
        <v>3067</v>
      </c>
      <c r="T29" s="3458"/>
    </row>
    <row r="30" spans="1:20" ht="19.5" hidden="1" customHeight="1" thickBot="1">
      <c r="A30" s="3433" t="s">
        <v>2990</v>
      </c>
      <c r="B30" s="3433" t="s">
        <v>3085</v>
      </c>
      <c r="C30" s="3435">
        <v>11.48</v>
      </c>
      <c r="D30" s="3439">
        <f ca="1">E13</f>
        <v>33370</v>
      </c>
      <c r="E30" s="3439">
        <f ca="1">ROUND(D30*D2/10000,2)</f>
        <v>-4271.3599999999997</v>
      </c>
      <c r="F30" s="3435" t="s">
        <v>2821</v>
      </c>
      <c r="H30" s="3434"/>
      <c r="I30" s="3477"/>
      <c r="J30" s="3213" t="s">
        <v>3069</v>
      </c>
      <c r="K30" s="3478"/>
      <c r="L30" s="3478"/>
      <c r="M30" s="3484"/>
      <c r="N30" s="3215" t="s">
        <v>2990</v>
      </c>
      <c r="O30" s="3213" t="s">
        <v>3084</v>
      </c>
      <c r="P30" s="3213" t="s">
        <v>3085</v>
      </c>
      <c r="Q30" s="3214">
        <v>11.48</v>
      </c>
      <c r="R30" s="3225">
        <f ca="1">E13</f>
        <v>33370</v>
      </c>
      <c r="S30" s="3225">
        <f ca="1">E30</f>
        <v>-4271.3599999999997</v>
      </c>
      <c r="T30" s="3214" t="s">
        <v>2821</v>
      </c>
    </row>
    <row r="31" spans="1:20" ht="22.5" hidden="1" customHeight="1" thickBot="1">
      <c r="A31" s="3434"/>
      <c r="B31" s="3434"/>
      <c r="C31" s="3436"/>
      <c r="D31" s="3440"/>
      <c r="E31" s="3440"/>
      <c r="F31" s="3436"/>
      <c r="H31" s="3433" t="s">
        <v>3070</v>
      </c>
      <c r="I31" s="3476" t="s">
        <v>2988</v>
      </c>
      <c r="J31" s="3212">
        <v>136.22</v>
      </c>
      <c r="K31" s="3233">
        <f ca="1">G21</f>
        <v>2412</v>
      </c>
      <c r="L31" s="3233">
        <f ca="1">ROUND(K31*J31/10000,2)</f>
        <v>32.86</v>
      </c>
      <c r="M31" s="3216"/>
      <c r="N31" s="3441" t="s">
        <v>27</v>
      </c>
      <c r="O31" s="3442"/>
      <c r="P31" s="3443"/>
      <c r="Q31" s="3217">
        <v>11.48</v>
      </c>
      <c r="R31" s="3214" t="s">
        <v>2821</v>
      </c>
      <c r="S31" s="3226">
        <f ca="1">S30</f>
        <v>-4271.3599999999997</v>
      </c>
      <c r="T31" s="3214" t="s">
        <v>2821</v>
      </c>
    </row>
    <row r="32" spans="1:20" ht="36" hidden="1" customHeight="1" thickBot="1">
      <c r="A32" s="3433" t="s">
        <v>3070</v>
      </c>
      <c r="B32" s="3433" t="s">
        <v>2988</v>
      </c>
      <c r="C32" s="3435">
        <v>136.22</v>
      </c>
      <c r="D32" s="3439">
        <f ca="1">E21</f>
        <v>9647</v>
      </c>
      <c r="E32" s="3439">
        <f ca="1">ROUND(E21*E6/10000,2)</f>
        <v>-131.41</v>
      </c>
      <c r="F32" s="3435" t="s">
        <v>2821</v>
      </c>
      <c r="H32" s="3450"/>
      <c r="I32" s="3450"/>
      <c r="J32" s="3211" t="s">
        <v>3086</v>
      </c>
      <c r="K32" s="3236" t="s">
        <v>3090</v>
      </c>
      <c r="L32" s="3234"/>
      <c r="M32" s="3216"/>
      <c r="N32" s="3464" t="s">
        <v>3058</v>
      </c>
      <c r="O32" s="3444" t="s">
        <v>3059</v>
      </c>
      <c r="P32" s="3446"/>
      <c r="Q32" s="3209" t="s">
        <v>3071</v>
      </c>
      <c r="R32" s="3209" t="s">
        <v>3082</v>
      </c>
      <c r="S32" s="3209" t="s">
        <v>3079</v>
      </c>
      <c r="T32" s="3209" t="s">
        <v>3083</v>
      </c>
    </row>
    <row r="33" spans="1:21" ht="19.5" hidden="1" customHeight="1" thickBot="1">
      <c r="A33" s="3434"/>
      <c r="B33" s="3434"/>
      <c r="C33" s="3436"/>
      <c r="D33" s="3440"/>
      <c r="E33" s="3440"/>
      <c r="F33" s="3436"/>
      <c r="H33" s="3434"/>
      <c r="I33" s="3477"/>
      <c r="J33" s="3224"/>
      <c r="K33" s="3235"/>
      <c r="L33" s="3235"/>
      <c r="M33" s="3216"/>
      <c r="N33" s="3466"/>
      <c r="O33" s="3447"/>
      <c r="P33" s="3449"/>
      <c r="Q33" s="3209" t="s">
        <v>3074</v>
      </c>
      <c r="R33" s="3209" t="s">
        <v>3075</v>
      </c>
      <c r="S33" s="3209" t="s">
        <v>3073</v>
      </c>
      <c r="T33" s="3209" t="s">
        <v>3075</v>
      </c>
    </row>
    <row r="34" spans="1:21" ht="24.75" hidden="1" customHeight="1" thickBot="1">
      <c r="A34" s="3431" t="s">
        <v>24</v>
      </c>
      <c r="B34" s="3432"/>
      <c r="C34" s="3214">
        <f>C30+C32</f>
        <v>147.69999999999999</v>
      </c>
      <c r="D34" s="3214" t="s">
        <v>2821</v>
      </c>
      <c r="E34" s="3214">
        <f ca="1">E30+E32</f>
        <v>-4402.7699999999995</v>
      </c>
      <c r="F34" s="3214" t="s">
        <v>2821</v>
      </c>
      <c r="H34" s="3451" t="s">
        <v>24</v>
      </c>
      <c r="I34" s="3452"/>
      <c r="J34" s="3479">
        <v>124.74</v>
      </c>
      <c r="K34" s="3455"/>
      <c r="L34" s="3485">
        <f ca="1">L31-L29</f>
        <v>23.28</v>
      </c>
      <c r="M34" s="3484"/>
      <c r="N34" s="3473" t="s">
        <v>3070</v>
      </c>
      <c r="O34" s="3482" t="s">
        <v>3084</v>
      </c>
      <c r="P34" s="3474" t="s">
        <v>2988</v>
      </c>
      <c r="Q34" s="3435">
        <f>E6</f>
        <v>-136.22000000000003</v>
      </c>
      <c r="R34" s="3435">
        <f ca="1">D32</f>
        <v>9647</v>
      </c>
      <c r="S34" s="3225">
        <f ca="1">L31</f>
        <v>32.86</v>
      </c>
      <c r="T34" s="3214" t="s">
        <v>2821</v>
      </c>
    </row>
    <row r="35" spans="1:21" ht="24" hidden="1" customHeight="1" thickBot="1">
      <c r="A35" s="3238"/>
      <c r="B35" s="3238"/>
      <c r="C35" s="3239"/>
      <c r="D35" s="3239"/>
      <c r="E35" s="3239"/>
      <c r="F35" s="3239"/>
      <c r="H35" s="3451"/>
      <c r="I35" s="3452"/>
      <c r="J35" s="3480"/>
      <c r="K35" s="3456"/>
      <c r="L35" s="3486"/>
      <c r="M35" s="3484"/>
      <c r="N35" s="3453"/>
      <c r="O35" s="3483"/>
      <c r="P35" s="3481"/>
      <c r="Q35" s="3436"/>
      <c r="R35" s="3436"/>
      <c r="S35" s="3240" t="s">
        <v>3089</v>
      </c>
      <c r="T35" s="3214"/>
    </row>
    <row r="36" spans="1:21" ht="25.5" hidden="1" customHeight="1" thickBot="1">
      <c r="H36" s="3453"/>
      <c r="I36" s="3454"/>
      <c r="J36" s="3213" t="s">
        <v>3086</v>
      </c>
      <c r="K36" s="3232"/>
      <c r="L36" s="3237" t="s">
        <v>3088</v>
      </c>
      <c r="M36" s="3484"/>
      <c r="N36" s="3441" t="s">
        <v>27</v>
      </c>
      <c r="O36" s="3442"/>
      <c r="P36" s="3443"/>
      <c r="Q36" s="3217">
        <v>136.22</v>
      </c>
      <c r="R36" s="3217" t="s">
        <v>2821</v>
      </c>
      <c r="S36" s="3226">
        <f ca="1">S30-S34</f>
        <v>-4304.2199999999993</v>
      </c>
      <c r="T36" s="3214" t="s">
        <v>2821</v>
      </c>
      <c r="U36" s="3241" t="s">
        <v>3091</v>
      </c>
    </row>
    <row r="37" spans="1:21" ht="31.5" hidden="1" customHeight="1">
      <c r="N37" s="3444" t="s">
        <v>24</v>
      </c>
      <c r="O37" s="3445"/>
      <c r="P37" s="3446"/>
      <c r="Q37" s="3227">
        <v>124.74</v>
      </c>
      <c r="R37" s="3435" t="s">
        <v>2821</v>
      </c>
      <c r="S37" s="3242">
        <f ca="1">S36</f>
        <v>-4304.2199999999993</v>
      </c>
      <c r="T37" s="3435" t="s">
        <v>2821</v>
      </c>
    </row>
    <row r="38" spans="1:21" ht="22.5" hidden="1" customHeight="1" thickBot="1">
      <c r="N38" s="3447"/>
      <c r="O38" s="3448"/>
      <c r="P38" s="3449"/>
      <c r="Q38" s="3209" t="s">
        <v>3086</v>
      </c>
      <c r="R38" s="3436"/>
      <c r="S38" s="3243" t="s">
        <v>3069</v>
      </c>
      <c r="T38" s="3436"/>
    </row>
    <row r="39" spans="1:21" ht="16.5" hidden="1" customHeight="1" thickBot="1"/>
    <row r="40" spans="1:21" ht="23.25" hidden="1" customHeight="1"/>
    <row r="41" spans="1:21" hidden="1"/>
    <row r="42" spans="1:21" hidden="1"/>
    <row r="44" spans="1:21" ht="19.5" thickBot="1">
      <c r="A44" s="3218" t="s">
        <v>3077</v>
      </c>
      <c r="H44" s="3264" t="s">
        <v>3076</v>
      </c>
      <c r="I44" s="3230"/>
      <c r="N44" s="3223" t="s">
        <v>3079</v>
      </c>
    </row>
    <row r="45" spans="1:21" ht="43.5" thickBot="1">
      <c r="A45" s="3626" t="s">
        <v>3058</v>
      </c>
      <c r="B45" s="3626" t="s">
        <v>3059</v>
      </c>
      <c r="C45" s="3627" t="s">
        <v>3060</v>
      </c>
      <c r="D45" s="3627" t="s">
        <v>3063</v>
      </c>
      <c r="E45" s="3627" t="s">
        <v>3066</v>
      </c>
      <c r="F45" s="3627" t="s">
        <v>3068</v>
      </c>
      <c r="H45" s="3651" t="s">
        <v>3058</v>
      </c>
      <c r="I45" s="3651" t="s">
        <v>3059</v>
      </c>
      <c r="J45" s="3627" t="s">
        <v>3071</v>
      </c>
      <c r="K45" s="3652" t="s">
        <v>3072</v>
      </c>
      <c r="L45" s="3653" t="s">
        <v>3073</v>
      </c>
      <c r="N45" s="3672" t="s">
        <v>3058</v>
      </c>
      <c r="O45" s="3673" t="s">
        <v>3059</v>
      </c>
      <c r="P45" s="3674"/>
      <c r="Q45" s="3675" t="s">
        <v>3071</v>
      </c>
      <c r="R45" s="3676" t="s">
        <v>3078</v>
      </c>
      <c r="S45" s="3676" t="s">
        <v>3118</v>
      </c>
      <c r="T45" s="3676" t="s">
        <v>3068</v>
      </c>
    </row>
    <row r="46" spans="1:21" ht="31.5">
      <c r="A46" s="3628"/>
      <c r="B46" s="3628"/>
      <c r="C46" s="3629" t="s">
        <v>3061</v>
      </c>
      <c r="D46" s="3629" t="s">
        <v>3064</v>
      </c>
      <c r="E46" s="3629" t="s">
        <v>3067</v>
      </c>
      <c r="F46" s="3629" t="s">
        <v>3065</v>
      </c>
      <c r="H46" s="3654"/>
      <c r="I46" s="3654"/>
      <c r="J46" s="3655" t="s">
        <v>3080</v>
      </c>
      <c r="K46" s="3655" t="s">
        <v>3081</v>
      </c>
      <c r="L46" s="3656"/>
      <c r="N46" s="3677"/>
      <c r="O46" s="3678"/>
      <c r="P46" s="3679"/>
      <c r="Q46" s="3653" t="s">
        <v>3080</v>
      </c>
      <c r="R46" s="3653" t="s">
        <v>3081</v>
      </c>
      <c r="S46" s="3655" t="s">
        <v>3066</v>
      </c>
      <c r="T46" s="3653" t="s">
        <v>3081</v>
      </c>
    </row>
    <row r="47" spans="1:21" ht="18" thickBot="1">
      <c r="A47" s="3630"/>
      <c r="B47" s="3630"/>
      <c r="C47" s="3631" t="s">
        <v>3062</v>
      </c>
      <c r="D47" s="3631" t="s">
        <v>3065</v>
      </c>
      <c r="E47" s="3632"/>
      <c r="F47" s="3633"/>
      <c r="H47" s="3657" t="s">
        <v>3133</v>
      </c>
      <c r="I47" s="3647" t="s">
        <v>3137</v>
      </c>
      <c r="J47" s="3658" t="s">
        <v>2821</v>
      </c>
      <c r="K47" s="3659">
        <f ca="1">G15</f>
        <v>10436</v>
      </c>
      <c r="L47" s="3660">
        <f ca="1">H15</f>
        <v>1335.81</v>
      </c>
      <c r="N47" s="3680"/>
      <c r="O47" s="3681"/>
      <c r="P47" s="3682"/>
      <c r="Q47" s="3683"/>
      <c r="R47" s="3683"/>
      <c r="S47" s="3684" t="s">
        <v>3067</v>
      </c>
      <c r="T47" s="3683"/>
    </row>
    <row r="48" spans="1:21" ht="25.5" customHeight="1" thickBot="1">
      <c r="A48" s="3634" t="s">
        <v>3133</v>
      </c>
      <c r="B48" s="3635" t="s">
        <v>3126</v>
      </c>
      <c r="C48" s="3259" t="s">
        <v>2821</v>
      </c>
      <c r="D48" s="3259">
        <f ca="1">E15</f>
        <v>41742</v>
      </c>
      <c r="E48" s="3259">
        <f ca="1">F15</f>
        <v>5342.98</v>
      </c>
      <c r="F48" s="3259" t="s">
        <v>2821</v>
      </c>
      <c r="H48" s="3657"/>
      <c r="I48" s="3647"/>
      <c r="J48" s="3658"/>
      <c r="K48" s="3659"/>
      <c r="L48" s="3660"/>
      <c r="N48" s="3634" t="s">
        <v>2990</v>
      </c>
      <c r="O48" s="3685" t="s">
        <v>3119</v>
      </c>
      <c r="P48" s="3686" t="s">
        <v>3126</v>
      </c>
      <c r="Q48" s="3459">
        <f>D3</f>
        <v>1280</v>
      </c>
      <c r="R48" s="3459">
        <f ca="1">D51</f>
        <v>8372</v>
      </c>
      <c r="S48" s="3459">
        <f ca="1">E51</f>
        <v>1071.6199999999999</v>
      </c>
      <c r="T48" s="3459">
        <f>V17-V15</f>
        <v>0</v>
      </c>
    </row>
    <row r="49" spans="1:20" ht="15.75" customHeight="1" thickBot="1">
      <c r="A49" s="3636"/>
      <c r="B49" s="3634" t="s">
        <v>3129</v>
      </c>
      <c r="C49" s="3459" t="s">
        <v>2821</v>
      </c>
      <c r="D49" s="3459">
        <f ca="1">E13</f>
        <v>33370</v>
      </c>
      <c r="E49" s="3459">
        <f ca="1">F13</f>
        <v>4271.3599999999997</v>
      </c>
      <c r="F49" s="3459" t="s">
        <v>2821</v>
      </c>
      <c r="H49" s="3657"/>
      <c r="I49" s="3647" t="s">
        <v>3127</v>
      </c>
      <c r="J49" s="3658" t="s">
        <v>2821</v>
      </c>
      <c r="K49" s="3659">
        <f ca="1">G13</f>
        <v>8343</v>
      </c>
      <c r="L49" s="3660">
        <f ca="1">H13</f>
        <v>1067.9000000000001</v>
      </c>
      <c r="N49" s="3637"/>
      <c r="O49" s="3687" t="s">
        <v>3059</v>
      </c>
      <c r="P49" s="3688"/>
      <c r="Q49" s="3460"/>
      <c r="R49" s="3460"/>
      <c r="S49" s="3460"/>
      <c r="T49" s="3460"/>
    </row>
    <row r="50" spans="1:20" ht="15.75" thickBot="1">
      <c r="A50" s="3636"/>
      <c r="B50" s="3637"/>
      <c r="C50" s="3460"/>
      <c r="D50" s="3460"/>
      <c r="E50" s="3460"/>
      <c r="F50" s="3460"/>
      <c r="H50" s="3657"/>
      <c r="I50" s="3647"/>
      <c r="J50" s="3658"/>
      <c r="K50" s="3659"/>
      <c r="L50" s="3660"/>
      <c r="N50" s="3689"/>
      <c r="O50" s="3690" t="s">
        <v>3148</v>
      </c>
      <c r="P50" s="3691" t="s">
        <v>3137</v>
      </c>
      <c r="Q50" s="3259">
        <f>E3</f>
        <v>11.480000000000018</v>
      </c>
      <c r="R50" s="3259">
        <f ca="1">D56</f>
        <v>41742</v>
      </c>
      <c r="S50" s="3259">
        <f ca="1">E56</f>
        <v>47.92</v>
      </c>
      <c r="T50" s="3259"/>
    </row>
    <row r="51" spans="1:20" ht="29.25" thickBot="1">
      <c r="A51" s="3637"/>
      <c r="B51" s="3635" t="s">
        <v>3128</v>
      </c>
      <c r="C51" s="3259">
        <v>1280</v>
      </c>
      <c r="D51" s="3259">
        <f ca="1">D48-D49</f>
        <v>8372</v>
      </c>
      <c r="E51" s="3259">
        <f ca="1">ROUND(D51*C51/10000,2)</f>
        <v>1071.6199999999999</v>
      </c>
      <c r="F51" s="3265" t="s">
        <v>3151</v>
      </c>
      <c r="H51" s="3657"/>
      <c r="I51" s="3647"/>
      <c r="J51" s="3658"/>
      <c r="K51" s="3659"/>
      <c r="L51" s="3660"/>
      <c r="N51" s="3692" t="s">
        <v>27</v>
      </c>
      <c r="O51" s="3693"/>
      <c r="P51" s="3694"/>
      <c r="Q51" s="3695">
        <f>Q50+Q48</f>
        <v>1291.48</v>
      </c>
      <c r="R51" s="3259" t="s">
        <v>2821</v>
      </c>
      <c r="S51" s="3696">
        <f ca="1">S50+S48</f>
        <v>1119.54</v>
      </c>
      <c r="T51" s="3259" t="s">
        <v>2821</v>
      </c>
    </row>
    <row r="52" spans="1:20" ht="57.75" thickBot="1">
      <c r="A52" s="3638" t="s">
        <v>3134</v>
      </c>
      <c r="B52" s="3635" t="s">
        <v>3146</v>
      </c>
      <c r="C52" s="3259" t="s">
        <v>2821</v>
      </c>
      <c r="D52" s="3259">
        <f ca="1">E19</f>
        <v>31552</v>
      </c>
      <c r="E52" s="3259">
        <f ca="1">ROUND(D52*C54/10000,2)</f>
        <v>1309.4100000000001</v>
      </c>
      <c r="F52" s="3259" t="s">
        <v>2821</v>
      </c>
      <c r="H52" s="3661"/>
      <c r="I52" s="3662" t="s">
        <v>3128</v>
      </c>
      <c r="J52" s="3262">
        <v>1280</v>
      </c>
      <c r="K52" s="3662">
        <f ca="1">K47-K49</f>
        <v>2093</v>
      </c>
      <c r="L52" s="3663">
        <f ca="1">L47-L49</f>
        <v>267.90999999999985</v>
      </c>
      <c r="N52" s="3672" t="s">
        <v>3058</v>
      </c>
      <c r="O52" s="3673" t="s">
        <v>3059</v>
      </c>
      <c r="P52" s="3674"/>
      <c r="Q52" s="3631" t="s">
        <v>3071</v>
      </c>
      <c r="R52" s="3684" t="s">
        <v>3082</v>
      </c>
      <c r="S52" s="3684" t="s">
        <v>3079</v>
      </c>
      <c r="T52" s="3684" t="s">
        <v>3083</v>
      </c>
    </row>
    <row r="53" spans="1:20" ht="45.75" customHeight="1" thickBot="1">
      <c r="A53" s="3639"/>
      <c r="B53" s="3635" t="s">
        <v>3147</v>
      </c>
      <c r="C53" s="3259" t="s">
        <v>2821</v>
      </c>
      <c r="D53" s="3259">
        <f ca="1">E17</f>
        <v>10011</v>
      </c>
      <c r="E53" s="3259">
        <f ca="1">ROUND(D53*C54/10000,2)</f>
        <v>415.46</v>
      </c>
      <c r="F53" s="3259" t="s">
        <v>2821</v>
      </c>
      <c r="H53" s="3661" t="s">
        <v>3152</v>
      </c>
      <c r="I53" s="3662" t="s">
        <v>3130</v>
      </c>
      <c r="J53" s="3262" t="s">
        <v>2821</v>
      </c>
      <c r="K53" s="3664">
        <f ca="1">G19</f>
        <v>7888</v>
      </c>
      <c r="L53" s="3665">
        <f ca="1">H19</f>
        <v>327.35000000000002</v>
      </c>
      <c r="N53" s="3680"/>
      <c r="O53" s="3681"/>
      <c r="P53" s="3682"/>
      <c r="Q53" s="3684" t="s">
        <v>3080</v>
      </c>
      <c r="R53" s="3684" t="s">
        <v>3081</v>
      </c>
      <c r="S53" s="3684" t="s">
        <v>3073</v>
      </c>
      <c r="T53" s="3684" t="s">
        <v>3081</v>
      </c>
    </row>
    <row r="54" spans="1:20" ht="43.5" thickBot="1">
      <c r="A54" s="3640"/>
      <c r="B54" s="3635" t="s">
        <v>3145</v>
      </c>
      <c r="C54" s="3259">
        <v>415</v>
      </c>
      <c r="D54" s="3259">
        <f ca="1">D52-D53</f>
        <v>21541</v>
      </c>
      <c r="E54" s="3259">
        <f ca="1">E52-E53</f>
        <v>893.95</v>
      </c>
      <c r="F54" s="3259" t="s">
        <v>2821</v>
      </c>
      <c r="H54" s="3661"/>
      <c r="I54" s="3662" t="s">
        <v>3132</v>
      </c>
      <c r="J54" s="3262" t="s">
        <v>2821</v>
      </c>
      <c r="K54" s="3664">
        <f ca="1">G17</f>
        <v>2503</v>
      </c>
      <c r="L54" s="3665">
        <f ca="1">H17</f>
        <v>103.87</v>
      </c>
      <c r="N54" s="3697" t="s">
        <v>3070</v>
      </c>
      <c r="O54" s="3685" t="s">
        <v>3149</v>
      </c>
      <c r="P54" s="3691" t="s">
        <v>3131</v>
      </c>
      <c r="Q54" s="3259">
        <f>D5</f>
        <v>415</v>
      </c>
      <c r="R54" s="3259">
        <f ca="1">K55</f>
        <v>5385</v>
      </c>
      <c r="S54" s="3259">
        <f ca="1">ROUND(R54*Q54/10000,2)</f>
        <v>223.48</v>
      </c>
      <c r="T54" s="3698" t="s">
        <v>2821</v>
      </c>
    </row>
    <row r="55" spans="1:20" ht="43.5" thickBot="1">
      <c r="A55" s="3638" t="s">
        <v>3135</v>
      </c>
      <c r="B55" s="3641"/>
      <c r="C55" s="3642">
        <f>C51+C54</f>
        <v>1695</v>
      </c>
      <c r="D55" s="3642" t="s">
        <v>2821</v>
      </c>
      <c r="E55" s="3642">
        <f ca="1">E51+E54</f>
        <v>1965.57</v>
      </c>
      <c r="F55" s="3642" t="s">
        <v>2821</v>
      </c>
      <c r="H55" s="3661"/>
      <c r="I55" s="3662" t="s">
        <v>3145</v>
      </c>
      <c r="J55" s="3262">
        <v>415</v>
      </c>
      <c r="K55" s="3664">
        <f ca="1">K53-K54</f>
        <v>5385</v>
      </c>
      <c r="L55" s="3665">
        <f ca="1">ROUND(K55*J55/10000,2)</f>
        <v>223.48</v>
      </c>
      <c r="N55" s="3699"/>
      <c r="O55" s="3687" t="s">
        <v>3150</v>
      </c>
      <c r="P55" s="3691" t="s">
        <v>3136</v>
      </c>
      <c r="Q55" s="3259">
        <f>F6</f>
        <v>136.22</v>
      </c>
      <c r="R55" s="3259">
        <f ca="1">K58</f>
        <v>-2412</v>
      </c>
      <c r="S55" s="3696">
        <f ca="1">-ROUND(G21*F6/10000,2)</f>
        <v>-32.86</v>
      </c>
      <c r="T55" s="3698"/>
    </row>
    <row r="56" spans="1:20" ht="30.75" customHeight="1" thickBot="1">
      <c r="A56" s="3262" t="s">
        <v>3141</v>
      </c>
      <c r="B56" s="3262" t="s">
        <v>3139</v>
      </c>
      <c r="C56" s="3643">
        <f>E3</f>
        <v>11.480000000000018</v>
      </c>
      <c r="D56" s="3643">
        <f ca="1">E15</f>
        <v>41742</v>
      </c>
      <c r="E56" s="3643">
        <f ca="1">ROUND(D56*C56/10000,2)</f>
        <v>47.92</v>
      </c>
      <c r="F56" s="3644"/>
      <c r="H56" s="3657" t="s">
        <v>3135</v>
      </c>
      <c r="I56" s="3647"/>
      <c r="J56" s="3262" t="s">
        <v>3120</v>
      </c>
      <c r="K56" s="3664">
        <f ca="1">K52+K55</f>
        <v>7478</v>
      </c>
      <c r="L56" s="3665">
        <f ca="1">L52+L55</f>
        <v>491.38999999999987</v>
      </c>
      <c r="N56" s="3692" t="s">
        <v>27</v>
      </c>
      <c r="O56" s="3693"/>
      <c r="P56" s="3694"/>
      <c r="Q56" s="3259">
        <f>Q54+Q55</f>
        <v>551.22</v>
      </c>
      <c r="R56" s="3695" t="s">
        <v>2821</v>
      </c>
      <c r="S56" s="3695">
        <f ca="1">S54+S55</f>
        <v>190.62</v>
      </c>
      <c r="T56" s="3698"/>
    </row>
    <row r="57" spans="1:20" ht="27" customHeight="1" thickBot="1">
      <c r="A57" s="3263" t="s">
        <v>3142</v>
      </c>
      <c r="B57" s="3263" t="s">
        <v>3140</v>
      </c>
      <c r="C57" s="3645">
        <f>F6</f>
        <v>136.22</v>
      </c>
      <c r="D57" s="3645">
        <f ca="1">E21</f>
        <v>9647</v>
      </c>
      <c r="E57" s="3645">
        <f ca="1">-ROUND(D57*C57/10000,2)</f>
        <v>-131.41</v>
      </c>
      <c r="F57" s="3646"/>
      <c r="H57" s="3666" t="s">
        <v>3141</v>
      </c>
      <c r="I57" s="3262" t="s">
        <v>3139</v>
      </c>
      <c r="J57" s="3662">
        <v>11.48</v>
      </c>
      <c r="K57" s="3664">
        <f ca="1">G15</f>
        <v>10436</v>
      </c>
      <c r="L57" s="3665">
        <f ca="1">ROUND(K57*J57/10000,2)</f>
        <v>11.98</v>
      </c>
      <c r="N57" s="3692" t="s">
        <v>24</v>
      </c>
      <c r="O57" s="3693"/>
      <c r="P57" s="3694"/>
      <c r="Q57" s="3259">
        <f>Q51+Q56</f>
        <v>1842.7</v>
      </c>
      <c r="R57" s="3700" t="s">
        <v>2821</v>
      </c>
      <c r="S57" s="3701">
        <f ca="1">S51+S56</f>
        <v>1310.1599999999999</v>
      </c>
      <c r="T57" s="3698" t="s">
        <v>2821</v>
      </c>
    </row>
    <row r="58" spans="1:20" ht="29.25" thickBot="1">
      <c r="A58" s="3647" t="s">
        <v>3138</v>
      </c>
      <c r="B58" s="3647"/>
      <c r="C58" s="3259">
        <f>C57+C56</f>
        <v>147.70000000000002</v>
      </c>
      <c r="D58" s="3259" t="s">
        <v>2821</v>
      </c>
      <c r="E58" s="3262">
        <f ca="1">E56+E57</f>
        <v>-83.49</v>
      </c>
      <c r="F58" s="3262" t="s">
        <v>2821</v>
      </c>
      <c r="H58" s="3666" t="s">
        <v>3142</v>
      </c>
      <c r="I58" s="3262" t="s">
        <v>3140</v>
      </c>
      <c r="J58" s="3262">
        <f>F6</f>
        <v>136.22</v>
      </c>
      <c r="K58" s="3262">
        <f ca="1">-G21</f>
        <v>-2412</v>
      </c>
      <c r="L58" s="3667">
        <f ca="1">ROUND(K58*J58/10000,2)</f>
        <v>-32.86</v>
      </c>
    </row>
    <row r="59" spans="1:20" ht="15.75" thickBot="1">
      <c r="A59" s="3648" t="s">
        <v>3143</v>
      </c>
      <c r="B59" s="3648"/>
      <c r="C59" s="3259">
        <f>C55+C58</f>
        <v>1842.7</v>
      </c>
      <c r="D59" s="3259" t="s">
        <v>2821</v>
      </c>
      <c r="E59" s="3649">
        <f ca="1">E55+E58</f>
        <v>1882.08</v>
      </c>
      <c r="F59" s="3650"/>
      <c r="H59" s="3668" t="s">
        <v>3155</v>
      </c>
      <c r="I59" s="3669"/>
      <c r="J59" s="3670">
        <f>J57+J58</f>
        <v>147.69999999999999</v>
      </c>
      <c r="K59" s="3262" t="s">
        <v>2821</v>
      </c>
      <c r="L59" s="3671">
        <f ca="1">L57+L58</f>
        <v>-20.88</v>
      </c>
    </row>
    <row r="60" spans="1:20" ht="15.75" thickBot="1">
      <c r="H60" s="3668" t="s">
        <v>24</v>
      </c>
      <c r="I60" s="3669"/>
      <c r="J60" s="3670">
        <f>J52+J55+J59</f>
        <v>1842.7</v>
      </c>
      <c r="K60" s="3262" t="s">
        <v>2821</v>
      </c>
      <c r="L60" s="3671">
        <f ca="1">L56+L59</f>
        <v>470.50999999999988</v>
      </c>
    </row>
  </sheetData>
  <mergeCells count="111">
    <mergeCell ref="H60:I60"/>
    <mergeCell ref="A13:A14"/>
    <mergeCell ref="A21:A22"/>
    <mergeCell ref="A11:J11"/>
    <mergeCell ref="E13:E14"/>
    <mergeCell ref="E21:E22"/>
    <mergeCell ref="A15:A16"/>
    <mergeCell ref="E15:E16"/>
    <mergeCell ref="A17:A18"/>
    <mergeCell ref="G15:G16"/>
    <mergeCell ref="H15:H16"/>
    <mergeCell ref="F13:F14"/>
    <mergeCell ref="F21:F22"/>
    <mergeCell ref="G21:G22"/>
    <mergeCell ref="G13:G14"/>
    <mergeCell ref="H13:H14"/>
    <mergeCell ref="H21:H22"/>
    <mergeCell ref="A19:A20"/>
    <mergeCell ref="E19:E20"/>
    <mergeCell ref="E17:E18"/>
    <mergeCell ref="G17:G18"/>
    <mergeCell ref="H17:H18"/>
    <mergeCell ref="T28:T29"/>
    <mergeCell ref="H27:H28"/>
    <mergeCell ref="I27:I28"/>
    <mergeCell ref="L27:L28"/>
    <mergeCell ref="I29:I30"/>
    <mergeCell ref="K29:K30"/>
    <mergeCell ref="L29:L30"/>
    <mergeCell ref="T37:T38"/>
    <mergeCell ref="J34:J35"/>
    <mergeCell ref="R34:R35"/>
    <mergeCell ref="Q34:Q35"/>
    <mergeCell ref="P34:P35"/>
    <mergeCell ref="O34:O35"/>
    <mergeCell ref="N34:N35"/>
    <mergeCell ref="N31:P31"/>
    <mergeCell ref="N32:N33"/>
    <mergeCell ref="O32:P33"/>
    <mergeCell ref="H29:H30"/>
    <mergeCell ref="M29:M30"/>
    <mergeCell ref="H31:H33"/>
    <mergeCell ref="I31:I33"/>
    <mergeCell ref="L34:L35"/>
    <mergeCell ref="M34:M36"/>
    <mergeCell ref="N57:P57"/>
    <mergeCell ref="A52:A54"/>
    <mergeCell ref="A58:B58"/>
    <mergeCell ref="Q46:Q47"/>
    <mergeCell ref="R46:R47"/>
    <mergeCell ref="R37:R38"/>
    <mergeCell ref="N27:N29"/>
    <mergeCell ref="O27:P29"/>
    <mergeCell ref="Q28:Q29"/>
    <mergeCell ref="R28:R29"/>
    <mergeCell ref="D32:D33"/>
    <mergeCell ref="E32:E33"/>
    <mergeCell ref="F32:F33"/>
    <mergeCell ref="C32:C33"/>
    <mergeCell ref="N56:P56"/>
    <mergeCell ref="N52:N53"/>
    <mergeCell ref="O52:P53"/>
    <mergeCell ref="A55:B55"/>
    <mergeCell ref="A30:A31"/>
    <mergeCell ref="A32:A33"/>
    <mergeCell ref="A34:B34"/>
    <mergeCell ref="C30:C31"/>
    <mergeCell ref="A27:A29"/>
    <mergeCell ref="B27:B29"/>
    <mergeCell ref="T46:T47"/>
    <mergeCell ref="L47:L48"/>
    <mergeCell ref="A48:A51"/>
    <mergeCell ref="N48:N49"/>
    <mergeCell ref="P48:P49"/>
    <mergeCell ref="Q48:Q49"/>
    <mergeCell ref="R48:R49"/>
    <mergeCell ref="S48:S49"/>
    <mergeCell ref="T48:T49"/>
    <mergeCell ref="L49:L51"/>
    <mergeCell ref="N51:P51"/>
    <mergeCell ref="A45:A47"/>
    <mergeCell ref="B45:B47"/>
    <mergeCell ref="L45:L46"/>
    <mergeCell ref="N45:N47"/>
    <mergeCell ref="O45:P47"/>
    <mergeCell ref="J47:J48"/>
    <mergeCell ref="I47:I48"/>
    <mergeCell ref="K47:K48"/>
    <mergeCell ref="I49:I51"/>
    <mergeCell ref="J49:J51"/>
    <mergeCell ref="K49:K51"/>
    <mergeCell ref="N36:P36"/>
    <mergeCell ref="N37:P38"/>
    <mergeCell ref="E30:E31"/>
    <mergeCell ref="F30:F31"/>
    <mergeCell ref="B32:B33"/>
    <mergeCell ref="H47:H51"/>
    <mergeCell ref="H56:I56"/>
    <mergeCell ref="H34:I36"/>
    <mergeCell ref="K34:K35"/>
    <mergeCell ref="H59:I59"/>
    <mergeCell ref="B49:B50"/>
    <mergeCell ref="C49:C50"/>
    <mergeCell ref="D49:D50"/>
    <mergeCell ref="E49:E50"/>
    <mergeCell ref="F49:F50"/>
    <mergeCell ref="A59:B59"/>
    <mergeCell ref="G19:G20"/>
    <mergeCell ref="H19:H20"/>
    <mergeCell ref="B30:B31"/>
    <mergeCell ref="D30:D31"/>
  </mergeCells>
  <phoneticPr fontId="233" type="noConversion"/>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66" t="str">
        <f>项目基本情况!B1</f>
        <v>北京市出让国有建设用地使用权市场价格预评估</v>
      </c>
      <c r="C37" s="3266"/>
      <c r="D37" s="3266"/>
      <c r="E37" s="3266"/>
      <c r="F37" s="3266"/>
      <c r="G37" s="3266"/>
      <c r="H37" s="3266"/>
      <c r="I37" s="3266"/>
    </row>
    <row r="38" spans="1:9">
      <c r="A38" s="1655"/>
      <c r="B38" s="1655"/>
    </row>
    <row r="39" spans="1:9">
      <c r="A39" s="1653" t="s">
        <v>1902</v>
      </c>
      <c r="B39" s="1653" t="s">
        <v>2049</v>
      </c>
    </row>
    <row r="40" spans="1:9">
      <c r="A40" s="1653"/>
      <c r="B40" s="1653">
        <f>项目基本情况!B5</f>
        <v>0</v>
      </c>
    </row>
    <row r="41" spans="1:9">
      <c r="A41" s="1653"/>
      <c r="B41" s="1653"/>
    </row>
    <row r="42" spans="1:9">
      <c r="A42" s="1653" t="s">
        <v>1902</v>
      </c>
      <c r="B42" s="1653" t="s">
        <v>2050</v>
      </c>
    </row>
    <row r="43" spans="1:9">
      <c r="A43" s="1653"/>
      <c r="B43" s="1653" t="s">
        <v>1904</v>
      </c>
    </row>
    <row r="44" spans="1:9">
      <c r="A44" s="1653"/>
      <c r="B44" s="1653"/>
    </row>
    <row r="45" spans="1:9">
      <c r="A45" s="1653" t="s">
        <v>1902</v>
      </c>
      <c r="B45" s="1653" t="s">
        <v>2048</v>
      </c>
    </row>
    <row r="46" spans="1:9" s="1653" customFormat="1" ht="12.75">
      <c r="B46" s="1653" t="str">
        <f>项目基本情况!K4</f>
        <v>陈颖、杨红英</v>
      </c>
    </row>
    <row r="47" spans="1:9">
      <c r="A47" s="1653"/>
      <c r="B47" s="1653"/>
    </row>
    <row r="48" spans="1:9">
      <c r="A48" s="1653" t="s">
        <v>1902</v>
      </c>
      <c r="B48" s="1653" t="s">
        <v>2051</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N27" sqref="N27"/>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19" t="s">
        <v>466</v>
      </c>
      <c r="B1" s="2831" t="s">
        <v>1678</v>
      </c>
      <c r="C1" s="2104"/>
      <c r="D1" s="2104"/>
      <c r="E1" s="2104"/>
      <c r="F1" s="2104"/>
      <c r="G1" s="2104"/>
      <c r="H1" s="2104"/>
      <c r="I1" s="2104"/>
      <c r="J1" s="2104"/>
      <c r="K1" s="420">
        <f>MATCH(B1,'数据-取费表'!A6:A16,0)+5</f>
        <v>6</v>
      </c>
    </row>
    <row r="2" spans="1:41" s="2041" customFormat="1" ht="18" customHeight="1">
      <c r="A2" s="421" t="s">
        <v>467</v>
      </c>
      <c r="B2" s="422">
        <f ca="1">C32</f>
        <v>29571.44808030401</v>
      </c>
      <c r="C2" s="2104"/>
      <c r="D2" s="2104"/>
      <c r="E2" s="2104"/>
      <c r="F2" s="2104"/>
      <c r="G2" s="2104"/>
      <c r="H2" s="2104"/>
      <c r="I2" s="2104"/>
      <c r="J2" s="2104"/>
      <c r="K2" s="2104"/>
    </row>
    <row r="3" spans="1:41" s="2041" customFormat="1" ht="18" customHeight="1">
      <c r="A3" s="1378" t="s">
        <v>1685</v>
      </c>
      <c r="B3" s="423">
        <f ca="1">ROUND(B2*10000/IF(B1="",'数据-汇总表'!E3,INDIRECT("'数据-取费表'!K"&amp;$K$1)),0)</f>
        <v>29571</v>
      </c>
      <c r="C3" s="2104"/>
      <c r="D3" s="2104"/>
      <c r="E3" s="2104"/>
      <c r="F3" s="2104"/>
      <c r="G3" s="2104"/>
      <c r="H3" s="2104"/>
      <c r="I3" s="2104"/>
      <c r="J3" s="2104"/>
      <c r="K3" s="2104"/>
    </row>
    <row r="4" spans="1:41" s="2041" customFormat="1" ht="18" customHeight="1">
      <c r="A4" s="424" t="s">
        <v>468</v>
      </c>
      <c r="B4" s="425">
        <f ca="1">ROUND(B2*10000/IF(B1="",'数据-汇总表'!D3,INDIRECT("'数据-取费表'!R"&amp;$K$1)),0)</f>
        <v>142234</v>
      </c>
      <c r="C4" s="2061"/>
      <c r="D4" s="2104"/>
      <c r="E4" s="2104"/>
      <c r="F4" s="2104"/>
      <c r="G4" s="2104"/>
      <c r="H4" s="2104"/>
      <c r="I4" s="2104"/>
      <c r="J4" s="2104"/>
      <c r="K4" s="2104"/>
    </row>
    <row r="5" spans="1:41" s="2041" customFormat="1" ht="18" customHeight="1" thickBot="1">
      <c r="A5" s="427"/>
      <c r="B5" s="428">
        <f ca="1">ROUND(B2/(IF(B1="",'数据-汇总表'!D3,INDIRECT("'数据-取费表'!R"&amp;$K$1))/666.67),0)</f>
        <v>9482</v>
      </c>
      <c r="C5" s="429" t="s">
        <v>469</v>
      </c>
      <c r="D5" s="2104"/>
      <c r="E5" s="2104"/>
      <c r="F5" s="2104"/>
      <c r="G5" s="2104"/>
      <c r="H5" s="2104"/>
      <c r="I5" s="2104"/>
      <c r="J5" s="2104"/>
      <c r="K5" s="2104"/>
    </row>
    <row r="6" spans="1:41" s="2111" customFormat="1" ht="16.5" customHeight="1">
      <c r="A6" s="430" t="s">
        <v>2656</v>
      </c>
      <c r="B6" s="431"/>
      <c r="C6" s="1622">
        <f>SUM(C10:K10)</f>
        <v>47136</v>
      </c>
      <c r="D6" s="2109"/>
      <c r="E6" s="2109"/>
      <c r="F6" s="2109"/>
      <c r="G6" s="2109"/>
      <c r="H6" s="2109"/>
      <c r="I6" s="2109"/>
      <c r="J6" s="2109"/>
      <c r="K6" s="2110"/>
    </row>
    <row r="7" spans="1:41" s="2113" customFormat="1" ht="15">
      <c r="A7" s="432" t="s">
        <v>470</v>
      </c>
      <c r="B7" s="433" t="s">
        <v>471</v>
      </c>
      <c r="C7" s="434" t="s">
        <v>1678</v>
      </c>
      <c r="D7" s="434"/>
      <c r="E7" s="434"/>
      <c r="F7" s="434"/>
      <c r="G7" s="434"/>
      <c r="H7" s="434"/>
      <c r="I7" s="434"/>
      <c r="J7" s="434"/>
      <c r="K7" s="435"/>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1846</v>
      </c>
      <c r="B8" s="436" t="s">
        <v>472</v>
      </c>
      <c r="C8" s="437">
        <f>'不动产比较法-办公'!C50</f>
        <v>47136</v>
      </c>
      <c r="D8" s="437"/>
      <c r="E8" s="437"/>
      <c r="F8" s="437"/>
      <c r="G8" s="437"/>
      <c r="H8" s="437"/>
      <c r="I8" s="437"/>
      <c r="J8" s="437"/>
      <c r="K8" s="438"/>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1847</v>
      </c>
      <c r="B9" s="436" t="s">
        <v>473</v>
      </c>
      <c r="C9" s="439">
        <f>SUMIF('数据-汇总表'!$C19:$C33,'剩余法-现房'!C7,'数据-汇总表'!$E19:$E33)</f>
        <v>10000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1848</v>
      </c>
      <c r="B10" s="1623" t="s">
        <v>474</v>
      </c>
      <c r="C10" s="1624">
        <f>C8</f>
        <v>47136</v>
      </c>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1865</v>
      </c>
      <c r="B11" s="1620"/>
      <c r="C11" s="1620"/>
      <c r="D11" s="1620"/>
      <c r="E11" s="1620"/>
      <c r="F11" s="1620"/>
      <c r="G11" s="1620"/>
      <c r="H11" s="1620"/>
      <c r="I11" s="1620"/>
      <c r="J11" s="1620"/>
      <c r="K11" s="1621"/>
    </row>
    <row r="12" spans="1:41" s="2085" customFormat="1" ht="13.5" customHeight="1">
      <c r="A12" s="432" t="s">
        <v>470</v>
      </c>
      <c r="B12" s="442" t="s">
        <v>471</v>
      </c>
      <c r="C12" s="443" t="s">
        <v>475</v>
      </c>
      <c r="D12" s="444" t="s">
        <v>476</v>
      </c>
      <c r="E12" s="444" t="s">
        <v>477</v>
      </c>
      <c r="F12" s="444" t="s">
        <v>478</v>
      </c>
      <c r="G12" s="442"/>
      <c r="H12" s="445"/>
      <c r="I12" s="445"/>
      <c r="J12" s="445"/>
      <c r="K12" s="446"/>
    </row>
    <row r="13" spans="1:41" s="2116" customFormat="1" ht="13.5" customHeight="1">
      <c r="A13" s="1632" t="s">
        <v>1849</v>
      </c>
      <c r="B13" s="447" t="s">
        <v>479</v>
      </c>
      <c r="C13" s="448">
        <f ca="1">IF(B1="",'数据-取费表'!M16,INDIRECT("'数据-取费表'!M"&amp;$K$1)+INDIRECT("'数据-取费表'!t"&amp;$K$1))</f>
        <v>2500</v>
      </c>
      <c r="D13" s="449"/>
      <c r="E13" s="363"/>
      <c r="F13" s="450"/>
      <c r="G13" s="442"/>
      <c r="H13" s="445"/>
      <c r="I13" s="445"/>
      <c r="J13" s="445"/>
      <c r="K13" s="446"/>
    </row>
    <row r="14" spans="1:41" s="2116" customFormat="1" ht="13.5" customHeight="1">
      <c r="A14" s="1632" t="s">
        <v>1850</v>
      </c>
      <c r="B14" s="447" t="s">
        <v>480</v>
      </c>
      <c r="C14" s="51">
        <f ca="1">ROUND(C13*F14,0)</f>
        <v>75</v>
      </c>
      <c r="D14" s="449"/>
      <c r="E14" s="363"/>
      <c r="F14" s="451">
        <f>'数据-取费表'!B33</f>
        <v>0.03</v>
      </c>
      <c r="G14" s="442" t="s">
        <v>502</v>
      </c>
      <c r="H14" s="445"/>
      <c r="I14" s="445"/>
      <c r="J14" s="445"/>
      <c r="K14" s="446"/>
    </row>
    <row r="15" spans="1:41" s="2116" customFormat="1" ht="13.5" customHeight="1">
      <c r="A15" s="1632" t="s">
        <v>1851</v>
      </c>
      <c r="B15" s="447" t="s">
        <v>482</v>
      </c>
      <c r="C15" s="51">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117" customFormat="1" ht="13.5" customHeight="1">
      <c r="A16" s="1632" t="s">
        <v>1852</v>
      </c>
      <c r="B16" s="447" t="s">
        <v>484</v>
      </c>
      <c r="C16" s="51">
        <f ca="1">ROUND(D16*E16/10000,0)</f>
        <v>200</v>
      </c>
      <c r="D16" s="449">
        <f ca="1">IF(B1="",'数据-汇总表'!E3,INDIRECT("'数据-取费表'!K"&amp;$K$1)+INDIRECT("'数据-取费表'!S"&amp;$K$1))</f>
        <v>10000</v>
      </c>
      <c r="E16" s="51">
        <f>'数据-取费表'!B35</f>
        <v>200</v>
      </c>
      <c r="F16" s="451"/>
      <c r="G16" s="442"/>
      <c r="H16" s="445"/>
      <c r="I16" s="445"/>
      <c r="J16" s="445"/>
      <c r="K16" s="446"/>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1853</v>
      </c>
      <c r="B17" s="447" t="s">
        <v>485</v>
      </c>
      <c r="C17" s="452">
        <f ca="1">ROUND(C13*F17,0)</f>
        <v>38</v>
      </c>
      <c r="D17" s="453"/>
      <c r="E17" s="452"/>
      <c r="F17" s="454">
        <f>'数据-取费表'!B36</f>
        <v>1.4999999999999999E-2</v>
      </c>
      <c r="G17" s="442" t="s">
        <v>502</v>
      </c>
      <c r="H17" s="455"/>
      <c r="I17" s="455"/>
      <c r="J17" s="455"/>
      <c r="K17" s="456"/>
    </row>
    <row r="18" spans="1:14" s="2119" customFormat="1" ht="13.5" customHeight="1">
      <c r="A18" s="1633" t="s">
        <v>1854</v>
      </c>
      <c r="B18" s="457" t="s">
        <v>487</v>
      </c>
      <c r="C18" s="458">
        <f ca="1">SUM(C13:C17)</f>
        <v>2813</v>
      </c>
      <c r="D18" s="459"/>
      <c r="E18" s="460"/>
      <c r="F18" s="460"/>
      <c r="G18" s="1325" t="s">
        <v>2436</v>
      </c>
      <c r="H18" s="445"/>
      <c r="I18" s="445"/>
      <c r="J18" s="445"/>
      <c r="K18" s="446"/>
    </row>
    <row r="19" spans="1:14" s="2119" customFormat="1" ht="13.5" customHeight="1">
      <c r="A19" s="1633" t="s">
        <v>1855</v>
      </c>
      <c r="B19" s="457" t="s">
        <v>493</v>
      </c>
      <c r="C19" s="458">
        <f ca="1">ROUND(C18*F19,0)</f>
        <v>56</v>
      </c>
      <c r="D19" s="460"/>
      <c r="E19" s="460"/>
      <c r="F19" s="464">
        <f>'数据-取费表'!B37</f>
        <v>0.02</v>
      </c>
      <c r="G19" s="442" t="s">
        <v>503</v>
      </c>
      <c r="H19" s="445"/>
      <c r="I19" s="445"/>
      <c r="J19" s="445"/>
      <c r="K19" s="446"/>
      <c r="L19" s="2121"/>
      <c r="M19" s="2121"/>
      <c r="N19" s="2121"/>
    </row>
    <row r="20" spans="1:14" s="2119" customFormat="1" ht="13.5" customHeight="1">
      <c r="A20" s="1633" t="s">
        <v>1856</v>
      </c>
      <c r="B20" s="457" t="s">
        <v>504</v>
      </c>
      <c r="C20" s="3052">
        <f>F20</f>
        <v>0.02</v>
      </c>
      <c r="D20" s="467" t="s">
        <v>505</v>
      </c>
      <c r="E20" s="467"/>
      <c r="F20" s="484">
        <f>'数据-取费表'!B38</f>
        <v>0.02</v>
      </c>
      <c r="G20" s="1325" t="s">
        <v>506</v>
      </c>
      <c r="H20" s="445"/>
      <c r="I20" s="445"/>
      <c r="J20" s="445"/>
      <c r="K20" s="446"/>
      <c r="L20" s="2121"/>
      <c r="M20" s="2121"/>
      <c r="N20" s="2121"/>
    </row>
    <row r="21" spans="1:14" s="2121" customFormat="1" ht="13.5" customHeight="1">
      <c r="A21" s="1633" t="s">
        <v>1859</v>
      </c>
      <c r="B21" s="459" t="s">
        <v>494</v>
      </c>
      <c r="C21" s="468">
        <f ca="1">C22</f>
        <v>102</v>
      </c>
      <c r="D21" s="465">
        <f ca="1">C23</f>
        <v>6.9999999999999999E-4</v>
      </c>
      <c r="E21" s="467" t="s">
        <v>507</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8" t="s">
        <v>2458</v>
      </c>
    </row>
    <row r="22" spans="1:14" s="2120" customFormat="1" ht="13.5" customHeight="1">
      <c r="A22" s="1632" t="s">
        <v>1849</v>
      </c>
      <c r="B22" s="1326" t="s">
        <v>2439</v>
      </c>
      <c r="C22" s="485">
        <f ca="1">ROUND(IF('数据-取费表'!B22&lt;=1,(C18+C19)*F21*'数据-取费表'!B20/2,(C18+C19)*(POWER((1+F21),'数据-取费表'!B20/2)-1)),0)</f>
        <v>102</v>
      </c>
      <c r="D22" s="470"/>
      <c r="E22" s="471"/>
      <c r="F22" s="472"/>
      <c r="G22" s="2589" t="str">
        <f>IF('数据-取费表'!B22&lt;=1,"((1)+(2))×年利率×建设期÷2","((1)+(2))×((1+年利率)^(建设期÷2)-1)")</f>
        <v>((1)+(2))×((1+年利率)^(建设期÷2)-1)</v>
      </c>
      <c r="H22" s="455"/>
      <c r="I22" s="455"/>
      <c r="J22" s="455"/>
      <c r="K22" s="456"/>
    </row>
    <row r="23" spans="1:14" s="2120" customFormat="1" ht="13.5" customHeight="1">
      <c r="A23" s="1632" t="s">
        <v>1850</v>
      </c>
      <c r="B23" s="1326" t="s">
        <v>508</v>
      </c>
      <c r="C23" s="486">
        <f ca="1">ROUND(IF('数据-取费表'!B22&lt;=1,F20*F21*'数据-取费表'!B20/2,F20*(POWER((1+F21),'数据-取费表'!B20/2)-1)),4)</f>
        <v>6.9999999999999999E-4</v>
      </c>
      <c r="D23" s="470"/>
      <c r="E23" s="471"/>
      <c r="F23" s="472"/>
      <c r="G23" s="2589" t="str">
        <f>IF('数据-取费表'!B22&lt;=1,"销售费用率×年利率×建设期÷2","销售费用率×((1+年利率)^(建设期÷2)-1)")</f>
        <v>销售费用率×((1+年利率)^(建设期÷2)-1)</v>
      </c>
      <c r="H23" s="455"/>
      <c r="I23" s="455"/>
      <c r="J23" s="455"/>
      <c r="K23" s="456"/>
    </row>
    <row r="24" spans="1:14" s="2120" customFormat="1" ht="13.5" customHeight="1">
      <c r="A24" s="1633" t="s">
        <v>1860</v>
      </c>
      <c r="B24" s="3054" t="s">
        <v>2834</v>
      </c>
      <c r="C24" s="476">
        <f ca="1">C25</f>
        <v>717</v>
      </c>
      <c r="D24" s="487">
        <f ca="1">C26</f>
        <v>5.0000000000000001E-3</v>
      </c>
      <c r="E24" s="467" t="s">
        <v>507</v>
      </c>
      <c r="F24" s="477">
        <f ca="1">IF(B1="",'数据-取费表'!Q16,INDIRECT("'数据-取费表'!q"&amp;$K$1))</f>
        <v>0.25</v>
      </c>
      <c r="G24" s="442"/>
      <c r="H24" s="445"/>
      <c r="I24" s="445"/>
      <c r="J24" s="445"/>
      <c r="K24" s="446"/>
    </row>
    <row r="25" spans="1:14" s="2120" customFormat="1" ht="13.5" customHeight="1">
      <c r="A25" s="1632" t="s">
        <v>1849</v>
      </c>
      <c r="B25" s="1326" t="s">
        <v>2440</v>
      </c>
      <c r="C25" s="488">
        <f ca="1">ROUND((C18+C19)*F24,0)</f>
        <v>717</v>
      </c>
      <c r="D25" s="470"/>
      <c r="E25" s="471"/>
      <c r="F25" s="478"/>
      <c r="G25" s="1324" t="s">
        <v>2437</v>
      </c>
      <c r="H25" s="455"/>
      <c r="I25" s="455"/>
      <c r="J25" s="455"/>
      <c r="K25" s="456"/>
    </row>
    <row r="26" spans="1:14" s="2120" customFormat="1" ht="13.5" customHeight="1">
      <c r="A26" s="1632" t="s">
        <v>1850</v>
      </c>
      <c r="B26" s="1326" t="s">
        <v>509</v>
      </c>
      <c r="C26" s="489">
        <f ca="1">ROUND(F20*F24,4)</f>
        <v>5.0000000000000001E-3</v>
      </c>
      <c r="D26" s="470"/>
      <c r="E26" s="479"/>
      <c r="F26" s="478"/>
      <c r="G26" s="1324" t="s">
        <v>510</v>
      </c>
      <c r="H26" s="455"/>
      <c r="I26" s="455"/>
      <c r="J26" s="455"/>
      <c r="K26" s="456"/>
    </row>
    <row r="27" spans="1:14" s="2120" customFormat="1" ht="13.5" customHeight="1">
      <c r="A27" s="1636" t="s">
        <v>1868</v>
      </c>
      <c r="B27" s="457" t="s">
        <v>511</v>
      </c>
      <c r="C27" s="3053">
        <f>ROUND(F27/(1+'数据-取费表'!C42),4)</f>
        <v>5.33E-2</v>
      </c>
      <c r="D27" s="460" t="s">
        <v>2832</v>
      </c>
      <c r="E27" s="460"/>
      <c r="F27" s="464">
        <f>'数据-取费表'!B41</f>
        <v>5.6000000000000001E-2</v>
      </c>
      <c r="G27" s="1960" t="s">
        <v>2294</v>
      </c>
      <c r="H27" s="445"/>
      <c r="I27" s="445"/>
      <c r="J27" s="445"/>
      <c r="K27" s="446"/>
    </row>
    <row r="28" spans="1:14" s="2121" customFormat="1" ht="13.5" customHeight="1">
      <c r="A28" s="1636" t="s">
        <v>1869</v>
      </c>
      <c r="B28" s="474" t="s">
        <v>512</v>
      </c>
      <c r="C28" s="468">
        <f ca="1">ROUND((C18+C19+C21+C24)/(1-C20-D21-D24-C27),0)</f>
        <v>4004</v>
      </c>
      <c r="D28" s="475"/>
      <c r="E28" s="467"/>
      <c r="F28" s="469"/>
      <c r="G28" s="1325" t="s">
        <v>2438</v>
      </c>
      <c r="H28" s="445"/>
      <c r="I28" s="445"/>
      <c r="J28" s="445"/>
      <c r="K28" s="446"/>
    </row>
    <row r="29" spans="1:14" s="2121" customFormat="1" ht="13.5" customHeight="1">
      <c r="A29" s="1636" t="s">
        <v>1870</v>
      </c>
      <c r="B29" s="474" t="s">
        <v>513</v>
      </c>
      <c r="C29" s="490">
        <f ca="1">IF(B1="",'数据-取费表'!N16,INDIRECT("'数据-取费表'!N"&amp;$K$1))</f>
        <v>0.93</v>
      </c>
      <c r="D29" s="491"/>
      <c r="E29" s="492"/>
      <c r="F29" s="493"/>
      <c r="G29" s="442"/>
      <c r="H29" s="445"/>
      <c r="I29" s="445"/>
      <c r="J29" s="445"/>
      <c r="K29" s="446"/>
    </row>
    <row r="30" spans="1:14" s="2121" customFormat="1" ht="13.5" customHeight="1">
      <c r="A30" s="441">
        <v>2</v>
      </c>
      <c r="B30" s="474" t="s">
        <v>514</v>
      </c>
      <c r="C30" s="495">
        <f ca="1">ROUND(C28*C29,0)</f>
        <v>3724</v>
      </c>
      <c r="D30" s="491"/>
      <c r="E30" s="496"/>
      <c r="F30" s="497"/>
      <c r="G30" s="1327" t="s">
        <v>515</v>
      </c>
      <c r="H30" s="494"/>
      <c r="I30" s="494"/>
      <c r="J30" s="445"/>
      <c r="K30" s="446"/>
    </row>
    <row r="31" spans="1:14" s="2126" customFormat="1" ht="13.5" customHeight="1">
      <c r="A31" s="2504" t="s">
        <v>1866</v>
      </c>
      <c r="B31" s="1328"/>
      <c r="C31" s="498">
        <f>ROUND(C6*F31/(1+'数据-取费表'!C42),0)</f>
        <v>2514</v>
      </c>
      <c r="D31" s="1329"/>
      <c r="E31" s="1329"/>
      <c r="F31" s="499">
        <f>'数据-取费表'!B41</f>
        <v>5.6000000000000001E-2</v>
      </c>
      <c r="G31" s="1330"/>
      <c r="H31" s="1330"/>
      <c r="I31" s="1330"/>
      <c r="J31" s="1331"/>
      <c r="K31" s="1332"/>
    </row>
    <row r="32" spans="1:14" s="2085" customFormat="1" ht="13.5" customHeight="1" thickBot="1">
      <c r="A32" s="480" t="s">
        <v>1867</v>
      </c>
      <c r="B32" s="481"/>
      <c r="C32" s="482">
        <f ca="1">IF('数据-取费表'!B20&lt;=1,(C6-C30-C31)/(1+F21*'数据-取费表'!B20+F19+F24)/(1+'数据-取费表'!B48+'数据-取费表'!B49),(C6-C30-C31)/(1+(POWER((1+F21),'数据-取费表'!B20)-1)+F19+F24)/(1+'数据-取费表'!B48+'数据-取费表'!B49))</f>
        <v>29571.44808030401</v>
      </c>
      <c r="D32" s="481"/>
      <c r="E32" s="481"/>
      <c r="F32" s="481"/>
      <c r="G32" s="2505" t="s">
        <v>2975</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0866141732283472" right="0.70866141732283472" top="0.74803149606299213" bottom="0.74803149606299213" header="0.31496062992125984" footer="0.31496062992125984"/>
  <pageSetup paperSize="9" fitToHeight="0" orientation="landscape"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516</v>
      </c>
      <c r="B1" s="501"/>
      <c r="C1" s="502" t="s">
        <v>517</v>
      </c>
      <c r="D1" s="503" t="s">
        <v>518</v>
      </c>
      <c r="E1" s="504"/>
      <c r="F1" s="426"/>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1" t="s">
        <v>467</v>
      </c>
      <c r="B2" s="506" t="e">
        <f>F68</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1685</v>
      </c>
      <c r="B3" s="508" t="e">
        <f>ROUND(B2*10000/'数据-汇总表'!E3,0)</f>
        <v>#DIV/0!</v>
      </c>
      <c r="C3" s="2061"/>
      <c r="D3" s="2592"/>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30" s="1334" customFormat="1" ht="28.5" customHeight="1">
      <c r="A4" s="509" t="s">
        <v>520</v>
      </c>
      <c r="B4" s="425" t="e">
        <f>IF(B48="单位面积地价",C50,ROUND(B2*10000/'数据-汇总表'!D3,0))</f>
        <v>#DIV/0!</v>
      </c>
      <c r="C4" s="2061"/>
      <c r="D4" s="2592"/>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30" s="1334" customFormat="1" ht="28.5" customHeight="1" thickBot="1">
      <c r="A5" s="427"/>
      <c r="B5" s="428" t="e">
        <f>ROUND(B2/('数据-汇总表'!D3/666.67),0)</f>
        <v>#DIV/0!</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6"/>
    </row>
    <row r="6" spans="1:30" ht="20.25">
      <c r="A6" s="510" t="s">
        <v>521</v>
      </c>
      <c r="B6" s="511"/>
      <c r="C6" s="3503" t="s">
        <v>522</v>
      </c>
      <c r="D6" s="3504"/>
      <c r="E6" s="3503" t="s">
        <v>523</v>
      </c>
      <c r="F6" s="3504"/>
      <c r="G6" s="3503" t="s">
        <v>524</v>
      </c>
      <c r="H6" s="3504"/>
      <c r="I6" s="3503" t="s">
        <v>525</v>
      </c>
      <c r="J6" s="3504"/>
      <c r="K6" s="512" t="s">
        <v>526</v>
      </c>
      <c r="L6" s="2133"/>
      <c r="M6" s="2132"/>
      <c r="N6" s="2132"/>
      <c r="O6" s="2134"/>
      <c r="P6" s="3505" t="s">
        <v>527</v>
      </c>
      <c r="Q6" s="3506"/>
      <c r="R6" s="3511" t="s">
        <v>523</v>
      </c>
      <c r="S6" s="3512"/>
      <c r="T6" s="3511" t="s">
        <v>524</v>
      </c>
      <c r="U6" s="3512"/>
      <c r="V6" s="3498" t="s">
        <v>525</v>
      </c>
      <c r="W6" s="3498"/>
      <c r="X6" s="1566"/>
      <c r="Y6" s="3511" t="s">
        <v>527</v>
      </c>
      <c r="Z6" s="3512"/>
      <c r="AA6" s="3500" t="s">
        <v>523</v>
      </c>
      <c r="AB6" s="3501" t="s">
        <v>524</v>
      </c>
      <c r="AC6" s="3500" t="s">
        <v>525</v>
      </c>
    </row>
    <row r="7" spans="1:30" ht="20.25">
      <c r="A7" s="513"/>
      <c r="B7" s="514"/>
      <c r="C7" s="3519" t="s">
        <v>2930</v>
      </c>
      <c r="D7" s="3520"/>
      <c r="E7" s="3519" t="s">
        <v>2931</v>
      </c>
      <c r="F7" s="3520"/>
      <c r="G7" s="3519" t="s">
        <v>2932</v>
      </c>
      <c r="H7" s="3520"/>
      <c r="I7" s="3519" t="s">
        <v>2933</v>
      </c>
      <c r="J7" s="3520"/>
      <c r="K7" s="512"/>
      <c r="L7" s="2133"/>
      <c r="M7" s="2132"/>
      <c r="N7" s="2132"/>
      <c r="O7" s="2134"/>
      <c r="P7" s="3507"/>
      <c r="Q7" s="3508"/>
      <c r="R7" s="3513"/>
      <c r="S7" s="3514"/>
      <c r="T7" s="3513"/>
      <c r="U7" s="3514"/>
      <c r="V7" s="3498"/>
      <c r="W7" s="3498"/>
      <c r="X7" s="1566"/>
      <c r="Y7" s="3513"/>
      <c r="Z7" s="3514"/>
      <c r="AA7" s="3501"/>
      <c r="AB7" s="3501"/>
      <c r="AC7" s="3501"/>
    </row>
    <row r="8" spans="1:30" ht="21" thickBot="1">
      <c r="A8" s="513"/>
      <c r="B8" s="514"/>
      <c r="C8" s="3521" t="s">
        <v>2934</v>
      </c>
      <c r="D8" s="3522"/>
      <c r="E8" s="3521" t="s">
        <v>2934</v>
      </c>
      <c r="F8" s="3522"/>
      <c r="G8" s="3517" t="s">
        <v>2934</v>
      </c>
      <c r="H8" s="3518"/>
      <c r="I8" s="3517" t="s">
        <v>2934</v>
      </c>
      <c r="J8" s="3518"/>
      <c r="K8" s="512" t="s">
        <v>528</v>
      </c>
      <c r="L8" s="2133"/>
      <c r="M8" s="2132"/>
      <c r="N8" s="2132"/>
      <c r="O8" s="2134"/>
      <c r="P8" s="3509"/>
      <c r="Q8" s="3510"/>
      <c r="R8" s="3513"/>
      <c r="S8" s="3514"/>
      <c r="T8" s="3515"/>
      <c r="U8" s="3516"/>
      <c r="V8" s="3498"/>
      <c r="W8" s="3498"/>
      <c r="X8" s="1566"/>
      <c r="Y8" s="3515"/>
      <c r="Z8" s="3516"/>
      <c r="AA8" s="3502"/>
      <c r="AB8" s="3502"/>
      <c r="AC8" s="3502"/>
    </row>
    <row r="9" spans="1:30" s="1218" customFormat="1" ht="21" thickBot="1">
      <c r="A9" s="2934"/>
      <c r="B9" s="2941" t="s">
        <v>529</v>
      </c>
      <c r="C9" s="2933">
        <f>'数据-取费表'!B2</f>
        <v>43230</v>
      </c>
      <c r="D9" s="518">
        <v>100</v>
      </c>
      <c r="E9" s="519"/>
      <c r="F9" s="520">
        <f>SUMIF(72:72,YEAR(E9)&amp;"-"&amp;INT((MONTH(E9)+2)/3),73:73)</f>
        <v>0</v>
      </c>
      <c r="G9" s="521"/>
      <c r="H9" s="518">
        <f>SUMIF(72:72,YEAR(G9)&amp;"-"&amp;INT((MONTH(G9)+2)/3),73:73)</f>
        <v>0</v>
      </c>
      <c r="I9" s="521"/>
      <c r="J9" s="518">
        <f>SUMIF(72:72,YEAR(I9)&amp;"-"&amp;INT((MONTH(I9)+2)/3),73:73)</f>
        <v>0</v>
      </c>
      <c r="K9" s="522"/>
      <c r="L9" s="2135"/>
      <c r="M9" s="2132"/>
      <c r="N9" s="2132"/>
      <c r="O9" s="2136"/>
      <c r="P9" s="3528" t="s">
        <v>530</v>
      </c>
      <c r="Q9" s="3530"/>
      <c r="R9" s="1567" t="s">
        <v>8</v>
      </c>
      <c r="S9" s="1568">
        <f t="shared" ref="S9:S17" si="0">F9</f>
        <v>0</v>
      </c>
      <c r="T9" s="1567" t="s">
        <v>8</v>
      </c>
      <c r="U9" s="1568">
        <f t="shared" ref="U9:U17" si="1">H9</f>
        <v>0</v>
      </c>
      <c r="V9" s="1567" t="s">
        <v>8</v>
      </c>
      <c r="W9" s="1568">
        <f t="shared" ref="W9:W17" si="2">J9</f>
        <v>0</v>
      </c>
      <c r="X9" s="1569"/>
      <c r="Y9" s="3528" t="s">
        <v>530</v>
      </c>
      <c r="Z9" s="3529"/>
      <c r="AA9" s="1570" t="e">
        <f>D9/F9</f>
        <v>#DIV/0!</v>
      </c>
      <c r="AB9" s="1570" t="e">
        <f>D9/H9</f>
        <v>#DIV/0!</v>
      </c>
      <c r="AC9" s="1570" t="e">
        <f>D9/J9</f>
        <v>#DIV/0!</v>
      </c>
    </row>
    <row r="10" spans="1:30" s="1218" customFormat="1" ht="21" thickBot="1">
      <c r="A10" s="2935"/>
      <c r="B10" s="2942" t="s">
        <v>531</v>
      </c>
      <c r="C10" s="854" t="s">
        <v>532</v>
      </c>
      <c r="D10" s="518">
        <v>100</v>
      </c>
      <c r="E10" s="523"/>
      <c r="F10" s="520">
        <f>SUMIF(75:75,E10,76:76)-SUMIF(75:75,C10,76:76)+100</f>
        <v>0</v>
      </c>
      <c r="G10" s="523"/>
      <c r="H10" s="518">
        <f>SUMIF(75:75,G10,76:76)-SUMIF(75:75,C10,76:76)+100</f>
        <v>0</v>
      </c>
      <c r="I10" s="523"/>
      <c r="J10" s="518">
        <f>SUMIF(75:75,I10,76:76)-SUMIF(75:75,C10,76:76)+100</f>
        <v>0</v>
      </c>
      <c r="K10" s="522"/>
      <c r="L10" s="2135"/>
      <c r="M10" s="2132"/>
      <c r="N10" s="2132"/>
      <c r="O10" s="2136"/>
      <c r="P10" s="3528" t="s">
        <v>533</v>
      </c>
      <c r="Q10" s="3529"/>
      <c r="R10" s="1567" t="s">
        <v>8</v>
      </c>
      <c r="S10" s="1568">
        <f t="shared" si="0"/>
        <v>0</v>
      </c>
      <c r="T10" s="1567" t="s">
        <v>8</v>
      </c>
      <c r="U10" s="1568">
        <f t="shared" si="1"/>
        <v>0</v>
      </c>
      <c r="V10" s="1567" t="s">
        <v>8</v>
      </c>
      <c r="W10" s="1568">
        <f t="shared" si="2"/>
        <v>0</v>
      </c>
      <c r="X10" s="1569"/>
      <c r="Y10" s="3528" t="s">
        <v>533</v>
      </c>
      <c r="Z10" s="3529"/>
      <c r="AA10" s="1570" t="e">
        <f t="shared" ref="AA10:AA47" si="3">D10/F10</f>
        <v>#DIV/0!</v>
      </c>
      <c r="AB10" s="1570" t="e">
        <f t="shared" ref="AB10:AB47" si="4">D10/H10</f>
        <v>#DIV/0!</v>
      </c>
      <c r="AC10" s="1570" t="e">
        <f t="shared" ref="AC10:AC47" si="5">D10/J10</f>
        <v>#DIV/0!</v>
      </c>
    </row>
    <row r="11" spans="1:30" s="1218" customFormat="1" ht="20.25">
      <c r="A11" s="2936"/>
      <c r="B11" s="2943" t="s">
        <v>2760</v>
      </c>
      <c r="C11" s="2930"/>
      <c r="D11" s="252">
        <v>100</v>
      </c>
      <c r="E11" s="524"/>
      <c r="F11" s="252">
        <f>SUMIF(77:77,E11,78:78)-SUMIF(77:77,C11,78:78)+100</f>
        <v>100</v>
      </c>
      <c r="G11" s="524"/>
      <c r="H11" s="252">
        <f>SUMIF(77:77,G11,78:78)-SUMIF(77:77,C11,78:78)+100</f>
        <v>100</v>
      </c>
      <c r="I11" s="524"/>
      <c r="J11" s="252">
        <f>SUMIF(77:77,I11,78:78)-SUMIF(77:77,C11,78:78)+100</f>
        <v>100</v>
      </c>
      <c r="K11" s="522"/>
      <c r="L11" s="2135"/>
      <c r="M11" s="2132"/>
      <c r="N11" s="2132"/>
      <c r="O11" s="2137"/>
      <c r="P11" s="3497" t="s">
        <v>535</v>
      </c>
      <c r="Q11" s="1149" t="str">
        <f t="shared" ref="Q11:Q17" si="6">B11</f>
        <v>用途</v>
      </c>
      <c r="R11" s="1567" t="s">
        <v>8</v>
      </c>
      <c r="S11" s="1568">
        <f t="shared" si="0"/>
        <v>100</v>
      </c>
      <c r="T11" s="1567" t="s">
        <v>8</v>
      </c>
      <c r="U11" s="1568">
        <f t="shared" si="1"/>
        <v>100</v>
      </c>
      <c r="V11" s="1567" t="s">
        <v>8</v>
      </c>
      <c r="W11" s="1568">
        <f t="shared" si="2"/>
        <v>100</v>
      </c>
      <c r="X11" s="1569"/>
      <c r="Y11" s="3380" t="s">
        <v>536</v>
      </c>
      <c r="Z11" s="1148" t="str">
        <f t="shared" ref="Z11:Z17" si="7">Q11</f>
        <v>用途</v>
      </c>
      <c r="AA11" s="1570">
        <f t="shared" si="3"/>
        <v>1</v>
      </c>
      <c r="AB11" s="1570">
        <f t="shared" si="4"/>
        <v>1</v>
      </c>
      <c r="AC11" s="1570">
        <f t="shared" si="5"/>
        <v>1</v>
      </c>
    </row>
    <row r="12" spans="1:30" s="1336" customFormat="1" ht="27">
      <c r="A12" s="2937"/>
      <c r="B12" s="2942" t="s">
        <v>2761</v>
      </c>
      <c r="C12" s="908"/>
      <c r="D12" s="253">
        <v>100</v>
      </c>
      <c r="E12" s="527"/>
      <c r="F12" s="253">
        <f>ROUND(100/'数据-取费表'!G16,0)</f>
        <v>100</v>
      </c>
      <c r="G12" s="528"/>
      <c r="H12" s="253">
        <f>ROUND(100/'数据-取费表'!G16,0)</f>
        <v>100</v>
      </c>
      <c r="I12" s="528"/>
      <c r="J12" s="253">
        <f>ROUND(100/'数据-取费表'!G16,0)</f>
        <v>100</v>
      </c>
      <c r="K12" s="529"/>
      <c r="L12" s="2138"/>
      <c r="M12" s="2132"/>
      <c r="N12" s="2132"/>
      <c r="O12" s="2139"/>
      <c r="P12" s="3497"/>
      <c r="Q12" s="1149" t="str">
        <f t="shared" si="6"/>
        <v>土地使用年限（年）</v>
      </c>
      <c r="R12" s="1567" t="s">
        <v>8</v>
      </c>
      <c r="S12" s="1568">
        <f t="shared" si="0"/>
        <v>100</v>
      </c>
      <c r="T12" s="1567" t="s">
        <v>8</v>
      </c>
      <c r="U12" s="1568">
        <f t="shared" si="1"/>
        <v>100</v>
      </c>
      <c r="V12" s="1567" t="s">
        <v>8</v>
      </c>
      <c r="W12" s="1568">
        <f t="shared" si="2"/>
        <v>100</v>
      </c>
      <c r="X12" s="1569"/>
      <c r="Y12" s="3380"/>
      <c r="Z12" s="1148" t="str">
        <f t="shared" si="7"/>
        <v>土地使用年限（年）</v>
      </c>
      <c r="AA12" s="1570">
        <f t="shared" si="3"/>
        <v>1</v>
      </c>
      <c r="AB12" s="1570">
        <f t="shared" si="4"/>
        <v>1</v>
      </c>
      <c r="AC12" s="1570">
        <f t="shared" si="5"/>
        <v>1</v>
      </c>
    </row>
    <row r="13" spans="1:30" ht="20.25">
      <c r="A13" s="2938"/>
      <c r="B13" s="2942" t="s">
        <v>2762</v>
      </c>
      <c r="C13" s="532"/>
      <c r="D13" s="253">
        <v>100</v>
      </c>
      <c r="E13" s="531"/>
      <c r="F13" s="253" t="e">
        <f>LOOKUP(E13,82:82,83:83)-LOOKUP(C13,82:82,83:83)+100</f>
        <v>#N/A</v>
      </c>
      <c r="G13" s="532"/>
      <c r="H13" s="253" t="e">
        <f>LOOKUP(G13,82:82,83:83)-LOOKUP(C13,82:82,83:83)+100</f>
        <v>#N/A</v>
      </c>
      <c r="I13" s="531"/>
      <c r="J13" s="253" t="e">
        <f>LOOKUP(I13,82:82,83:83)-LOOKUP(C13,82:82,83:83)+100</f>
        <v>#N/A</v>
      </c>
      <c r="K13" s="533"/>
      <c r="L13" s="2140"/>
      <c r="M13" s="2132"/>
      <c r="N13" s="2132"/>
      <c r="O13" s="2141"/>
      <c r="P13" s="3497"/>
      <c r="Q13" s="1149" t="str">
        <f t="shared" si="6"/>
        <v>容积率</v>
      </c>
      <c r="R13" s="1567" t="s">
        <v>8</v>
      </c>
      <c r="S13" s="1568" t="e">
        <f t="shared" si="0"/>
        <v>#N/A</v>
      </c>
      <c r="T13" s="1567" t="s">
        <v>8</v>
      </c>
      <c r="U13" s="1568" t="e">
        <f t="shared" si="1"/>
        <v>#N/A</v>
      </c>
      <c r="V13" s="1567" t="s">
        <v>8</v>
      </c>
      <c r="W13" s="1568" t="e">
        <f t="shared" si="2"/>
        <v>#N/A</v>
      </c>
      <c r="X13" s="1569"/>
      <c r="Y13" s="3380"/>
      <c r="Z13" s="1148" t="str">
        <f t="shared" si="7"/>
        <v>容积率</v>
      </c>
      <c r="AA13" s="1570" t="e">
        <f t="shared" si="3"/>
        <v>#N/A</v>
      </c>
      <c r="AB13" s="1570" t="e">
        <f t="shared" si="4"/>
        <v>#N/A</v>
      </c>
      <c r="AC13" s="1570" t="e">
        <f t="shared" si="5"/>
        <v>#N/A</v>
      </c>
    </row>
    <row r="14" spans="1:30" s="1218" customFormat="1" ht="20.25">
      <c r="A14" s="2935"/>
      <c r="B14" s="2944" t="s">
        <v>2763</v>
      </c>
      <c r="C14" s="2931"/>
      <c r="D14" s="536">
        <v>100</v>
      </c>
      <c r="E14" s="1373"/>
      <c r="F14" s="253">
        <f>SUMIF(84:84,E14,85:85)-SUMIF(84:84,C14,85:85)+100</f>
        <v>100</v>
      </c>
      <c r="G14" s="528"/>
      <c r="H14" s="253">
        <f>SUMIF(84:84,G14,85:85)-SUMIF(84:84,C14,85:85)+100</f>
        <v>100</v>
      </c>
      <c r="I14" s="527"/>
      <c r="J14" s="253">
        <f>SUMIF(84:84,I14,85:85)-SUMIF(84:84,C14,85:85)+100</f>
        <v>100</v>
      </c>
      <c r="K14" s="529"/>
      <c r="L14" s="2135"/>
      <c r="M14" s="2132"/>
      <c r="N14" s="2132"/>
      <c r="O14" s="2137"/>
      <c r="P14" s="3497"/>
      <c r="Q14" s="1149" t="str">
        <f t="shared" si="6"/>
        <v>配建</v>
      </c>
      <c r="R14" s="1567" t="s">
        <v>8</v>
      </c>
      <c r="S14" s="1568">
        <f t="shared" si="0"/>
        <v>100</v>
      </c>
      <c r="T14" s="1567" t="s">
        <v>8</v>
      </c>
      <c r="U14" s="1568">
        <f t="shared" si="1"/>
        <v>100</v>
      </c>
      <c r="V14" s="1567" t="s">
        <v>8</v>
      </c>
      <c r="W14" s="1568">
        <f t="shared" si="2"/>
        <v>100</v>
      </c>
      <c r="X14" s="1569"/>
      <c r="Y14" s="3380"/>
      <c r="Z14" s="1148" t="str">
        <f t="shared" si="7"/>
        <v>配建</v>
      </c>
      <c r="AA14" s="1570">
        <f>D14/F14</f>
        <v>1</v>
      </c>
      <c r="AB14" s="1570">
        <f>D14/H14</f>
        <v>1</v>
      </c>
      <c r="AC14" s="1570">
        <f>D14/J14</f>
        <v>1</v>
      </c>
    </row>
    <row r="15" spans="1:30" ht="20.25">
      <c r="A15" s="2939"/>
      <c r="B15" s="2945">
        <v>111</v>
      </c>
      <c r="C15" s="910"/>
      <c r="D15" s="538">
        <v>100</v>
      </c>
      <c r="E15" s="539"/>
      <c r="F15" s="253">
        <f>SUMIF(86:86,E15,87:87)-SUMIF(86:86,C15,87:87)+100</f>
        <v>100</v>
      </c>
      <c r="G15" s="540"/>
      <c r="H15" s="538">
        <f>SUMIF(86:86,G15,87:87)-SUMIF(86:86,C15,87:87)+100</f>
        <v>100</v>
      </c>
      <c r="I15" s="540"/>
      <c r="J15" s="538">
        <f>SUMIF(86:86,I15,87:87)-SUMIF(86:86,C15,87:87)+100</f>
        <v>100</v>
      </c>
      <c r="K15" s="529"/>
      <c r="L15" s="2142"/>
      <c r="M15" s="2132"/>
      <c r="N15" s="2132"/>
      <c r="O15" s="2141"/>
      <c r="P15" s="3497"/>
      <c r="Q15" s="1149">
        <f t="shared" si="6"/>
        <v>111</v>
      </c>
      <c r="R15" s="1567" t="s">
        <v>8</v>
      </c>
      <c r="S15" s="1568">
        <f t="shared" si="0"/>
        <v>100</v>
      </c>
      <c r="T15" s="1567" t="s">
        <v>8</v>
      </c>
      <c r="U15" s="1568">
        <f t="shared" si="1"/>
        <v>100</v>
      </c>
      <c r="V15" s="1567" t="s">
        <v>8</v>
      </c>
      <c r="W15" s="1568">
        <f t="shared" si="2"/>
        <v>100</v>
      </c>
      <c r="X15" s="1569"/>
      <c r="Y15" s="3380"/>
      <c r="Z15" s="1148">
        <f t="shared" si="7"/>
        <v>111</v>
      </c>
      <c r="AA15" s="1570">
        <f>D15/F15</f>
        <v>1</v>
      </c>
      <c r="AB15" s="1570">
        <f>D15/H15</f>
        <v>1</v>
      </c>
      <c r="AC15" s="1570">
        <f>D15/J15</f>
        <v>1</v>
      </c>
    </row>
    <row r="16" spans="1:30" ht="21" thickBot="1">
      <c r="A16" s="2940"/>
      <c r="B16" s="2946">
        <v>111</v>
      </c>
      <c r="C16" s="913"/>
      <c r="D16" s="544">
        <v>100</v>
      </c>
      <c r="E16" s="539"/>
      <c r="F16" s="544">
        <f>SUMIF(88:88,E16,89:89)-SUMIF(88:88,C16,89:89)+100</f>
        <v>100</v>
      </c>
      <c r="G16" s="540"/>
      <c r="H16" s="544">
        <f>SUMIF(88:88,G16,89:89)-SUMIF(88:88,C16,89:89)+100</f>
        <v>100</v>
      </c>
      <c r="I16" s="540"/>
      <c r="J16" s="544">
        <f>SUMIF(88:88,I16,89:89)-SUMIF(88:88,C16,89:89)+100</f>
        <v>100</v>
      </c>
      <c r="K16" s="529"/>
      <c r="L16" s="2142"/>
      <c r="M16" s="2132"/>
      <c r="N16" s="2132"/>
      <c r="O16" s="2141"/>
      <c r="P16" s="3497"/>
      <c r="Q16" s="1149">
        <f t="shared" si="6"/>
        <v>111</v>
      </c>
      <c r="R16" s="1567" t="s">
        <v>8</v>
      </c>
      <c r="S16" s="1568">
        <f t="shared" si="0"/>
        <v>100</v>
      </c>
      <c r="T16" s="1567" t="s">
        <v>8</v>
      </c>
      <c r="U16" s="1568">
        <f t="shared" si="1"/>
        <v>100</v>
      </c>
      <c r="V16" s="1567" t="s">
        <v>8</v>
      </c>
      <c r="W16" s="1568">
        <f t="shared" si="2"/>
        <v>100</v>
      </c>
      <c r="X16" s="1569"/>
      <c r="Y16" s="3380"/>
      <c r="Z16" s="1148">
        <f t="shared" si="7"/>
        <v>111</v>
      </c>
      <c r="AA16" s="1570">
        <f>D16/F16</f>
        <v>1</v>
      </c>
      <c r="AB16" s="1570">
        <f>D16/H16</f>
        <v>1</v>
      </c>
      <c r="AC16" s="1570">
        <f>D16/J16</f>
        <v>1</v>
      </c>
    </row>
    <row r="17" spans="1:29" ht="99.75">
      <c r="A17" s="2932" t="s">
        <v>2758</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2"/>
      <c r="M17" s="2132"/>
      <c r="N17" s="2132"/>
      <c r="O17" s="2141"/>
      <c r="P17" s="3531" t="s">
        <v>540</v>
      </c>
      <c r="Q17" s="1571" t="str">
        <f t="shared" si="6"/>
        <v>居住社区成熟度</v>
      </c>
      <c r="R17" s="1572" t="s">
        <v>8</v>
      </c>
      <c r="S17" s="1573">
        <f t="shared" si="0"/>
        <v>100</v>
      </c>
      <c r="T17" s="1572" t="s">
        <v>8</v>
      </c>
      <c r="U17" s="1573">
        <f t="shared" si="1"/>
        <v>100</v>
      </c>
      <c r="V17" s="1572" t="s">
        <v>8</v>
      </c>
      <c r="W17" s="1573">
        <f t="shared" si="2"/>
        <v>100</v>
      </c>
      <c r="X17" s="1566"/>
      <c r="Y17" s="3531" t="s">
        <v>540</v>
      </c>
      <c r="Z17" s="1574" t="str">
        <f t="shared" si="7"/>
        <v>居住社区成熟度</v>
      </c>
      <c r="AA17" s="1575">
        <f t="shared" si="3"/>
        <v>1</v>
      </c>
      <c r="AB17" s="1575">
        <f t="shared" si="4"/>
        <v>1</v>
      </c>
      <c r="AC17" s="1575">
        <f t="shared" si="5"/>
        <v>1</v>
      </c>
    </row>
    <row r="18" spans="1:29" ht="20.25">
      <c r="A18" s="530"/>
      <c r="B18" s="551"/>
      <c r="C18" s="552"/>
      <c r="D18" s="555"/>
      <c r="E18" s="556"/>
      <c r="F18" s="553"/>
      <c r="G18" s="554"/>
      <c r="H18" s="557"/>
      <c r="I18" s="556"/>
      <c r="J18" s="553"/>
      <c r="K18" s="529"/>
      <c r="L18" s="2142"/>
      <c r="M18" s="2132"/>
      <c r="N18" s="2132"/>
      <c r="O18" s="2141"/>
      <c r="P18" s="3532"/>
      <c r="Q18" s="1571"/>
      <c r="R18" s="1572"/>
      <c r="S18" s="1573"/>
      <c r="T18" s="1572"/>
      <c r="U18" s="1573"/>
      <c r="V18" s="1572"/>
      <c r="W18" s="1573"/>
      <c r="X18" s="1566"/>
      <c r="Y18" s="3532"/>
      <c r="Z18" s="1574"/>
      <c r="AA18" s="1575">
        <v>1</v>
      </c>
      <c r="AB18" s="1575">
        <v>1</v>
      </c>
      <c r="AC18" s="1575">
        <v>1</v>
      </c>
    </row>
    <row r="19" spans="1:29" ht="71.25">
      <c r="A19" s="530"/>
      <c r="B19" s="558" t="s">
        <v>541</v>
      </c>
      <c r="C19" s="559" t="str">
        <f>估价对象房地状况!C16</f>
        <v>估价对象位于XX商圈，周边商业氛围成熟，人流量大，商业繁华度好</v>
      </c>
      <c r="D19" s="561">
        <v>100</v>
      </c>
      <c r="E19" s="562"/>
      <c r="F19" s="557">
        <f>SUMIF(92:92,E20,93:93)-SUMIF(92:92,C20,93:93)+100</f>
        <v>100</v>
      </c>
      <c r="G19" s="560"/>
      <c r="H19" s="563">
        <f>SUMIF(92:92,G20,93:93)-SUMIF(92:92,C20,93:93)+100</f>
        <v>100</v>
      </c>
      <c r="I19" s="562"/>
      <c r="J19" s="563">
        <f>SUMIF(92:92,I20,93:93)-SUMIF(92:92,C20,93:93)+100</f>
        <v>100</v>
      </c>
      <c r="K19" s="533"/>
      <c r="L19" s="2142"/>
      <c r="M19" s="2132"/>
      <c r="N19" s="2132"/>
      <c r="O19" s="2141"/>
      <c r="P19" s="3532"/>
      <c r="Q19" s="1571" t="str">
        <f>B19</f>
        <v>商业繁华度</v>
      </c>
      <c r="R19" s="1572" t="s">
        <v>8</v>
      </c>
      <c r="S19" s="1573">
        <f>F19</f>
        <v>100</v>
      </c>
      <c r="T19" s="1572" t="s">
        <v>8</v>
      </c>
      <c r="U19" s="1573">
        <f>H19</f>
        <v>100</v>
      </c>
      <c r="V19" s="1572" t="s">
        <v>8</v>
      </c>
      <c r="W19" s="1573">
        <f>J19</f>
        <v>100</v>
      </c>
      <c r="X19" s="1566"/>
      <c r="Y19" s="3532"/>
      <c r="Z19" s="1574" t="str">
        <f>Q19</f>
        <v>商业繁华度</v>
      </c>
      <c r="AA19" s="1575">
        <f t="shared" si="3"/>
        <v>1</v>
      </c>
      <c r="AB19" s="1575">
        <f t="shared" si="4"/>
        <v>1</v>
      </c>
      <c r="AC19" s="1575">
        <f t="shared" si="5"/>
        <v>1</v>
      </c>
    </row>
    <row r="20" spans="1:29" ht="20.25">
      <c r="A20" s="530"/>
      <c r="B20" s="564"/>
      <c r="C20" s="565"/>
      <c r="D20" s="561"/>
      <c r="E20" s="567"/>
      <c r="F20" s="557"/>
      <c r="G20" s="566"/>
      <c r="H20" s="553"/>
      <c r="I20" s="567"/>
      <c r="J20" s="553"/>
      <c r="K20" s="529"/>
      <c r="L20" s="2142"/>
      <c r="M20" s="2132"/>
      <c r="N20" s="2132"/>
      <c r="O20" s="2141"/>
      <c r="P20" s="3532"/>
      <c r="Q20" s="1571"/>
      <c r="R20" s="1572"/>
      <c r="S20" s="1573"/>
      <c r="T20" s="1572"/>
      <c r="U20" s="1573"/>
      <c r="V20" s="1572"/>
      <c r="W20" s="1573"/>
      <c r="X20" s="1566"/>
      <c r="Y20" s="3532"/>
      <c r="Z20" s="1574"/>
      <c r="AA20" s="1575">
        <v>1</v>
      </c>
      <c r="AB20" s="1575">
        <v>1</v>
      </c>
      <c r="AC20" s="1575">
        <v>1</v>
      </c>
    </row>
    <row r="21" spans="1:29" ht="99.75">
      <c r="A21" s="530"/>
      <c r="B21" s="558" t="s">
        <v>542</v>
      </c>
      <c r="C21" s="559" t="str">
        <f>估价对象房地状况!C17</f>
        <v>估价对象位于西直门商圈，估价对象周边主要以居住为主，办公楼项目较少，办公集聚程度一般。</v>
      </c>
      <c r="D21" s="569">
        <v>100</v>
      </c>
      <c r="E21" s="570"/>
      <c r="F21" s="563">
        <f>SUMIF(94:94,E22,95:95)-SUMIF(94:94,C22,95:95)+100</f>
        <v>100</v>
      </c>
      <c r="G21" s="568"/>
      <c r="H21" s="557">
        <f>SUMIF(94:94,G22,95:95)-SUMIF(94:94,C22,95:95)+100</f>
        <v>100</v>
      </c>
      <c r="I21" s="570"/>
      <c r="J21" s="557">
        <f>SUMIF(94:94,I22,95:95)-SUMIF(94:94,C22,95:95)+100</f>
        <v>100</v>
      </c>
      <c r="K21" s="533"/>
      <c r="L21" s="2142"/>
      <c r="M21" s="2132"/>
      <c r="N21" s="2132"/>
      <c r="O21" s="2141"/>
      <c r="P21" s="3532"/>
      <c r="Q21" s="1571" t="str">
        <f>B21</f>
        <v>办公集聚程度</v>
      </c>
      <c r="R21" s="1572" t="s">
        <v>8</v>
      </c>
      <c r="S21" s="1573">
        <f>F21</f>
        <v>100</v>
      </c>
      <c r="T21" s="1572" t="s">
        <v>8</v>
      </c>
      <c r="U21" s="1573">
        <f>H21</f>
        <v>100</v>
      </c>
      <c r="V21" s="1572" t="s">
        <v>8</v>
      </c>
      <c r="W21" s="1573">
        <f>J21</f>
        <v>100</v>
      </c>
      <c r="X21" s="1566"/>
      <c r="Y21" s="3532"/>
      <c r="Z21" s="1574" t="str">
        <f>Q21</f>
        <v>办公集聚程度</v>
      </c>
      <c r="AA21" s="1575">
        <f t="shared" si="3"/>
        <v>1</v>
      </c>
      <c r="AB21" s="1575">
        <f t="shared" si="4"/>
        <v>1</v>
      </c>
      <c r="AC21" s="1575">
        <f t="shared" si="5"/>
        <v>1</v>
      </c>
    </row>
    <row r="22" spans="1:29" ht="20.25">
      <c r="A22" s="530"/>
      <c r="B22" s="564"/>
      <c r="C22" s="552"/>
      <c r="D22" s="555"/>
      <c r="E22" s="556"/>
      <c r="F22" s="553"/>
      <c r="G22" s="554"/>
      <c r="H22" s="553"/>
      <c r="I22" s="556"/>
      <c r="J22" s="553"/>
      <c r="K22" s="529"/>
      <c r="L22" s="2142"/>
      <c r="M22" s="2132"/>
      <c r="N22" s="2132"/>
      <c r="O22" s="2141"/>
      <c r="P22" s="3532"/>
      <c r="Q22" s="1571"/>
      <c r="R22" s="1572"/>
      <c r="S22" s="1573"/>
      <c r="T22" s="1572"/>
      <c r="U22" s="1573"/>
      <c r="V22" s="1572"/>
      <c r="W22" s="1573"/>
      <c r="X22" s="1566"/>
      <c r="Y22" s="3532"/>
      <c r="Z22" s="1574"/>
      <c r="AA22" s="1575">
        <v>1</v>
      </c>
      <c r="AB22" s="1575">
        <v>1</v>
      </c>
      <c r="AC22" s="1575">
        <v>1</v>
      </c>
    </row>
    <row r="23" spans="1:29" ht="242.25">
      <c r="A23" s="530"/>
      <c r="B23" s="558" t="s">
        <v>543</v>
      </c>
      <c r="C23" s="571"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23" s="561">
        <v>100</v>
      </c>
      <c r="E23" s="562"/>
      <c r="F23" s="563">
        <f>SUMIF(96:96,E24,97:97)-SUMIF(96:96,C24,97:97)+100</f>
        <v>100</v>
      </c>
      <c r="G23" s="560"/>
      <c r="H23" s="557">
        <f>SUMIF(96:96,G24,97:97)-SUMIF(96:96,C24,97:97)+100</f>
        <v>100</v>
      </c>
      <c r="I23" s="562"/>
      <c r="J23" s="557">
        <f>SUMIF(96:96,I24,97:97)-SUMIF(96:96,C24,97:97)+100</f>
        <v>100</v>
      </c>
      <c r="K23" s="533"/>
      <c r="L23" s="2142"/>
      <c r="M23" s="2132"/>
      <c r="N23" s="2132"/>
      <c r="O23" s="2141"/>
      <c r="P23" s="3532"/>
      <c r="Q23" s="1571" t="str">
        <f>B23</f>
        <v>交通便捷度</v>
      </c>
      <c r="R23" s="1572" t="s">
        <v>8</v>
      </c>
      <c r="S23" s="1573">
        <f>F23</f>
        <v>100</v>
      </c>
      <c r="T23" s="1572" t="s">
        <v>8</v>
      </c>
      <c r="U23" s="1573">
        <f>H23</f>
        <v>100</v>
      </c>
      <c r="V23" s="1572" t="s">
        <v>8</v>
      </c>
      <c r="W23" s="1573">
        <f>J23</f>
        <v>100</v>
      </c>
      <c r="X23" s="1566"/>
      <c r="Y23" s="3532"/>
      <c r="Z23" s="1574" t="str">
        <f>Q23</f>
        <v>交通便捷度</v>
      </c>
      <c r="AA23" s="1575">
        <f t="shared" si="3"/>
        <v>1</v>
      </c>
      <c r="AB23" s="1575">
        <f t="shared" si="4"/>
        <v>1</v>
      </c>
      <c r="AC23" s="1575">
        <f t="shared" si="5"/>
        <v>1</v>
      </c>
    </row>
    <row r="24" spans="1:29" ht="20.25">
      <c r="A24" s="530"/>
      <c r="B24" s="576"/>
      <c r="C24" s="552"/>
      <c r="D24" s="555"/>
      <c r="E24" s="556"/>
      <c r="F24" s="553"/>
      <c r="G24" s="554"/>
      <c r="H24" s="553"/>
      <c r="I24" s="556"/>
      <c r="J24" s="553"/>
      <c r="K24" s="529"/>
      <c r="L24" s="2142"/>
      <c r="M24" s="2132"/>
      <c r="N24" s="2132"/>
      <c r="O24" s="2141"/>
      <c r="P24" s="3532"/>
      <c r="Q24" s="1571"/>
      <c r="R24" s="1572"/>
      <c r="S24" s="1573"/>
      <c r="T24" s="1572"/>
      <c r="U24" s="1573"/>
      <c r="V24" s="1572"/>
      <c r="W24" s="1573"/>
      <c r="X24" s="1566"/>
      <c r="Y24" s="3532"/>
      <c r="Z24" s="1574"/>
      <c r="AA24" s="1575">
        <v>1</v>
      </c>
      <c r="AB24" s="1575">
        <v>1</v>
      </c>
      <c r="AC24" s="1575">
        <v>1</v>
      </c>
    </row>
    <row r="25" spans="1:29" ht="27">
      <c r="A25" s="513"/>
      <c r="B25" s="257" t="s">
        <v>544</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42"/>
      <c r="M25" s="2132"/>
      <c r="N25" s="2132"/>
      <c r="O25" s="2141"/>
      <c r="P25" s="3532"/>
      <c r="Q25" s="1571" t="str">
        <f t="shared" ref="Q25:Q39" si="8">B25</f>
        <v>区域土地利用方向</v>
      </c>
      <c r="R25" s="1572" t="s">
        <v>8</v>
      </c>
      <c r="S25" s="1573">
        <f>F25</f>
        <v>100</v>
      </c>
      <c r="T25" s="1572" t="s">
        <v>8</v>
      </c>
      <c r="U25" s="1573">
        <f>H25</f>
        <v>100</v>
      </c>
      <c r="V25" s="1572" t="s">
        <v>8</v>
      </c>
      <c r="W25" s="1573">
        <f>J25</f>
        <v>100</v>
      </c>
      <c r="X25" s="1566"/>
      <c r="Y25" s="3532"/>
      <c r="Z25" s="1574" t="str">
        <f>Q25</f>
        <v>区域土地利用方向</v>
      </c>
      <c r="AA25" s="1575">
        <f t="shared" si="3"/>
        <v>1</v>
      </c>
      <c r="AB25" s="1575">
        <f t="shared" si="4"/>
        <v>1</v>
      </c>
      <c r="AC25" s="1575">
        <f t="shared" si="5"/>
        <v>1</v>
      </c>
    </row>
    <row r="26" spans="1:29" ht="20.25">
      <c r="A26" s="513"/>
      <c r="B26" s="1005"/>
      <c r="C26" s="552"/>
      <c r="D26" s="555"/>
      <c r="E26" s="556"/>
      <c r="F26" s="553"/>
      <c r="G26" s="554"/>
      <c r="H26" s="553"/>
      <c r="I26" s="556"/>
      <c r="J26" s="553"/>
      <c r="K26" s="529"/>
      <c r="L26" s="2142"/>
      <c r="M26" s="2132"/>
      <c r="N26" s="2132"/>
      <c r="O26" s="2141"/>
      <c r="P26" s="3532"/>
      <c r="Q26" s="1571"/>
      <c r="R26" s="1572"/>
      <c r="S26" s="1573"/>
      <c r="T26" s="1572"/>
      <c r="U26" s="1573"/>
      <c r="V26" s="1572"/>
      <c r="W26" s="1573"/>
      <c r="X26" s="1566"/>
      <c r="Y26" s="3532"/>
      <c r="Z26" s="1574"/>
      <c r="AA26" s="1575"/>
      <c r="AB26" s="1575"/>
      <c r="AC26" s="1575"/>
    </row>
    <row r="27" spans="1:29" ht="156.75">
      <c r="A27" s="513"/>
      <c r="B27" s="576" t="s">
        <v>545</v>
      </c>
      <c r="C27" s="559" t="str">
        <f>估价对象房地状况!C20</f>
        <v>区域自然环境：官园公园、什刹海公园、北海公园；人文环境：妙应寺白塔、恭王府、历代帝王庙、梅兰芳纪念馆、西直门天主教堂、西城区图书馆；综合评价环境状况好。</v>
      </c>
      <c r="D27" s="561">
        <v>100</v>
      </c>
      <c r="E27" s="562"/>
      <c r="F27" s="557">
        <f>SUMIF(100:100,E28,101:101)-SUMIF(100:100,C28,101:101)+100</f>
        <v>100</v>
      </c>
      <c r="G27" s="560"/>
      <c r="H27" s="557">
        <f>SUMIF(100:100,G28,101:101)-SUMIF(100:100,C28,101:101)+100</f>
        <v>100</v>
      </c>
      <c r="I27" s="562"/>
      <c r="J27" s="557">
        <f>SUMIF(100:100,I28,101:101)-SUMIF(100:100,C28,101:101)+100</f>
        <v>100</v>
      </c>
      <c r="K27" s="533"/>
      <c r="L27" s="2142"/>
      <c r="M27" s="2132"/>
      <c r="N27" s="2132"/>
      <c r="O27" s="2141"/>
      <c r="P27" s="3532"/>
      <c r="Q27" s="1571" t="str">
        <f t="shared" si="8"/>
        <v>自然及人文环境状况</v>
      </c>
      <c r="R27" s="1572" t="s">
        <v>8</v>
      </c>
      <c r="S27" s="1573">
        <f>F27</f>
        <v>100</v>
      </c>
      <c r="T27" s="1572" t="s">
        <v>8</v>
      </c>
      <c r="U27" s="1573">
        <f>H27</f>
        <v>100</v>
      </c>
      <c r="V27" s="1572" t="s">
        <v>8</v>
      </c>
      <c r="W27" s="1573">
        <f>J27</f>
        <v>100</v>
      </c>
      <c r="X27" s="1566"/>
      <c r="Y27" s="3532"/>
      <c r="Z27" s="1574" t="str">
        <f>Q27</f>
        <v>自然及人文环境状况</v>
      </c>
      <c r="AA27" s="1575">
        <f t="shared" si="3"/>
        <v>1</v>
      </c>
      <c r="AB27" s="1575">
        <f t="shared" si="4"/>
        <v>1</v>
      </c>
      <c r="AC27" s="1575">
        <f t="shared" si="5"/>
        <v>1</v>
      </c>
    </row>
    <row r="28" spans="1:29" ht="20.25">
      <c r="A28" s="513"/>
      <c r="B28" s="564"/>
      <c r="C28" s="552"/>
      <c r="D28" s="555"/>
      <c r="E28" s="574"/>
      <c r="F28" s="553"/>
      <c r="G28" s="552"/>
      <c r="H28" s="553"/>
      <c r="I28" s="574"/>
      <c r="J28" s="553"/>
      <c r="K28" s="529"/>
      <c r="L28" s="2142"/>
      <c r="M28" s="2132"/>
      <c r="N28" s="2132"/>
      <c r="O28" s="2141"/>
      <c r="P28" s="3532"/>
      <c r="Q28" s="1571"/>
      <c r="R28" s="1572"/>
      <c r="S28" s="1573"/>
      <c r="T28" s="1572"/>
      <c r="U28" s="1573"/>
      <c r="V28" s="1572"/>
      <c r="W28" s="1573"/>
      <c r="X28" s="1566"/>
      <c r="Y28" s="3532"/>
      <c r="Z28" s="1574"/>
      <c r="AA28" s="1575">
        <v>1</v>
      </c>
      <c r="AB28" s="1575">
        <v>1</v>
      </c>
      <c r="AC28" s="1575">
        <v>1</v>
      </c>
    </row>
    <row r="29" spans="1:29" s="1218" customFormat="1" ht="42.75">
      <c r="A29" s="575"/>
      <c r="B29" s="2613" t="s">
        <v>2552</v>
      </c>
      <c r="C29" s="571" t="str">
        <f>估价对象房地状况!C21</f>
        <v>估价对象所在区域公共配套设施齐备</v>
      </c>
      <c r="D29" s="561">
        <v>100</v>
      </c>
      <c r="E29" s="562"/>
      <c r="F29" s="557">
        <f>SUMIF(102:102,E30,103:103)-SUMIF(102:102,C30,103:103)+100</f>
        <v>100</v>
      </c>
      <c r="G29" s="560"/>
      <c r="H29" s="557">
        <f>SUMIF(102:102,G30,103:103)-SUMIF(102:102,C30,103:103)+100</f>
        <v>100</v>
      </c>
      <c r="I29" s="562"/>
      <c r="J29" s="557">
        <f>SUMIF(102:102,I30,103:103)-SUMIF(102:102,C30,103:103)+100</f>
        <v>100</v>
      </c>
      <c r="K29" s="533"/>
      <c r="L29" s="2135"/>
      <c r="M29" s="2132"/>
      <c r="N29" s="2132"/>
      <c r="O29" s="2137"/>
      <c r="P29" s="3532"/>
      <c r="Q29" s="1149" t="str">
        <f t="shared" si="8"/>
        <v>公共配套设施</v>
      </c>
      <c r="R29" s="1567" t="s">
        <v>8</v>
      </c>
      <c r="S29" s="1568">
        <f>F29</f>
        <v>100</v>
      </c>
      <c r="T29" s="1567" t="s">
        <v>8</v>
      </c>
      <c r="U29" s="1568">
        <f>H29</f>
        <v>100</v>
      </c>
      <c r="V29" s="1567" t="s">
        <v>8</v>
      </c>
      <c r="W29" s="1568">
        <f>J29</f>
        <v>100</v>
      </c>
      <c r="X29" s="1569"/>
      <c r="Y29" s="3532"/>
      <c r="Z29" s="1148" t="str">
        <f>Q29</f>
        <v>公共配套设施</v>
      </c>
      <c r="AA29" s="1575">
        <f>D29/F29</f>
        <v>1</v>
      </c>
      <c r="AB29" s="1575">
        <f>D29/H29</f>
        <v>1</v>
      </c>
      <c r="AC29" s="1575">
        <f>D29/J29</f>
        <v>1</v>
      </c>
    </row>
    <row r="30" spans="1:29" s="1218" customFormat="1" ht="20.25">
      <c r="A30" s="575"/>
      <c r="B30" s="564"/>
      <c r="C30" s="577"/>
      <c r="D30" s="555"/>
      <c r="E30" s="574"/>
      <c r="F30" s="553"/>
      <c r="G30" s="552"/>
      <c r="H30" s="553"/>
      <c r="I30" s="574"/>
      <c r="J30" s="553"/>
      <c r="K30" s="529"/>
      <c r="L30" s="2135"/>
      <c r="M30" s="2132"/>
      <c r="N30" s="2132"/>
      <c r="O30" s="2137"/>
      <c r="P30" s="3532"/>
      <c r="Q30" s="1149"/>
      <c r="R30" s="1567"/>
      <c r="S30" s="1568"/>
      <c r="T30" s="1567"/>
      <c r="U30" s="1568"/>
      <c r="V30" s="1567"/>
      <c r="W30" s="1568"/>
      <c r="X30" s="1569"/>
      <c r="Y30" s="3532"/>
      <c r="Z30" s="1148"/>
      <c r="AA30" s="1575">
        <v>1</v>
      </c>
      <c r="AB30" s="1575">
        <v>1</v>
      </c>
      <c r="AC30" s="1575">
        <v>1</v>
      </c>
    </row>
    <row r="31" spans="1:29" s="1218" customFormat="1" ht="42.75">
      <c r="A31" s="575"/>
      <c r="B31" s="2613" t="s">
        <v>2553</v>
      </c>
      <c r="C31" s="571" t="str">
        <f>估价对象房地状况!C22</f>
        <v>估价对象所在区域基础设施水平达到七通</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5"/>
      <c r="M31" s="2132"/>
      <c r="N31" s="2132"/>
      <c r="O31" s="2137"/>
      <c r="P31" s="3532"/>
      <c r="Q31" s="2600" t="str">
        <f t="shared" ref="Q31" si="9">B31</f>
        <v>基础设施水平</v>
      </c>
      <c r="R31" s="1567" t="s">
        <v>8</v>
      </c>
      <c r="S31" s="1568">
        <f>F31</f>
        <v>100</v>
      </c>
      <c r="T31" s="1567" t="s">
        <v>8</v>
      </c>
      <c r="U31" s="1568">
        <f>H31</f>
        <v>100</v>
      </c>
      <c r="V31" s="1567" t="s">
        <v>8</v>
      </c>
      <c r="W31" s="1568">
        <f>J31</f>
        <v>100</v>
      </c>
      <c r="X31" s="1569"/>
      <c r="Y31" s="3532"/>
      <c r="Z31" s="2597" t="str">
        <f>Q31</f>
        <v>基础设施水平</v>
      </c>
      <c r="AA31" s="1575">
        <f>D31/F31</f>
        <v>1</v>
      </c>
      <c r="AB31" s="1575">
        <f>D31/H31</f>
        <v>1</v>
      </c>
      <c r="AC31" s="1575">
        <f>D31/J31</f>
        <v>1</v>
      </c>
    </row>
    <row r="32" spans="1:29" s="1218" customFormat="1" ht="20.25">
      <c r="A32" s="575"/>
      <c r="B32" s="564"/>
      <c r="C32" s="577"/>
      <c r="D32" s="555"/>
      <c r="E32" s="2614"/>
      <c r="F32" s="553"/>
      <c r="G32" s="577"/>
      <c r="H32" s="553"/>
      <c r="I32" s="577"/>
      <c r="J32" s="553"/>
      <c r="K32" s="529"/>
      <c r="L32" s="2135"/>
      <c r="M32" s="2132"/>
      <c r="N32" s="2132"/>
      <c r="O32" s="2137"/>
      <c r="P32" s="3532"/>
      <c r="Q32" s="2600"/>
      <c r="R32" s="1567"/>
      <c r="S32" s="1568"/>
      <c r="T32" s="1567"/>
      <c r="U32" s="1568"/>
      <c r="V32" s="1567"/>
      <c r="W32" s="1568"/>
      <c r="X32" s="1569"/>
      <c r="Y32" s="3532"/>
      <c r="Z32" s="2597"/>
      <c r="AA32" s="1575">
        <v>1</v>
      </c>
      <c r="AB32" s="1575">
        <v>1</v>
      </c>
      <c r="AC32" s="1575">
        <v>1</v>
      </c>
    </row>
    <row r="33" spans="1:29" ht="20.25">
      <c r="A33" s="530"/>
      <c r="B33" s="564" t="s">
        <v>547</v>
      </c>
      <c r="C33" s="578"/>
      <c r="D33" s="573">
        <v>100</v>
      </c>
      <c r="E33" s="581"/>
      <c r="F33" s="538">
        <f>SUMIF(106:106,E33,107:107)-SUMIF(106:106,C33,107:107)+100</f>
        <v>100</v>
      </c>
      <c r="G33" s="578"/>
      <c r="H33" s="538">
        <f>SUMIF(106:106,G33,107:107)-SUMIF(106:106,C33,107:107)+100</f>
        <v>100</v>
      </c>
      <c r="I33" s="578"/>
      <c r="J33" s="538">
        <f>SUMIF(106:106,I33,107:107)-SUMIF(106:106,C33,107:107)+100</f>
        <v>100</v>
      </c>
      <c r="K33" s="533"/>
      <c r="L33" s="2142"/>
      <c r="M33" s="2132"/>
      <c r="N33" s="2132"/>
      <c r="O33" s="2141"/>
      <c r="P33" s="3532"/>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532"/>
      <c r="Z33" s="1574" t="str">
        <f t="shared" ref="Z33:Z47" si="13">Q33</f>
        <v>临街状况</v>
      </c>
      <c r="AA33" s="1575">
        <f t="shared" si="3"/>
        <v>1</v>
      </c>
      <c r="AB33" s="1575">
        <f t="shared" si="4"/>
        <v>1</v>
      </c>
      <c r="AC33" s="1575">
        <f t="shared" si="5"/>
        <v>1</v>
      </c>
    </row>
    <row r="34" spans="1:29" ht="27">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c r="L34" s="2142"/>
      <c r="M34" s="2132"/>
      <c r="N34" s="2132"/>
      <c r="O34" s="2141"/>
      <c r="P34" s="3532"/>
      <c r="Q34" s="1571" t="str">
        <f t="shared" si="8"/>
        <v>毗邻道路的类型与等级</v>
      </c>
      <c r="R34" s="1572" t="s">
        <v>8</v>
      </c>
      <c r="S34" s="1573">
        <f t="shared" si="10"/>
        <v>100</v>
      </c>
      <c r="T34" s="1572" t="s">
        <v>8</v>
      </c>
      <c r="U34" s="1573">
        <f t="shared" si="11"/>
        <v>100</v>
      </c>
      <c r="V34" s="1572" t="s">
        <v>8</v>
      </c>
      <c r="W34" s="1573">
        <f t="shared" si="12"/>
        <v>100</v>
      </c>
      <c r="X34" s="1566"/>
      <c r="Y34" s="3532"/>
      <c r="Z34" s="1574" t="str">
        <f t="shared" si="13"/>
        <v>毗邻道路的类型与等级</v>
      </c>
      <c r="AA34" s="1575">
        <f t="shared" si="3"/>
        <v>1</v>
      </c>
      <c r="AB34" s="1575">
        <f t="shared" si="4"/>
        <v>1</v>
      </c>
      <c r="AC34" s="1575">
        <f t="shared" si="5"/>
        <v>1</v>
      </c>
    </row>
    <row r="35" spans="1:29" ht="20.25">
      <c r="A35" s="530"/>
      <c r="B35" s="564"/>
      <c r="C35" s="552"/>
      <c r="D35" s="555"/>
      <c r="E35" s="574"/>
      <c r="F35" s="553"/>
      <c r="G35" s="552"/>
      <c r="H35" s="553"/>
      <c r="I35" s="574"/>
      <c r="J35" s="553"/>
      <c r="K35" s="579"/>
      <c r="L35" s="2142"/>
      <c r="M35" s="2132"/>
      <c r="N35" s="2132"/>
      <c r="O35" s="2141"/>
      <c r="P35" s="3532"/>
      <c r="Q35" s="1571"/>
      <c r="R35" s="1572"/>
      <c r="S35" s="1573"/>
      <c r="T35" s="1572"/>
      <c r="U35" s="1573"/>
      <c r="V35" s="1572"/>
      <c r="W35" s="1573"/>
      <c r="X35" s="1566"/>
      <c r="Y35" s="3532"/>
      <c r="Z35" s="1574"/>
      <c r="AA35" s="1575">
        <v>1</v>
      </c>
      <c r="AB35" s="1575">
        <v>1</v>
      </c>
      <c r="AC35" s="1575">
        <v>1</v>
      </c>
    </row>
    <row r="36" spans="1:29" ht="20.25">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2"/>
      <c r="M36" s="2132"/>
      <c r="N36" s="2132"/>
      <c r="O36" s="2141"/>
      <c r="P36" s="3532"/>
      <c r="Q36" s="1571" t="str">
        <f t="shared" si="8"/>
        <v>土地级别</v>
      </c>
      <c r="R36" s="1572" t="s">
        <v>8</v>
      </c>
      <c r="S36" s="1573">
        <f t="shared" si="10"/>
        <v>100</v>
      </c>
      <c r="T36" s="1572" t="s">
        <v>8</v>
      </c>
      <c r="U36" s="1573">
        <f t="shared" si="11"/>
        <v>100</v>
      </c>
      <c r="V36" s="1572" t="s">
        <v>8</v>
      </c>
      <c r="W36" s="1573">
        <f t="shared" si="12"/>
        <v>100</v>
      </c>
      <c r="X36" s="1566"/>
      <c r="Y36" s="3532"/>
      <c r="Z36" s="1574" t="str">
        <f t="shared" si="13"/>
        <v>土地级别</v>
      </c>
      <c r="AA36" s="1575">
        <f t="shared" si="3"/>
        <v>1</v>
      </c>
      <c r="AB36" s="1575">
        <f t="shared" si="4"/>
        <v>1</v>
      </c>
      <c r="AC36" s="1575">
        <f t="shared" si="5"/>
        <v>1</v>
      </c>
    </row>
    <row r="37" spans="1:29" ht="20.25">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2"/>
      <c r="M37" s="2132"/>
      <c r="N37" s="2132"/>
      <c r="O37" s="2141"/>
      <c r="P37" s="3532"/>
      <c r="Q37" s="1571">
        <f t="shared" si="8"/>
        <v>111</v>
      </c>
      <c r="R37" s="1572" t="s">
        <v>8</v>
      </c>
      <c r="S37" s="1573">
        <f t="shared" si="10"/>
        <v>100</v>
      </c>
      <c r="T37" s="1572" t="s">
        <v>8</v>
      </c>
      <c r="U37" s="1573">
        <f t="shared" si="11"/>
        <v>100</v>
      </c>
      <c r="V37" s="1572" t="s">
        <v>8</v>
      </c>
      <c r="W37" s="1573">
        <f t="shared" si="12"/>
        <v>100</v>
      </c>
      <c r="X37" s="1566"/>
      <c r="Y37" s="3532"/>
      <c r="Z37" s="1574">
        <f t="shared" si="13"/>
        <v>111</v>
      </c>
      <c r="AA37" s="1575">
        <f t="shared" si="3"/>
        <v>1</v>
      </c>
      <c r="AB37" s="1575">
        <f t="shared" si="4"/>
        <v>1</v>
      </c>
      <c r="AC37" s="1575">
        <f t="shared" si="5"/>
        <v>1</v>
      </c>
    </row>
    <row r="38" spans="1:29" ht="20.25">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2"/>
      <c r="M38" s="2132"/>
      <c r="N38" s="2132"/>
      <c r="O38" s="2141"/>
      <c r="P38" s="3533" t="s">
        <v>550</v>
      </c>
      <c r="Q38" s="1571">
        <f t="shared" si="8"/>
        <v>111</v>
      </c>
      <c r="R38" s="1572" t="s">
        <v>8</v>
      </c>
      <c r="S38" s="1573">
        <f t="shared" si="10"/>
        <v>100</v>
      </c>
      <c r="T38" s="1572" t="s">
        <v>8</v>
      </c>
      <c r="U38" s="1573">
        <f t="shared" si="11"/>
        <v>100</v>
      </c>
      <c r="V38" s="1572" t="s">
        <v>8</v>
      </c>
      <c r="W38" s="1573">
        <f t="shared" si="12"/>
        <v>100</v>
      </c>
      <c r="X38" s="1566"/>
      <c r="Y38" s="3534" t="s">
        <v>550</v>
      </c>
      <c r="Z38" s="1574">
        <f t="shared" si="13"/>
        <v>111</v>
      </c>
      <c r="AA38" s="1575">
        <f t="shared" si="3"/>
        <v>1</v>
      </c>
      <c r="AB38" s="1575">
        <f t="shared" si="4"/>
        <v>1</v>
      </c>
      <c r="AC38" s="1575">
        <f t="shared" si="5"/>
        <v>1</v>
      </c>
    </row>
    <row r="39" spans="1:29" s="1337" customFormat="1" ht="2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40"/>
      <c r="M39" s="2132"/>
      <c r="N39" s="2132"/>
      <c r="O39" s="2143"/>
      <c r="P39" s="3534"/>
      <c r="Q39" s="1571">
        <f t="shared" si="8"/>
        <v>111</v>
      </c>
      <c r="R39" s="1576" t="s">
        <v>8</v>
      </c>
      <c r="S39" s="1577">
        <f t="shared" si="10"/>
        <v>100</v>
      </c>
      <c r="T39" s="1576" t="s">
        <v>8</v>
      </c>
      <c r="U39" s="1577">
        <f t="shared" si="11"/>
        <v>100</v>
      </c>
      <c r="V39" s="1576" t="s">
        <v>8</v>
      </c>
      <c r="W39" s="1577">
        <f t="shared" si="12"/>
        <v>100</v>
      </c>
      <c r="X39" s="1578"/>
      <c r="Y39" s="3534"/>
      <c r="Z39" s="1579">
        <f t="shared" si="13"/>
        <v>111</v>
      </c>
      <c r="AA39" s="1575">
        <f t="shared" si="3"/>
        <v>1</v>
      </c>
      <c r="AB39" s="1575">
        <f t="shared" si="4"/>
        <v>1</v>
      </c>
      <c r="AC39" s="1575">
        <f t="shared" si="5"/>
        <v>1</v>
      </c>
    </row>
    <row r="40" spans="1:29" ht="20.25">
      <c r="A40" s="2929" t="s">
        <v>2759</v>
      </c>
      <c r="B40" s="593" t="s">
        <v>552</v>
      </c>
      <c r="C40" s="594"/>
      <c r="D40" s="595">
        <v>100</v>
      </c>
      <c r="E40" s="594"/>
      <c r="F40" s="595" t="e">
        <f>LOOKUP(E40,119:119,120:120)-LOOKUP(C40,119:119,120:120)+100</f>
        <v>#N/A</v>
      </c>
      <c r="G40" s="594"/>
      <c r="H40" s="595" t="e">
        <f>LOOKUP(G40,119:119,120:120)-LOOKUP(C40,119:119,120:120)+100</f>
        <v>#N/A</v>
      </c>
      <c r="I40" s="596"/>
      <c r="J40" s="595" t="e">
        <f>LOOKUP(I40,119:119,120:120)-LOOKUP(C40,119:119,120:120)+100</f>
        <v>#N/A</v>
      </c>
      <c r="K40" s="579"/>
      <c r="L40" s="2142"/>
      <c r="M40" s="2132"/>
      <c r="N40" s="2132"/>
      <c r="O40" s="2141"/>
      <c r="P40" s="3534"/>
      <c r="Q40" s="1571" t="str">
        <f>B40</f>
        <v>宗地面积</v>
      </c>
      <c r="R40" s="1572" t="s">
        <v>8</v>
      </c>
      <c r="S40" s="1573" t="e">
        <f t="shared" si="10"/>
        <v>#N/A</v>
      </c>
      <c r="T40" s="1572" t="s">
        <v>8</v>
      </c>
      <c r="U40" s="1573" t="e">
        <f t="shared" si="11"/>
        <v>#N/A</v>
      </c>
      <c r="V40" s="1572" t="s">
        <v>8</v>
      </c>
      <c r="W40" s="1573" t="e">
        <f t="shared" si="12"/>
        <v>#N/A</v>
      </c>
      <c r="X40" s="1566"/>
      <c r="Y40" s="3534"/>
      <c r="Z40" s="1574" t="str">
        <f t="shared" si="13"/>
        <v>宗地面积</v>
      </c>
      <c r="AA40" s="1575" t="e">
        <f t="shared" si="3"/>
        <v>#N/A</v>
      </c>
      <c r="AB40" s="1575" t="e">
        <f t="shared" si="4"/>
        <v>#N/A</v>
      </c>
      <c r="AC40" s="1575" t="e">
        <f t="shared" si="5"/>
        <v>#N/A</v>
      </c>
    </row>
    <row r="41" spans="1:29" ht="20.25">
      <c r="A41" s="592"/>
      <c r="B41" s="525" t="s">
        <v>553</v>
      </c>
      <c r="C41" s="597"/>
      <c r="D41" s="538">
        <v>100</v>
      </c>
      <c r="E41" s="597"/>
      <c r="F41" s="538">
        <f>SUMIF(121:121,E41,122:122)-SUMIF(121:121,C41,122:122)+100</f>
        <v>100</v>
      </c>
      <c r="G41" s="597"/>
      <c r="H41" s="538">
        <f>SUMIF(121:121,G41,122:122)-SUMIF(121:121,C41,122:122)+100</f>
        <v>100</v>
      </c>
      <c r="I41" s="597"/>
      <c r="J41" s="538">
        <f>SUMIF(121:121,I41,122:122)-SUMIF(121:121,C41,122:122)+100</f>
        <v>100</v>
      </c>
      <c r="K41" s="582"/>
      <c r="L41" s="2142"/>
      <c r="M41" s="2132"/>
      <c r="N41" s="2132"/>
      <c r="O41" s="2141"/>
      <c r="P41" s="3534"/>
      <c r="Q41" s="1571" t="str">
        <f t="shared" ref="Q41:Q47" si="14">B41</f>
        <v>宗地形状</v>
      </c>
      <c r="R41" s="1572" t="s">
        <v>8</v>
      </c>
      <c r="S41" s="1573">
        <f t="shared" si="10"/>
        <v>100</v>
      </c>
      <c r="T41" s="1572" t="s">
        <v>8</v>
      </c>
      <c r="U41" s="1573">
        <f t="shared" si="11"/>
        <v>100</v>
      </c>
      <c r="V41" s="1572" t="s">
        <v>8</v>
      </c>
      <c r="W41" s="1573">
        <f t="shared" si="12"/>
        <v>100</v>
      </c>
      <c r="X41" s="1566"/>
      <c r="Y41" s="3534"/>
      <c r="Z41" s="1574" t="str">
        <f t="shared" si="13"/>
        <v>宗地形状</v>
      </c>
      <c r="AA41" s="1575">
        <f t="shared" si="3"/>
        <v>1</v>
      </c>
      <c r="AB41" s="1575">
        <f t="shared" si="4"/>
        <v>1</v>
      </c>
      <c r="AC41" s="1575">
        <f t="shared" si="5"/>
        <v>1</v>
      </c>
    </row>
    <row r="42" spans="1:29" ht="20.25">
      <c r="A42" s="592"/>
      <c r="B42" s="525" t="s">
        <v>554</v>
      </c>
      <c r="C42" s="597"/>
      <c r="D42" s="538">
        <v>100</v>
      </c>
      <c r="E42" s="597"/>
      <c r="F42" s="538">
        <f>SUMIF(123:123,E42,124:124)-SUMIF(123:123,C42,124:124)+100</f>
        <v>100</v>
      </c>
      <c r="G42" s="597"/>
      <c r="H42" s="538">
        <f>SUMIF(123:123,G42,124:124)-SUMIF(123:123,C42,124:124)+100</f>
        <v>100</v>
      </c>
      <c r="I42" s="597"/>
      <c r="J42" s="538">
        <f>SUMIF(123:123,I42,124:124)-SUMIF(123:123,C42,124:124)+100</f>
        <v>100</v>
      </c>
      <c r="K42" s="582"/>
      <c r="L42" s="2142"/>
      <c r="M42" s="2132"/>
      <c r="N42" s="2132"/>
      <c r="O42" s="2141"/>
      <c r="P42" s="3534"/>
      <c r="Q42" s="1571" t="str">
        <f t="shared" si="14"/>
        <v>临街宽度及深度</v>
      </c>
      <c r="R42" s="1572" t="s">
        <v>8</v>
      </c>
      <c r="S42" s="1573">
        <f t="shared" si="10"/>
        <v>100</v>
      </c>
      <c r="T42" s="1572" t="s">
        <v>8</v>
      </c>
      <c r="U42" s="1573">
        <f t="shared" si="11"/>
        <v>100</v>
      </c>
      <c r="V42" s="1572" t="s">
        <v>8</v>
      </c>
      <c r="W42" s="1573">
        <f t="shared" si="12"/>
        <v>100</v>
      </c>
      <c r="X42" s="1566"/>
      <c r="Y42" s="3534"/>
      <c r="Z42" s="1574" t="str">
        <f t="shared" si="13"/>
        <v>临街宽度及深度</v>
      </c>
      <c r="AA42" s="1575">
        <f t="shared" si="3"/>
        <v>1</v>
      </c>
      <c r="AB42" s="1575">
        <f t="shared" si="4"/>
        <v>1</v>
      </c>
      <c r="AC42" s="1575">
        <f t="shared" si="5"/>
        <v>1</v>
      </c>
    </row>
    <row r="43" spans="1:29" s="1218" customFormat="1" ht="20.25">
      <c r="A43" s="598"/>
      <c r="B43" s="1895" t="s">
        <v>2428</v>
      </c>
      <c r="C43" s="599"/>
      <c r="D43" s="253">
        <v>100</v>
      </c>
      <c r="E43" s="599"/>
      <c r="F43" s="538">
        <f>SUMIF(125:125,E43,126:126)-SUMIF(125:125,C43,126:126)+100</f>
        <v>100</v>
      </c>
      <c r="G43" s="599"/>
      <c r="H43" s="538">
        <f>SUMIF(125:125,G43,126:126)-SUMIF(125:125,C43,126:126)+100</f>
        <v>100</v>
      </c>
      <c r="I43" s="599"/>
      <c r="J43" s="538">
        <f>SUMIF(125:125,I43,126:126)-SUMIF(125:125,C43,126:126)+100</f>
        <v>100</v>
      </c>
      <c r="K43" s="582"/>
      <c r="L43" s="2135"/>
      <c r="M43" s="2132"/>
      <c r="N43" s="2132"/>
      <c r="O43" s="2137"/>
      <c r="P43" s="3534"/>
      <c r="Q43" s="1571" t="str">
        <f t="shared" si="14"/>
        <v>宗地开发程度</v>
      </c>
      <c r="R43" s="1567" t="s">
        <v>8</v>
      </c>
      <c r="S43" s="1568">
        <f t="shared" si="10"/>
        <v>100</v>
      </c>
      <c r="T43" s="1567" t="s">
        <v>8</v>
      </c>
      <c r="U43" s="1568">
        <f t="shared" si="11"/>
        <v>100</v>
      </c>
      <c r="V43" s="1567" t="s">
        <v>8</v>
      </c>
      <c r="W43" s="1568">
        <f t="shared" si="12"/>
        <v>100</v>
      </c>
      <c r="X43" s="1569"/>
      <c r="Y43" s="3534"/>
      <c r="Z43" s="1148" t="str">
        <f t="shared" si="13"/>
        <v>宗地开发程度</v>
      </c>
      <c r="AA43" s="1570">
        <f t="shared" si="3"/>
        <v>1</v>
      </c>
      <c r="AB43" s="1570">
        <f t="shared" si="4"/>
        <v>1</v>
      </c>
      <c r="AC43" s="1570">
        <f t="shared" si="5"/>
        <v>1</v>
      </c>
    </row>
    <row r="44" spans="1:29" ht="20.25">
      <c r="A44" s="592"/>
      <c r="B44" s="525" t="s">
        <v>555</v>
      </c>
      <c r="C44" s="597"/>
      <c r="D44" s="538">
        <v>100</v>
      </c>
      <c r="E44" s="597"/>
      <c r="F44" s="538">
        <f>SUMIF(127:127,E44,128:128)-SUMIF(127:127,C44,128:128)+100</f>
        <v>100</v>
      </c>
      <c r="G44" s="597"/>
      <c r="H44" s="538">
        <f>SUMIF(127:127,G44,128:128)-SUMIF(127:127,C44,128:128)+100</f>
        <v>100</v>
      </c>
      <c r="I44" s="597"/>
      <c r="J44" s="538">
        <f>SUMIF(127:127,I44,128:128)-SUMIF(127:127,C44,128:128)+100</f>
        <v>100</v>
      </c>
      <c r="K44" s="582"/>
      <c r="L44" s="2142"/>
      <c r="M44" s="2132"/>
      <c r="N44" s="2132"/>
      <c r="O44" s="2141"/>
      <c r="P44" s="3534" t="s">
        <v>550</v>
      </c>
      <c r="Q44" s="1571" t="str">
        <f t="shared" si="14"/>
        <v>工程地质条件</v>
      </c>
      <c r="R44" s="1572" t="s">
        <v>8</v>
      </c>
      <c r="S44" s="1573">
        <f t="shared" si="10"/>
        <v>100</v>
      </c>
      <c r="T44" s="1572" t="s">
        <v>8</v>
      </c>
      <c r="U44" s="1573">
        <f t="shared" si="11"/>
        <v>100</v>
      </c>
      <c r="V44" s="1572" t="s">
        <v>8</v>
      </c>
      <c r="W44" s="1573">
        <f t="shared" si="12"/>
        <v>100</v>
      </c>
      <c r="X44" s="1566"/>
      <c r="Y44" s="3534" t="s">
        <v>550</v>
      </c>
      <c r="Z44" s="1574" t="str">
        <f t="shared" si="13"/>
        <v>工程地质条件</v>
      </c>
      <c r="AA44" s="1575">
        <f t="shared" si="3"/>
        <v>1</v>
      </c>
      <c r="AB44" s="1575">
        <f t="shared" si="4"/>
        <v>1</v>
      </c>
      <c r="AC44" s="1575">
        <f t="shared" si="5"/>
        <v>1</v>
      </c>
    </row>
    <row r="45" spans="1:29" ht="20.25">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2"/>
      <c r="M45" s="2132"/>
      <c r="N45" s="2132"/>
      <c r="O45" s="2141"/>
      <c r="P45" s="3534"/>
      <c r="Q45" s="1571">
        <f t="shared" si="14"/>
        <v>111</v>
      </c>
      <c r="R45" s="1572" t="s">
        <v>8</v>
      </c>
      <c r="S45" s="1573">
        <f t="shared" si="10"/>
        <v>100</v>
      </c>
      <c r="T45" s="1572" t="s">
        <v>8</v>
      </c>
      <c r="U45" s="1573">
        <f t="shared" si="11"/>
        <v>100</v>
      </c>
      <c r="V45" s="1572" t="s">
        <v>8</v>
      </c>
      <c r="W45" s="1573">
        <f t="shared" si="12"/>
        <v>100</v>
      </c>
      <c r="X45" s="1566"/>
      <c r="Y45" s="3534"/>
      <c r="Z45" s="1574">
        <f t="shared" si="13"/>
        <v>111</v>
      </c>
      <c r="AA45" s="1575">
        <f t="shared" si="3"/>
        <v>1</v>
      </c>
      <c r="AB45" s="1575">
        <f t="shared" si="4"/>
        <v>1</v>
      </c>
      <c r="AC45" s="1575">
        <f t="shared" si="5"/>
        <v>1</v>
      </c>
    </row>
    <row r="46" spans="1:29" ht="20.25">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2"/>
      <c r="M46" s="2132"/>
      <c r="N46" s="2132"/>
      <c r="O46" s="2141"/>
      <c r="P46" s="3534"/>
      <c r="Q46" s="1571">
        <f t="shared" si="14"/>
        <v>111</v>
      </c>
      <c r="R46" s="1572" t="s">
        <v>8</v>
      </c>
      <c r="S46" s="1573">
        <f t="shared" si="10"/>
        <v>100</v>
      </c>
      <c r="T46" s="1572" t="s">
        <v>8</v>
      </c>
      <c r="U46" s="1573">
        <f t="shared" si="11"/>
        <v>100</v>
      </c>
      <c r="V46" s="1572" t="s">
        <v>8</v>
      </c>
      <c r="W46" s="1573">
        <f t="shared" si="12"/>
        <v>100</v>
      </c>
      <c r="X46" s="1566"/>
      <c r="Y46" s="3534"/>
      <c r="Z46" s="1574">
        <f t="shared" si="13"/>
        <v>111</v>
      </c>
      <c r="AA46" s="1575">
        <f t="shared" si="3"/>
        <v>1</v>
      </c>
      <c r="AB46" s="1575">
        <f t="shared" si="4"/>
        <v>1</v>
      </c>
      <c r="AC46" s="1575">
        <f t="shared" si="5"/>
        <v>1</v>
      </c>
    </row>
    <row r="47" spans="1:29" s="1337" customFormat="1" ht="2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40"/>
      <c r="M47" s="2132"/>
      <c r="N47" s="2132"/>
      <c r="O47" s="2143"/>
      <c r="P47" s="3534"/>
      <c r="Q47" s="1571">
        <f t="shared" si="14"/>
        <v>111</v>
      </c>
      <c r="R47" s="1576" t="s">
        <v>8</v>
      </c>
      <c r="S47" s="1577">
        <f t="shared" si="10"/>
        <v>100</v>
      </c>
      <c r="T47" s="1576" t="s">
        <v>8</v>
      </c>
      <c r="U47" s="1577">
        <f t="shared" si="11"/>
        <v>100</v>
      </c>
      <c r="V47" s="1576" t="s">
        <v>8</v>
      </c>
      <c r="W47" s="1577">
        <f t="shared" si="12"/>
        <v>100</v>
      </c>
      <c r="X47" s="1578"/>
      <c r="Y47" s="3534"/>
      <c r="Z47" s="1579">
        <f t="shared" si="13"/>
        <v>111</v>
      </c>
      <c r="AA47" s="1575">
        <f t="shared" si="3"/>
        <v>1</v>
      </c>
      <c r="AB47" s="1575">
        <f t="shared" si="4"/>
        <v>1</v>
      </c>
      <c r="AC47" s="1575">
        <f t="shared" si="5"/>
        <v>1</v>
      </c>
    </row>
    <row r="48" spans="1:29" ht="20.25">
      <c r="A48" s="605" t="s">
        <v>556</v>
      </c>
      <c r="B48" s="606" t="s">
        <v>2935</v>
      </c>
      <c r="C48" s="607" t="s">
        <v>1</v>
      </c>
      <c r="D48" s="608"/>
      <c r="E48" s="609"/>
      <c r="F48" s="610"/>
      <c r="G48" s="611"/>
      <c r="H48" s="612"/>
      <c r="I48" s="609"/>
      <c r="J48" s="612"/>
      <c r="K48" s="1338"/>
      <c r="L48" s="2144"/>
      <c r="M48" s="2132"/>
      <c r="N48" s="2132"/>
      <c r="O48" s="2145"/>
      <c r="P48" s="3497" t="str">
        <f>A48</f>
        <v>成交单价</v>
      </c>
      <c r="Q48" s="3497"/>
      <c r="R48" s="3498">
        <f>E48</f>
        <v>0</v>
      </c>
      <c r="S48" s="3498"/>
      <c r="T48" s="3498">
        <f>G48</f>
        <v>0</v>
      </c>
      <c r="U48" s="3498"/>
      <c r="V48" s="3498">
        <f>I48</f>
        <v>0</v>
      </c>
      <c r="W48" s="3498"/>
      <c r="X48" s="1558"/>
      <c r="Y48" s="1580"/>
      <c r="Z48" s="1558"/>
      <c r="AA48" s="1558"/>
      <c r="AB48" s="1558"/>
      <c r="AC48" s="1558"/>
    </row>
    <row r="49" spans="1:29" ht="21" thickBot="1">
      <c r="A49" s="613" t="s">
        <v>2697</v>
      </c>
      <c r="B49" s="614"/>
      <c r="C49" s="615" t="e">
        <f>R50</f>
        <v>#DIV/0!</v>
      </c>
      <c r="D49" s="616"/>
      <c r="E49" s="615" t="e">
        <f>R49</f>
        <v>#DIV/0!</v>
      </c>
      <c r="F49" s="617"/>
      <c r="G49" s="618" t="e">
        <f>T49</f>
        <v>#DIV/0!</v>
      </c>
      <c r="H49" s="616"/>
      <c r="I49" s="615" t="e">
        <f>V49</f>
        <v>#DIV/0!</v>
      </c>
      <c r="J49" s="616"/>
      <c r="K49" s="1339"/>
      <c r="L49" s="2144"/>
      <c r="M49" s="2132"/>
      <c r="N49" s="2132"/>
      <c r="O49" s="2145"/>
      <c r="P49" s="3497" t="str">
        <f>A49</f>
        <v>比较价格（元/平方米）</v>
      </c>
      <c r="Q49" s="3497"/>
      <c r="R49" s="3499" t="e">
        <f>ROUND(PRODUCT(R48,AA9:AA47),0)</f>
        <v>#DIV/0!</v>
      </c>
      <c r="S49" s="3499"/>
      <c r="T49" s="3499" t="e">
        <f>ROUND(PRODUCT(T48,AB9:AB47),0)</f>
        <v>#DIV/0!</v>
      </c>
      <c r="U49" s="3499"/>
      <c r="V49" s="3499" t="e">
        <f>ROUND(PRODUCT(V48,AC9:AC47),0)</f>
        <v>#DIV/0!</v>
      </c>
      <c r="W49" s="3499"/>
      <c r="X49" s="1558"/>
      <c r="Y49" s="1558"/>
      <c r="Z49" s="1558"/>
      <c r="AA49" s="1558"/>
      <c r="AB49" s="1558"/>
      <c r="AC49" s="1558"/>
    </row>
    <row r="50" spans="1:29" ht="21" thickBot="1">
      <c r="A50" s="619" t="s">
        <v>2936</v>
      </c>
      <c r="B50" s="620"/>
      <c r="C50" s="621" t="e">
        <f>R50</f>
        <v>#DIV/0!</v>
      </c>
      <c r="D50" s="621"/>
      <c r="E50" s="621"/>
      <c r="F50" s="621"/>
      <c r="G50" s="621"/>
      <c r="H50" s="621"/>
      <c r="I50" s="621"/>
      <c r="J50" s="621"/>
      <c r="K50" s="1340"/>
      <c r="L50" s="2144"/>
      <c r="M50" s="2132"/>
      <c r="N50" s="2132"/>
      <c r="O50" s="2145"/>
      <c r="P50" s="3494" t="str">
        <f>A50</f>
        <v>估价对象XX用房的比较价格（楼面单价，元/平方米）</v>
      </c>
      <c r="Q50" s="3495"/>
      <c r="R50" s="3496" t="e">
        <f>ROUND(AVERAGE(R49:V49),0)</f>
        <v>#DIV/0!</v>
      </c>
      <c r="S50" s="3496"/>
      <c r="T50" s="3496"/>
      <c r="U50" s="3496"/>
      <c r="V50" s="3496"/>
      <c r="W50" s="3496"/>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7" t="s">
        <v>560</v>
      </c>
      <c r="B57" s="628" t="s">
        <v>561</v>
      </c>
      <c r="C57" s="1559" t="s">
        <v>1725</v>
      </c>
      <c r="D57" s="2227" t="s">
        <v>2296</v>
      </c>
      <c r="E57" s="629" t="s">
        <v>562</v>
      </c>
      <c r="F57" s="630" t="s">
        <v>563</v>
      </c>
      <c r="G57" s="3523" t="s">
        <v>2284</v>
      </c>
      <c r="H57" s="3524"/>
      <c r="I57" s="1554" t="s">
        <v>1723</v>
      </c>
      <c r="J57" s="1554">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1" t="s">
        <v>564</v>
      </c>
      <c r="B58" s="632" t="e">
        <f>C50</f>
        <v>#DIV/0!</v>
      </c>
      <c r="C58" s="633">
        <v>1</v>
      </c>
      <c r="D58" s="2228">
        <v>1</v>
      </c>
      <c r="E58" s="633">
        <f>'数据-汇总表'!E8+'数据-汇总表'!E9</f>
        <v>10000</v>
      </c>
      <c r="F58" s="634" t="e">
        <f t="shared" ref="F58:F67" si="15">ROUND(B58*E58/10000,0)</f>
        <v>#DIV/0!</v>
      </c>
      <c r="G58" s="3525"/>
      <c r="H58" s="3526"/>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565</v>
      </c>
      <c r="B59" s="636" t="e">
        <f>ROUND($C$50*C59*D59,0)</f>
        <v>#DIV/0!</v>
      </c>
      <c r="C59" s="376">
        <f t="shared" ref="C59:C67" si="16">IF($C$57="北京市系数",I59,J59)</f>
        <v>0</v>
      </c>
      <c r="D59" s="2229">
        <v>0.25</v>
      </c>
      <c r="E59" s="637">
        <v>0</v>
      </c>
      <c r="F59" s="634" t="e">
        <f t="shared" si="15"/>
        <v>#DIV/0!</v>
      </c>
      <c r="G59" s="3527" t="s">
        <v>2285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566</v>
      </c>
      <c r="B60" s="636" t="e">
        <f t="shared" ref="B60:B67" si="17">ROUND($C$50*C60*D60,0)</f>
        <v>#DIV/0!</v>
      </c>
      <c r="C60" s="376">
        <f t="shared" si="16"/>
        <v>0</v>
      </c>
      <c r="D60" s="2229">
        <v>0.25</v>
      </c>
      <c r="E60" s="637">
        <v>0</v>
      </c>
      <c r="F60" s="634" t="e">
        <f t="shared" si="15"/>
        <v>#DIV/0!</v>
      </c>
      <c r="G60" s="3527"/>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567</v>
      </c>
      <c r="B61" s="636" t="e">
        <f t="shared" si="17"/>
        <v>#DIV/0!</v>
      </c>
      <c r="C61" s="376">
        <f t="shared" si="16"/>
        <v>0</v>
      </c>
      <c r="D61" s="2229">
        <v>0.25</v>
      </c>
      <c r="E61" s="637">
        <v>0</v>
      </c>
      <c r="F61" s="634" t="e">
        <f t="shared" si="15"/>
        <v>#DIV/0!</v>
      </c>
      <c r="G61" s="3527"/>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5" t="s">
        <v>568</v>
      </c>
      <c r="B62" s="636" t="e">
        <f t="shared" si="17"/>
        <v>#DIV/0!</v>
      </c>
      <c r="C62" s="376">
        <f t="shared" si="16"/>
        <v>0</v>
      </c>
      <c r="D62" s="2229">
        <v>0.25</v>
      </c>
      <c r="E62" s="637">
        <v>0</v>
      </c>
      <c r="F62" s="634" t="e">
        <f t="shared" si="15"/>
        <v>#DIV/0!</v>
      </c>
      <c r="G62" s="3527"/>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2331</v>
      </c>
      <c r="B63" s="636" t="e">
        <f t="shared" si="17"/>
        <v>#DIV/0!</v>
      </c>
      <c r="C63" s="376">
        <f t="shared" si="16"/>
        <v>0.3</v>
      </c>
      <c r="D63" s="2229">
        <v>0.25</v>
      </c>
      <c r="E63" s="639">
        <f>'数据-汇总表'!E11</f>
        <v>0</v>
      </c>
      <c r="F63" s="634" t="e">
        <f t="shared" si="15"/>
        <v>#DIV/0!</v>
      </c>
      <c r="G63" s="1945" t="s">
        <v>2286</v>
      </c>
      <c r="H63" s="1948" t="str">
        <f>项目基本情况!C43</f>
        <v>二级</v>
      </c>
      <c r="I63" s="1555">
        <f>SUMIF(修正!$A$45:$A$56,H63,修正!F45:F56)</f>
        <v>0.3</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5" t="s">
        <v>569</v>
      </c>
      <c r="B64" s="636" t="e">
        <f t="shared" si="17"/>
        <v>#DIV/0!</v>
      </c>
      <c r="C64" s="376">
        <f t="shared" si="16"/>
        <v>0.3</v>
      </c>
      <c r="D64" s="2229">
        <v>0.25</v>
      </c>
      <c r="E64" s="639">
        <f>'数据-汇总表'!E12</f>
        <v>0</v>
      </c>
      <c r="F64" s="634" t="e">
        <f t="shared" si="15"/>
        <v>#DIV/0!</v>
      </c>
      <c r="G64" s="1946" t="s">
        <v>1678</v>
      </c>
      <c r="H64" s="1944" t="str">
        <f>IF(G64="商业",项目基本情况!B43,IF(G64="办公",项目基本情况!C43,IF(G64="住宅",项目基本情况!D43,项目基本情况!E43)))</f>
        <v>二级</v>
      </c>
      <c r="I64" s="1555">
        <f>SUMIF(修正!$A$45:$A$56,H64,修正!G45:G56)</f>
        <v>0.3</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5" t="s">
        <v>570</v>
      </c>
      <c r="B65" s="636" t="e">
        <f t="shared" si="17"/>
        <v>#DIV/0!</v>
      </c>
      <c r="C65" s="376">
        <f t="shared" si="16"/>
        <v>0</v>
      </c>
      <c r="D65" s="2229">
        <v>0.25</v>
      </c>
      <c r="E65" s="639">
        <f>'数据-汇总表'!E13</f>
        <v>0</v>
      </c>
      <c r="F65" s="634" t="e">
        <f t="shared" si="15"/>
        <v>#DIV/0!</v>
      </c>
      <c r="G65" s="1946" t="s">
        <v>923</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5" t="s">
        <v>571</v>
      </c>
      <c r="B66" s="636" t="e">
        <f t="shared" si="17"/>
        <v>#DIV/0!</v>
      </c>
      <c r="C66" s="376">
        <f t="shared" si="16"/>
        <v>0</v>
      </c>
      <c r="D66" s="2229">
        <v>0.25</v>
      </c>
      <c r="E66" s="639">
        <f>'数据-汇总表'!E14</f>
        <v>0</v>
      </c>
      <c r="F66" s="634" t="e">
        <f t="shared" si="15"/>
        <v>#DIV/0!</v>
      </c>
      <c r="G66" s="1945" t="s">
        <v>2285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5" t="s">
        <v>572</v>
      </c>
      <c r="B67" s="636" t="e">
        <f t="shared" si="17"/>
        <v>#DIV/0!</v>
      </c>
      <c r="C67" s="376">
        <f t="shared" si="16"/>
        <v>0.25</v>
      </c>
      <c r="D67" s="2229">
        <v>0.25</v>
      </c>
      <c r="E67" s="639">
        <f>'数据-汇总表'!E15</f>
        <v>0</v>
      </c>
      <c r="F67" s="634" t="e">
        <f t="shared" si="15"/>
        <v>#DIV/0!</v>
      </c>
      <c r="G67" s="1947" t="s">
        <v>2286</v>
      </c>
      <c r="H67" s="1949" t="str">
        <f>项目基本情况!C43</f>
        <v>二级</v>
      </c>
      <c r="I67" s="1555">
        <f>SUMIF(修正!$A$45:$A$56,H67,修正!H45:H56)</f>
        <v>0.25</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0" t="s">
        <v>573</v>
      </c>
      <c r="B68" s="641" t="s">
        <v>17</v>
      </c>
      <c r="C68" s="641" t="s">
        <v>18</v>
      </c>
      <c r="D68" s="641" t="s">
        <v>2297</v>
      </c>
      <c r="E68" s="641">
        <f>IF(B48="楼面地价",SUM(E58:E67),'数据-汇总表'!D3)</f>
        <v>2079.0700000000002</v>
      </c>
      <c r="F68" s="642" t="e">
        <f>IF(B48="楼面地价",SUM(F58:F67),ROUND(C50*E68/10000,0))</f>
        <v>#DIV/0!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90" t="s">
        <v>2536</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9"/>
      <c r="P72" s="2160"/>
      <c r="Q72" s="2161"/>
      <c r="R72" s="2161"/>
      <c r="S72" s="2161"/>
      <c r="T72" s="2161"/>
      <c r="U72" s="2161"/>
      <c r="V72" s="2161"/>
      <c r="W72" s="2161"/>
      <c r="X72" s="2161"/>
      <c r="Y72" s="2161"/>
      <c r="Z72" s="2161"/>
      <c r="AA72" s="2161"/>
      <c r="AB72" s="2161"/>
      <c r="AC72" s="2161"/>
    </row>
    <row r="73" spans="1:29" s="1218" customFormat="1" ht="27" customHeight="1">
      <c r="A73" s="2828" t="s">
        <v>2651</v>
      </c>
      <c r="B73" s="477" t="str">
        <f>"北京市平均增长率"&amp;TEXT(SUMIF(基准地价!N21:N25,A73,基准地价!P21:P25),"0.00%")</f>
        <v>北京市平均增长率2.27%</v>
      </c>
      <c r="C73" s="892">
        <v>100</v>
      </c>
      <c r="D73" s="728"/>
      <c r="E73" s="728"/>
      <c r="F73" s="728"/>
      <c r="G73" s="728"/>
      <c r="H73" s="728"/>
      <c r="I73" s="728"/>
      <c r="J73" s="728"/>
      <c r="K73" s="728"/>
      <c r="L73" s="728"/>
      <c r="M73" s="2814"/>
      <c r="N73" s="2815"/>
      <c r="O73" s="2162"/>
      <c r="P73" s="2158"/>
      <c r="Q73" s="1993"/>
      <c r="R73" s="1993"/>
      <c r="S73" s="1993"/>
      <c r="T73" s="1993"/>
      <c r="U73" s="1993"/>
      <c r="V73" s="1993"/>
      <c r="W73" s="1993"/>
      <c r="X73" s="1993"/>
      <c r="Y73" s="1993"/>
      <c r="Z73" s="1993"/>
      <c r="AA73" s="1993"/>
      <c r="AB73" s="1993"/>
      <c r="AC73" s="1993"/>
    </row>
    <row r="74" spans="1:29" s="1218" customFormat="1" ht="15" customHeight="1" thickBot="1">
      <c r="A74" s="2818" t="s">
        <v>2650</v>
      </c>
      <c r="B74" s="2827"/>
      <c r="C74" s="2812"/>
      <c r="D74" s="2813"/>
      <c r="E74" s="2813"/>
      <c r="F74" s="2813"/>
      <c r="G74" s="2813"/>
      <c r="H74" s="2813"/>
      <c r="I74" s="2813"/>
      <c r="J74" s="2813"/>
      <c r="K74" s="2813"/>
      <c r="L74" s="2813"/>
      <c r="M74" s="2813"/>
      <c r="N74" s="2813"/>
      <c r="O74" s="2162"/>
      <c r="P74" s="2158"/>
      <c r="Q74" s="2158"/>
      <c r="R74" s="1993"/>
      <c r="S74" s="1993"/>
      <c r="T74" s="1993"/>
      <c r="U74" s="1993"/>
      <c r="V74" s="1993"/>
      <c r="W74" s="1993"/>
      <c r="X74" s="1993"/>
      <c r="Y74" s="1993"/>
      <c r="Z74" s="1993"/>
      <c r="AA74" s="1993"/>
      <c r="AB74" s="1993"/>
      <c r="AC74" s="1993"/>
    </row>
    <row r="75" spans="1:29" s="1218" customFormat="1" ht="15">
      <c r="A75" s="657" t="s">
        <v>531</v>
      </c>
      <c r="B75" s="646"/>
      <c r="C75" s="658" t="s">
        <v>576</v>
      </c>
      <c r="D75" s="659"/>
      <c r="E75" s="659"/>
      <c r="F75" s="659"/>
      <c r="G75" s="659"/>
      <c r="H75" s="659"/>
      <c r="I75" s="659"/>
      <c r="J75" s="659"/>
      <c r="K75" s="659"/>
      <c r="L75" s="660"/>
      <c r="M75" s="661"/>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7"/>
      <c r="B76" s="646"/>
      <c r="C76" s="647">
        <v>100</v>
      </c>
      <c r="D76" s="648"/>
      <c r="E76" s="648"/>
      <c r="F76" s="648"/>
      <c r="G76" s="648"/>
      <c r="H76" s="648"/>
      <c r="I76" s="648"/>
      <c r="J76" s="648"/>
      <c r="K76" s="648"/>
      <c r="L76" s="648"/>
      <c r="M76" s="650"/>
      <c r="N76" s="2162"/>
      <c r="O76" s="2162"/>
      <c r="P76" s="2158"/>
      <c r="Q76" s="2158"/>
      <c r="R76" s="1993"/>
      <c r="S76" s="1993"/>
      <c r="T76" s="1993"/>
      <c r="U76" s="1993"/>
      <c r="V76" s="1993"/>
      <c r="W76" s="1993"/>
      <c r="X76" s="1993"/>
      <c r="Y76" s="1993"/>
      <c r="Z76" s="1993"/>
      <c r="AA76" s="1993"/>
      <c r="AB76" s="1993"/>
      <c r="AC76" s="1993"/>
    </row>
    <row r="77" spans="1:29">
      <c r="A77" s="662" t="s">
        <v>577</v>
      </c>
      <c r="B77" s="663" t="s">
        <v>534</v>
      </c>
      <c r="C77" s="596"/>
      <c r="D77" s="59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69"/>
      <c r="D78" s="669"/>
      <c r="E78" s="669"/>
      <c r="F78" s="669"/>
      <c r="G78" s="669"/>
      <c r="H78" s="669"/>
      <c r="I78" s="669"/>
      <c r="J78" s="669"/>
      <c r="K78" s="669"/>
      <c r="L78" s="669"/>
      <c r="M78" s="670"/>
      <c r="N78" s="2166"/>
      <c r="O78" s="2166"/>
      <c r="P78" s="2165"/>
      <c r="Q78" s="2158"/>
      <c r="R78" s="2145"/>
      <c r="S78" s="2145"/>
      <c r="T78" s="2145"/>
      <c r="U78" s="2145"/>
      <c r="V78" s="2145"/>
      <c r="W78" s="2145"/>
      <c r="X78" s="2145"/>
      <c r="Y78" s="2145"/>
      <c r="Z78" s="2145"/>
      <c r="AA78" s="2145"/>
      <c r="AB78" s="2145"/>
      <c r="AC78" s="2145"/>
    </row>
    <row r="79" spans="1:29" ht="27.75" thickTop="1">
      <c r="A79" s="667"/>
      <c r="B79" s="671" t="s">
        <v>537</v>
      </c>
      <c r="C79" s="672"/>
      <c r="D79" s="672"/>
      <c r="E79" s="672"/>
      <c r="F79" s="672"/>
      <c r="G79" s="672"/>
      <c r="H79" s="672"/>
      <c r="I79" s="672"/>
      <c r="J79" s="672"/>
      <c r="K79" s="673"/>
      <c r="L79" s="674"/>
      <c r="M79" s="675"/>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c r="D80" s="677"/>
      <c r="E80" s="677"/>
      <c r="F80" s="677"/>
      <c r="G80" s="677"/>
      <c r="H80" s="677"/>
      <c r="I80" s="677"/>
      <c r="J80" s="677"/>
      <c r="K80" s="677"/>
      <c r="L80" s="677"/>
      <c r="M80" s="678"/>
      <c r="N80" s="2166"/>
      <c r="O80" s="2166"/>
      <c r="P80" s="2165"/>
      <c r="Q80" s="2158"/>
      <c r="R80" s="2145"/>
      <c r="S80" s="2145"/>
      <c r="T80" s="2145"/>
      <c r="U80" s="2145"/>
      <c r="V80" s="2145"/>
      <c r="W80" s="2145"/>
      <c r="X80" s="2145"/>
      <c r="Y80" s="2145"/>
      <c r="Z80" s="2145"/>
      <c r="AA80" s="2145"/>
      <c r="AB80" s="2145"/>
      <c r="AC80" s="2145"/>
    </row>
    <row r="81" spans="1:29" ht="15.75" thickTop="1">
      <c r="A81" s="667"/>
      <c r="B81" s="679" t="s">
        <v>538</v>
      </c>
      <c r="C81" s="680" t="str">
        <f>C82&amp;"（含）"&amp;"-"&amp;D82</f>
        <v>（含）-</v>
      </c>
      <c r="D81" s="680" t="str">
        <f t="shared" ref="D81:L81" si="20">D82&amp;"（含）"&amp;"-"&amp;E82</f>
        <v>（含）-</v>
      </c>
      <c r="E81" s="680" t="str">
        <f t="shared" si="20"/>
        <v>（含）-</v>
      </c>
      <c r="F81" s="680" t="str">
        <f t="shared" si="20"/>
        <v>（含）-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7"/>
      <c r="B82" s="681"/>
      <c r="C82" s="539"/>
      <c r="D82" s="539"/>
      <c r="E82" s="539"/>
      <c r="F82" s="539"/>
      <c r="G82" s="539"/>
      <c r="H82" s="539"/>
      <c r="I82" s="539"/>
      <c r="J82" s="539"/>
      <c r="K82" s="682"/>
      <c r="L82" s="683"/>
      <c r="M82" s="684"/>
      <c r="N82" s="2164"/>
      <c r="O82" s="2164"/>
      <c r="P82" s="2165"/>
      <c r="Q82" s="2158"/>
      <c r="R82" s="2145"/>
      <c r="S82" s="2145"/>
      <c r="T82" s="2145"/>
      <c r="U82" s="2145"/>
      <c r="V82" s="2145"/>
      <c r="W82" s="2145"/>
      <c r="X82" s="2145"/>
      <c r="Y82" s="2145"/>
      <c r="Z82" s="2145"/>
      <c r="AA82" s="2145"/>
      <c r="AB82" s="2145"/>
      <c r="AC82" s="2145"/>
    </row>
    <row r="83" spans="1:29" ht="15.75" thickBot="1">
      <c r="A83" s="667"/>
      <c r="B83" s="668"/>
      <c r="C83" s="677">
        <v>100</v>
      </c>
      <c r="D83" s="677">
        <f>IF($B$48="单位面积地价",C83+$K13,C83-$K13)</f>
        <v>100</v>
      </c>
      <c r="E83" s="677">
        <f t="shared" ref="E83:M83" si="21">IF($B$48="单位面积地价",D83+$K13,D83-$K13)</f>
        <v>100</v>
      </c>
      <c r="F83" s="677">
        <f t="shared" si="21"/>
        <v>100</v>
      </c>
      <c r="G83" s="677">
        <f t="shared" si="21"/>
        <v>100</v>
      </c>
      <c r="H83" s="677">
        <f t="shared" si="21"/>
        <v>100</v>
      </c>
      <c r="I83" s="677">
        <f t="shared" si="21"/>
        <v>100</v>
      </c>
      <c r="J83" s="677">
        <f t="shared" si="21"/>
        <v>100</v>
      </c>
      <c r="K83" s="677">
        <f t="shared" si="21"/>
        <v>100</v>
      </c>
      <c r="L83" s="677">
        <f t="shared" si="21"/>
        <v>100</v>
      </c>
      <c r="M83" s="677">
        <f t="shared" si="21"/>
        <v>100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5"/>
      <c r="B84" s="671" t="str">
        <f>B14</f>
        <v>配建</v>
      </c>
      <c r="C84" s="686"/>
      <c r="D84" s="1374"/>
      <c r="E84" s="1375"/>
      <c r="F84" s="686"/>
      <c r="G84" s="686"/>
      <c r="H84" s="687"/>
      <c r="I84" s="687"/>
      <c r="J84" s="687"/>
      <c r="K84" s="687"/>
      <c r="L84" s="688"/>
      <c r="M84" s="6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5"/>
      <c r="B86" s="671">
        <f>B15</f>
        <v>111</v>
      </c>
      <c r="C86" s="686"/>
      <c r="D86" s="686"/>
      <c r="E86" s="686"/>
      <c r="F86" s="686"/>
      <c r="G86" s="686"/>
      <c r="H86" s="687"/>
      <c r="I86" s="687"/>
      <c r="J86" s="687"/>
      <c r="K86" s="687"/>
      <c r="L86" s="688"/>
      <c r="M86" s="689"/>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5"/>
      <c r="B87" s="676"/>
      <c r="C87" s="690"/>
      <c r="D87" s="690"/>
      <c r="E87" s="690"/>
      <c r="F87" s="690"/>
      <c r="G87" s="690"/>
      <c r="H87" s="691"/>
      <c r="I87" s="691"/>
      <c r="J87" s="691"/>
      <c r="K87" s="691"/>
      <c r="L87" s="691"/>
      <c r="M87" s="692"/>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5"/>
      <c r="B88" s="679">
        <f>B16</f>
        <v>111</v>
      </c>
      <c r="C88" s="659"/>
      <c r="D88" s="659"/>
      <c r="E88" s="659"/>
      <c r="F88" s="659"/>
      <c r="G88" s="659"/>
      <c r="H88" s="693"/>
      <c r="I88" s="693"/>
      <c r="J88" s="693"/>
      <c r="K88" s="693"/>
      <c r="L88" s="694"/>
      <c r="M88" s="695"/>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6"/>
      <c r="B89" s="697"/>
      <c r="C89" s="698"/>
      <c r="D89" s="698"/>
      <c r="E89" s="698"/>
      <c r="F89" s="698"/>
      <c r="G89" s="698"/>
      <c r="H89" s="699"/>
      <c r="I89" s="699"/>
      <c r="J89" s="699"/>
      <c r="K89" s="699"/>
      <c r="L89" s="699"/>
      <c r="M89" s="700"/>
      <c r="N89" s="2167"/>
      <c r="O89" s="2167"/>
      <c r="P89" s="2168"/>
      <c r="Q89" s="2169"/>
      <c r="R89" s="2170"/>
      <c r="S89" s="2170"/>
      <c r="T89" s="2170"/>
      <c r="U89" s="2170"/>
      <c r="V89" s="2170"/>
      <c r="W89" s="2170"/>
      <c r="X89" s="2170"/>
      <c r="Y89" s="2170"/>
      <c r="Z89" s="2170"/>
      <c r="AA89" s="2170"/>
      <c r="AB89" s="2170"/>
      <c r="AC89" s="2170"/>
    </row>
    <row r="90" spans="1:29">
      <c r="A90" s="662" t="s">
        <v>539</v>
      </c>
      <c r="B90" s="663" t="s">
        <v>578</v>
      </c>
      <c r="C90" s="701" t="s">
        <v>579</v>
      </c>
      <c r="D90" s="701" t="s">
        <v>580</v>
      </c>
      <c r="E90" s="701" t="s">
        <v>581</v>
      </c>
      <c r="F90" s="701" t="s">
        <v>582</v>
      </c>
      <c r="G90" s="701" t="s">
        <v>583</v>
      </c>
      <c r="H90" s="702"/>
      <c r="I90" s="702"/>
      <c r="J90" s="702"/>
      <c r="K90" s="703"/>
      <c r="L90" s="704"/>
      <c r="M90" s="705"/>
      <c r="N90" s="2164"/>
      <c r="O90" s="2164"/>
      <c r="P90" s="2174"/>
      <c r="Q90" s="2158"/>
      <c r="R90" s="2145"/>
      <c r="S90" s="2145"/>
      <c r="T90" s="2145"/>
      <c r="U90" s="2145"/>
      <c r="V90" s="2145"/>
      <c r="W90" s="2145"/>
      <c r="X90" s="2145"/>
      <c r="Y90" s="2145"/>
      <c r="Z90" s="2145"/>
      <c r="AA90" s="2145"/>
      <c r="AB90" s="2145"/>
      <c r="AC90" s="2145"/>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6"/>
      <c r="O91" s="2166"/>
      <c r="P91" s="2165"/>
      <c r="Q91" s="2158"/>
      <c r="R91" s="2145"/>
      <c r="S91" s="2145"/>
      <c r="T91" s="2145"/>
      <c r="U91" s="2145"/>
      <c r="V91" s="2145"/>
      <c r="W91" s="2145"/>
      <c r="X91" s="2145"/>
      <c r="Y91" s="2145"/>
      <c r="Z91" s="2145"/>
      <c r="AA91" s="2145"/>
      <c r="AB91" s="2145"/>
      <c r="AC91" s="2145"/>
    </row>
    <row r="92" spans="1:29" ht="15.75" thickTop="1">
      <c r="A92" s="667"/>
      <c r="B92" s="671" t="s">
        <v>584</v>
      </c>
      <c r="C92" s="706" t="s">
        <v>579</v>
      </c>
      <c r="D92" s="706" t="s">
        <v>580</v>
      </c>
      <c r="E92" s="706" t="s">
        <v>581</v>
      </c>
      <c r="F92" s="706" t="s">
        <v>582</v>
      </c>
      <c r="G92" s="706" t="s">
        <v>583</v>
      </c>
      <c r="H92" s="672"/>
      <c r="I92" s="672"/>
      <c r="J92" s="672"/>
      <c r="K92" s="673"/>
      <c r="L92" s="674"/>
      <c r="M92" s="675"/>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6"/>
      <c r="O93" s="2166"/>
      <c r="P93" s="2165"/>
      <c r="Q93" s="2158"/>
      <c r="R93" s="2145"/>
      <c r="S93" s="2145"/>
      <c r="T93" s="2145"/>
      <c r="U93" s="2145"/>
      <c r="V93" s="2145"/>
      <c r="W93" s="2145"/>
      <c r="X93" s="2145"/>
      <c r="Y93" s="2145"/>
      <c r="Z93" s="2145"/>
      <c r="AA93" s="2145"/>
      <c r="AB93" s="2145"/>
      <c r="AC93" s="2145"/>
    </row>
    <row r="94" spans="1:29" ht="15.75" thickTop="1">
      <c r="A94" s="667"/>
      <c r="B94" s="671" t="s">
        <v>585</v>
      </c>
      <c r="C94" s="706" t="s">
        <v>579</v>
      </c>
      <c r="D94" s="706" t="s">
        <v>580</v>
      </c>
      <c r="E94" s="706" t="s">
        <v>581</v>
      </c>
      <c r="F94" s="706" t="s">
        <v>582</v>
      </c>
      <c r="G94" s="706" t="s">
        <v>583</v>
      </c>
      <c r="H94" s="672"/>
      <c r="I94" s="672"/>
      <c r="J94" s="672"/>
      <c r="K94" s="673"/>
      <c r="L94" s="674"/>
      <c r="M94" s="675"/>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6"/>
      <c r="O95" s="2166"/>
      <c r="P95" s="2165"/>
      <c r="Q95" s="2158"/>
      <c r="R95" s="2145"/>
      <c r="S95" s="2145"/>
      <c r="T95" s="2145"/>
      <c r="U95" s="2145"/>
      <c r="V95" s="2145"/>
      <c r="W95" s="2145"/>
      <c r="X95" s="2145"/>
      <c r="Y95" s="2145"/>
      <c r="Z95" s="2145"/>
      <c r="AA95" s="2145"/>
      <c r="AB95" s="2145"/>
      <c r="AC95" s="2145"/>
    </row>
    <row r="96" spans="1:29" ht="15.75" thickTop="1">
      <c r="A96" s="667"/>
      <c r="B96" s="671" t="s">
        <v>586</v>
      </c>
      <c r="C96" s="706" t="s">
        <v>579</v>
      </c>
      <c r="D96" s="706" t="s">
        <v>580</v>
      </c>
      <c r="E96" s="706" t="s">
        <v>581</v>
      </c>
      <c r="F96" s="706" t="s">
        <v>582</v>
      </c>
      <c r="G96" s="706" t="s">
        <v>583</v>
      </c>
      <c r="H96" s="672"/>
      <c r="I96" s="672"/>
      <c r="J96" s="672"/>
      <c r="K96" s="673"/>
      <c r="L96" s="674"/>
      <c r="M96" s="675"/>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77">
        <v>100</v>
      </c>
      <c r="D97" s="677">
        <f>C97-$K23</f>
        <v>100</v>
      </c>
      <c r="E97" s="677">
        <f>D97-$K23</f>
        <v>100</v>
      </c>
      <c r="F97" s="677">
        <f>E97-$K23</f>
        <v>100</v>
      </c>
      <c r="G97" s="677">
        <f>F97-$K23</f>
        <v>100</v>
      </c>
      <c r="H97" s="677"/>
      <c r="I97" s="677"/>
      <c r="J97" s="677"/>
      <c r="K97" s="677"/>
      <c r="L97" s="677"/>
      <c r="M97" s="678"/>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7"/>
      <c r="B98" s="671" t="s">
        <v>587</v>
      </c>
      <c r="C98" s="706" t="s">
        <v>579</v>
      </c>
      <c r="D98" s="706" t="s">
        <v>580</v>
      </c>
      <c r="E98" s="706" t="s">
        <v>581</v>
      </c>
      <c r="F98" s="706" t="s">
        <v>582</v>
      </c>
      <c r="G98" s="706" t="s">
        <v>583</v>
      </c>
      <c r="H98" s="706"/>
      <c r="I98" s="706"/>
      <c r="J98" s="706"/>
      <c r="K98" s="706"/>
      <c r="L98" s="708"/>
      <c r="M98" s="709"/>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7"/>
      <c r="B99" s="676"/>
      <c r="C99" s="710">
        <v>100</v>
      </c>
      <c r="D99" s="677">
        <f>C99-$K25</f>
        <v>100</v>
      </c>
      <c r="E99" s="677">
        <f>D99-$K25</f>
        <v>100</v>
      </c>
      <c r="F99" s="677">
        <f>E99-$K25</f>
        <v>100</v>
      </c>
      <c r="G99" s="677">
        <f>F99-$K25</f>
        <v>100</v>
      </c>
      <c r="H99" s="677"/>
      <c r="I99" s="677"/>
      <c r="J99" s="677"/>
      <c r="K99" s="677"/>
      <c r="L99" s="677"/>
      <c r="M99" s="678"/>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7"/>
      <c r="B100" s="671" t="s">
        <v>588</v>
      </c>
      <c r="C100" s="701" t="s">
        <v>579</v>
      </c>
      <c r="D100" s="701" t="s">
        <v>580</v>
      </c>
      <c r="E100" s="701" t="s">
        <v>581</v>
      </c>
      <c r="F100" s="701" t="s">
        <v>582</v>
      </c>
      <c r="G100" s="701" t="s">
        <v>583</v>
      </c>
      <c r="H100" s="706"/>
      <c r="I100" s="706"/>
      <c r="J100" s="706"/>
      <c r="K100" s="706"/>
      <c r="L100" s="706"/>
      <c r="M100" s="709"/>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7"/>
      <c r="B101" s="676"/>
      <c r="C101" s="677">
        <v>100</v>
      </c>
      <c r="D101" s="677">
        <f>C101-$K27</f>
        <v>100</v>
      </c>
      <c r="E101" s="677">
        <f>D101-$K27</f>
        <v>100</v>
      </c>
      <c r="F101" s="677">
        <f>E101-$K27</f>
        <v>100</v>
      </c>
      <c r="G101" s="677">
        <f>F101-$K27</f>
        <v>100</v>
      </c>
      <c r="H101" s="677"/>
      <c r="I101" s="677"/>
      <c r="J101" s="677"/>
      <c r="K101" s="677"/>
      <c r="L101" s="677"/>
      <c r="M101" s="678"/>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5"/>
      <c r="B102" s="1896" t="s">
        <v>2552</v>
      </c>
      <c r="C102" s="701" t="s">
        <v>579</v>
      </c>
      <c r="D102" s="701" t="s">
        <v>580</v>
      </c>
      <c r="E102" s="701" t="s">
        <v>581</v>
      </c>
      <c r="F102" s="701" t="s">
        <v>582</v>
      </c>
      <c r="G102" s="701" t="s">
        <v>583</v>
      </c>
      <c r="H102" s="711"/>
      <c r="I102" s="711"/>
      <c r="J102" s="711"/>
      <c r="K102" s="711"/>
      <c r="L102" s="712"/>
      <c r="M102" s="713"/>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5"/>
      <c r="B103" s="676"/>
      <c r="C103" s="677">
        <v>100</v>
      </c>
      <c r="D103" s="677">
        <f>C103-$K29</f>
        <v>100</v>
      </c>
      <c r="E103" s="677">
        <f>D103-$K29</f>
        <v>100</v>
      </c>
      <c r="F103" s="677">
        <f>E103-$K29</f>
        <v>100</v>
      </c>
      <c r="G103" s="677">
        <f>F103-$K29</f>
        <v>100</v>
      </c>
      <c r="H103" s="714"/>
      <c r="I103" s="714"/>
      <c r="J103" s="714"/>
      <c r="K103" s="714"/>
      <c r="L103" s="714"/>
      <c r="M103" s="715"/>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5"/>
      <c r="B104" s="2619" t="s">
        <v>2554</v>
      </c>
      <c r="C104" s="2620" t="s">
        <v>2555</v>
      </c>
      <c r="D104" s="2620" t="s">
        <v>2556</v>
      </c>
      <c r="E104" s="2620" t="s">
        <v>2557</v>
      </c>
      <c r="F104" s="2620" t="s">
        <v>2558</v>
      </c>
      <c r="G104" s="2620" t="s">
        <v>2559</v>
      </c>
      <c r="H104" s="711"/>
      <c r="I104" s="711"/>
      <c r="J104" s="711"/>
      <c r="K104" s="711"/>
      <c r="L104" s="711"/>
      <c r="M104" s="713"/>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5"/>
      <c r="B105" s="679"/>
      <c r="C105" s="677">
        <v>100</v>
      </c>
      <c r="D105" s="677">
        <f>C105-$K31</f>
        <v>100</v>
      </c>
      <c r="E105" s="677">
        <f>D105-$K31</f>
        <v>100</v>
      </c>
      <c r="F105" s="677">
        <f>E105-$K31</f>
        <v>100</v>
      </c>
      <c r="G105" s="677">
        <f>F105-$K31</f>
        <v>100</v>
      </c>
      <c r="H105" s="681"/>
      <c r="I105" s="681"/>
      <c r="J105" s="681"/>
      <c r="K105" s="681"/>
      <c r="L105" s="681"/>
      <c r="M105" s="2612"/>
      <c r="N105" s="2167"/>
      <c r="O105" s="2167"/>
      <c r="P105" s="2168"/>
      <c r="Q105" s="2169"/>
      <c r="R105" s="2170"/>
      <c r="S105" s="2170"/>
      <c r="T105" s="2170"/>
      <c r="U105" s="2170"/>
      <c r="V105" s="2170"/>
      <c r="W105" s="2170"/>
      <c r="X105" s="2170"/>
      <c r="Y105" s="2170"/>
      <c r="Z105" s="2170"/>
      <c r="AA105" s="2170"/>
      <c r="AB105" s="2170"/>
      <c r="AC105" s="2170"/>
    </row>
    <row r="106" spans="1:29" ht="15.75" thickTop="1">
      <c r="A106" s="667"/>
      <c r="B106" s="671" t="str">
        <f>B33</f>
        <v>临街状况</v>
      </c>
      <c r="C106" s="672" t="s">
        <v>589</v>
      </c>
      <c r="D106" s="672" t="s">
        <v>590</v>
      </c>
      <c r="E106" s="672" t="s">
        <v>591</v>
      </c>
      <c r="F106" s="672" t="s">
        <v>592</v>
      </c>
      <c r="G106" s="672"/>
      <c r="H106" s="672"/>
      <c r="I106" s="672"/>
      <c r="J106" s="672"/>
      <c r="K106" s="673"/>
      <c r="L106" s="674"/>
      <c r="M106" s="675"/>
      <c r="N106" s="2164"/>
      <c r="O106" s="2164"/>
      <c r="P106" s="2165"/>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7"/>
      <c r="B108" s="671" t="s">
        <v>548</v>
      </c>
      <c r="C108" s="686"/>
      <c r="D108" s="686"/>
      <c r="E108" s="686"/>
      <c r="F108" s="686"/>
      <c r="G108" s="686"/>
      <c r="H108" s="716"/>
      <c r="I108" s="716"/>
      <c r="J108" s="716"/>
      <c r="K108" s="717"/>
      <c r="L108" s="718"/>
      <c r="M108" s="719"/>
      <c r="N108" s="2164"/>
      <c r="O108" s="2164"/>
      <c r="P108" s="2165"/>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C109-$K34</f>
        <v>100</v>
      </c>
      <c r="E109" s="677">
        <f t="shared" ref="E109:M109" si="23">D109-$K34</f>
        <v>100</v>
      </c>
      <c r="F109" s="677">
        <f t="shared" si="23"/>
        <v>100</v>
      </c>
      <c r="G109" s="677">
        <f t="shared" si="23"/>
        <v>100</v>
      </c>
      <c r="H109" s="677">
        <f t="shared" si="23"/>
        <v>100</v>
      </c>
      <c r="I109" s="677">
        <f t="shared" si="23"/>
        <v>100</v>
      </c>
      <c r="J109" s="677">
        <f t="shared" si="23"/>
        <v>100</v>
      </c>
      <c r="K109" s="677">
        <f t="shared" si="23"/>
        <v>100</v>
      </c>
      <c r="L109" s="677">
        <f t="shared" si="23"/>
        <v>100</v>
      </c>
      <c r="M109" s="677">
        <f t="shared" si="23"/>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7"/>
      <c r="B110" s="671" t="s">
        <v>549</v>
      </c>
      <c r="C110" s="716"/>
      <c r="D110" s="716"/>
      <c r="E110" s="716"/>
      <c r="F110" s="716"/>
      <c r="G110" s="716"/>
      <c r="H110" s="716"/>
      <c r="I110" s="716"/>
      <c r="J110" s="716"/>
      <c r="K110" s="717"/>
      <c r="L110" s="718"/>
      <c r="M110" s="71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7"/>
      <c r="B112" s="679">
        <f>B37</f>
        <v>111</v>
      </c>
      <c r="C112" s="686"/>
      <c r="D112" s="686"/>
      <c r="E112" s="686"/>
      <c r="F112" s="686"/>
      <c r="G112" s="720"/>
      <c r="H112" s="720"/>
      <c r="I112" s="720"/>
      <c r="J112" s="720"/>
      <c r="K112" s="721"/>
      <c r="L112" s="722"/>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97"/>
      <c r="C113" s="690"/>
      <c r="D113" s="690"/>
      <c r="E113" s="690"/>
      <c r="F113" s="690"/>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ht="15" thickTop="1">
      <c r="A114" s="585"/>
      <c r="B114" s="671">
        <f>B38</f>
        <v>111</v>
      </c>
      <c r="C114" s="659"/>
      <c r="D114" s="659"/>
      <c r="E114" s="659"/>
      <c r="F114" s="659"/>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98"/>
      <c r="D115" s="698"/>
      <c r="E115" s="698"/>
      <c r="F115" s="698"/>
      <c r="G115" s="669"/>
      <c r="H115" s="669"/>
      <c r="I115" s="669"/>
      <c r="J115" s="669"/>
      <c r="K115" s="669"/>
      <c r="L115" s="669"/>
      <c r="M115" s="670"/>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6"/>
      <c r="B116" s="727">
        <f>B39</f>
        <v>111</v>
      </c>
      <c r="C116" s="728"/>
      <c r="D116" s="728"/>
      <c r="E116" s="728"/>
      <c r="F116" s="728"/>
      <c r="G116" s="728"/>
      <c r="H116" s="728"/>
      <c r="I116" s="728"/>
      <c r="J116" s="729"/>
      <c r="K116" s="729"/>
      <c r="L116" s="730"/>
      <c r="M116" s="731"/>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5"/>
      <c r="B117" s="679"/>
      <c r="C117" s="648"/>
      <c r="D117" s="590"/>
      <c r="E117" s="590"/>
      <c r="F117" s="590"/>
      <c r="G117" s="590"/>
      <c r="H117" s="590"/>
      <c r="I117" s="590"/>
      <c r="J117" s="590"/>
      <c r="K117" s="590"/>
      <c r="L117" s="590"/>
      <c r="M117" s="732"/>
      <c r="N117" s="2166"/>
      <c r="O117" s="2166"/>
      <c r="P117" s="2168"/>
      <c r="Q117" s="2169"/>
      <c r="R117" s="2170"/>
      <c r="S117" s="2170"/>
      <c r="T117" s="2170"/>
      <c r="U117" s="2170"/>
      <c r="V117" s="2170"/>
      <c r="W117" s="2170"/>
      <c r="X117" s="2170"/>
      <c r="Y117" s="2170"/>
      <c r="Z117" s="2170"/>
      <c r="AA117" s="2170"/>
      <c r="AB117" s="2170"/>
      <c r="AC117" s="2170"/>
    </row>
    <row r="118" spans="1:29">
      <c r="A118" s="662" t="s">
        <v>551</v>
      </c>
      <c r="B118" s="663" t="s">
        <v>593</v>
      </c>
      <c r="C118" s="702" t="str">
        <f t="shared" ref="C118:L118" si="25">C119&amp;"(含)"&amp;"-"&amp;D119</f>
        <v>(含)-</v>
      </c>
      <c r="D118" s="702" t="str">
        <f t="shared" si="25"/>
        <v>(含)-</v>
      </c>
      <c r="E118" s="702" t="str">
        <f t="shared" si="25"/>
        <v>(含)-</v>
      </c>
      <c r="F118" s="702" t="str">
        <f t="shared" si="25"/>
        <v>(含)-</v>
      </c>
      <c r="G118" s="702" t="str">
        <f t="shared" si="25"/>
        <v>(含)-</v>
      </c>
      <c r="H118" s="702" t="str">
        <f t="shared" si="25"/>
        <v>(含)-</v>
      </c>
      <c r="I118" s="702" t="str">
        <f t="shared" si="25"/>
        <v>(含)-</v>
      </c>
      <c r="J118" s="3115" t="str">
        <f t="shared" si="25"/>
        <v>(含)-</v>
      </c>
      <c r="K118" s="3115" t="str">
        <f t="shared" si="25"/>
        <v>(含)-</v>
      </c>
      <c r="L118" s="3116" t="str">
        <f t="shared" si="25"/>
        <v>(含)-</v>
      </c>
      <c r="M118" s="3117"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7"/>
      <c r="B119" s="679"/>
      <c r="C119" s="728"/>
      <c r="D119" s="728"/>
      <c r="E119" s="728"/>
      <c r="F119" s="728"/>
      <c r="G119" s="728"/>
      <c r="H119" s="728"/>
      <c r="I119" s="728"/>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7"/>
      <c r="B120" s="676"/>
      <c r="C120" s="698"/>
      <c r="D120" s="724"/>
      <c r="E120" s="724"/>
      <c r="F120" s="724"/>
      <c r="G120" s="724"/>
      <c r="H120" s="724"/>
      <c r="I120" s="724"/>
      <c r="J120" s="724"/>
      <c r="K120" s="724"/>
      <c r="L120" s="724"/>
      <c r="M120" s="725"/>
      <c r="N120" s="2166"/>
      <c r="O120" s="2166"/>
      <c r="P120" s="2165"/>
      <c r="Q120" s="2158"/>
      <c r="R120" s="2145"/>
      <c r="S120" s="2145"/>
      <c r="T120" s="2145"/>
      <c r="U120" s="2145"/>
      <c r="V120" s="2145"/>
      <c r="W120" s="2145"/>
      <c r="X120" s="2145"/>
      <c r="Y120" s="2145"/>
      <c r="Z120" s="2145"/>
      <c r="AA120" s="2145"/>
      <c r="AB120" s="2145"/>
      <c r="AC120" s="2145"/>
    </row>
    <row r="121" spans="1:29" ht="15" thickTop="1">
      <c r="A121" s="733"/>
      <c r="B121" s="671" t="s">
        <v>594</v>
      </c>
      <c r="C121" s="716"/>
      <c r="D121" s="716"/>
      <c r="E121" s="716"/>
      <c r="F121" s="716"/>
      <c r="G121" s="716"/>
      <c r="H121" s="716"/>
      <c r="I121" s="716"/>
      <c r="J121" s="716"/>
      <c r="K121" s="717"/>
      <c r="L121" s="718"/>
      <c r="M121" s="719"/>
      <c r="N121" s="2164"/>
      <c r="O121" s="2164"/>
      <c r="P121" s="2165"/>
      <c r="Q121" s="2158"/>
      <c r="R121" s="2145"/>
      <c r="S121" s="2145"/>
      <c r="T121" s="2145"/>
      <c r="U121" s="2145"/>
      <c r="V121" s="2145"/>
      <c r="W121" s="2145"/>
      <c r="X121" s="2145"/>
      <c r="Y121" s="2145"/>
      <c r="Z121" s="2145"/>
      <c r="AA121" s="2145"/>
      <c r="AB121" s="2145"/>
      <c r="AC121" s="2145"/>
    </row>
    <row r="122" spans="1:29" ht="15.75" thickBot="1">
      <c r="A122" s="667"/>
      <c r="B122" s="676"/>
      <c r="C122" s="677">
        <v>100</v>
      </c>
      <c r="D122" s="677">
        <f t="shared" ref="D122:M122" si="26">C122-$K41</f>
        <v>100</v>
      </c>
      <c r="E122" s="677">
        <f t="shared" si="26"/>
        <v>100</v>
      </c>
      <c r="F122" s="677">
        <f t="shared" si="26"/>
        <v>100</v>
      </c>
      <c r="G122" s="677">
        <f t="shared" si="26"/>
        <v>100</v>
      </c>
      <c r="H122" s="677">
        <f t="shared" si="26"/>
        <v>100</v>
      </c>
      <c r="I122" s="677">
        <f t="shared" si="26"/>
        <v>100</v>
      </c>
      <c r="J122" s="677">
        <f t="shared" si="26"/>
        <v>100</v>
      </c>
      <c r="K122" s="677">
        <f t="shared" si="26"/>
        <v>100</v>
      </c>
      <c r="L122" s="677">
        <f t="shared" si="26"/>
        <v>100</v>
      </c>
      <c r="M122" s="678">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3"/>
      <c r="B123" s="671" t="s">
        <v>595</v>
      </c>
      <c r="C123" s="686"/>
      <c r="D123" s="686"/>
      <c r="E123" s="686"/>
      <c r="F123" s="716"/>
      <c r="G123" s="716"/>
      <c r="H123" s="716"/>
      <c r="I123" s="716"/>
      <c r="J123" s="716"/>
      <c r="K123" s="717"/>
      <c r="L123" s="718"/>
      <c r="M123" s="719"/>
      <c r="N123" s="2164"/>
      <c r="O123" s="2164"/>
      <c r="P123" s="2165"/>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27">C124-$K42</f>
        <v>100</v>
      </c>
      <c r="E124" s="677">
        <f t="shared" si="27"/>
        <v>100</v>
      </c>
      <c r="F124" s="677">
        <f t="shared" si="27"/>
        <v>100</v>
      </c>
      <c r="G124" s="677">
        <f t="shared" si="27"/>
        <v>100</v>
      </c>
      <c r="H124" s="677">
        <f t="shared" si="27"/>
        <v>100</v>
      </c>
      <c r="I124" s="677">
        <f t="shared" si="27"/>
        <v>100</v>
      </c>
      <c r="J124" s="677">
        <f t="shared" si="27"/>
        <v>100</v>
      </c>
      <c r="K124" s="677">
        <f t="shared" si="27"/>
        <v>100</v>
      </c>
      <c r="L124" s="677">
        <f t="shared" si="27"/>
        <v>100</v>
      </c>
      <c r="M124" s="678">
        <f t="shared" si="27"/>
        <v>100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6"/>
      <c r="B125" s="1896" t="s">
        <v>2429</v>
      </c>
      <c r="C125" s="1374"/>
      <c r="D125" s="1374"/>
      <c r="E125" s="1374"/>
      <c r="F125" s="1374"/>
      <c r="G125" s="1374"/>
      <c r="H125" s="716"/>
      <c r="I125" s="716"/>
      <c r="J125" s="716"/>
      <c r="K125" s="717"/>
      <c r="L125" s="718"/>
      <c r="M125" s="719"/>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3"/>
      <c r="B127" s="671" t="s">
        <v>596</v>
      </c>
      <c r="C127" s="686"/>
      <c r="D127" s="686"/>
      <c r="E127" s="716"/>
      <c r="F127" s="716"/>
      <c r="G127" s="716"/>
      <c r="H127" s="716"/>
      <c r="I127" s="716"/>
      <c r="J127" s="716"/>
      <c r="K127" s="717"/>
      <c r="L127" s="718"/>
      <c r="M127" s="719"/>
      <c r="N127" s="2164"/>
      <c r="O127" s="2164"/>
      <c r="P127" s="2165"/>
      <c r="Q127" s="2158"/>
      <c r="R127" s="2145"/>
      <c r="S127" s="2145"/>
      <c r="T127" s="2145"/>
      <c r="U127" s="2145"/>
      <c r="V127" s="2145"/>
      <c r="W127" s="2145"/>
      <c r="X127" s="2145"/>
      <c r="Y127" s="2145"/>
      <c r="Z127" s="2145"/>
      <c r="AA127" s="2145"/>
      <c r="AB127" s="2145"/>
      <c r="AC127" s="2145"/>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3"/>
      <c r="B129" s="671">
        <f>B45</f>
        <v>111</v>
      </c>
      <c r="C129" s="686"/>
      <c r="D129" s="686"/>
      <c r="E129" s="686"/>
      <c r="F129" s="686"/>
      <c r="G129" s="686"/>
      <c r="H129" s="716"/>
      <c r="I129" s="716"/>
      <c r="J129" s="716"/>
      <c r="K129" s="717"/>
      <c r="L129" s="718"/>
      <c r="M129" s="719"/>
      <c r="N129" s="2164"/>
      <c r="O129" s="2164"/>
      <c r="P129" s="2165"/>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165"/>
      <c r="Q130" s="2158"/>
      <c r="R130" s="2145"/>
      <c r="S130" s="2145"/>
      <c r="T130" s="2145"/>
      <c r="U130" s="2145"/>
      <c r="V130" s="2145"/>
      <c r="W130" s="2145"/>
      <c r="X130" s="2145"/>
      <c r="Y130" s="2145"/>
      <c r="Z130" s="2145"/>
      <c r="AA130" s="2145"/>
      <c r="AB130" s="2145"/>
      <c r="AC130" s="2145"/>
    </row>
    <row r="131" spans="1:29" ht="15" thickTop="1">
      <c r="A131" s="733"/>
      <c r="B131" s="671">
        <f>B46</f>
        <v>111</v>
      </c>
      <c r="C131" s="659"/>
      <c r="D131" s="659"/>
      <c r="E131" s="659"/>
      <c r="F131" s="659"/>
      <c r="G131" s="716"/>
      <c r="H131" s="716"/>
      <c r="I131" s="716"/>
      <c r="J131" s="716"/>
      <c r="K131" s="717"/>
      <c r="L131" s="718"/>
      <c r="M131" s="719"/>
      <c r="N131" s="2164"/>
      <c r="O131" s="2164"/>
      <c r="P131" s="2165"/>
      <c r="Q131" s="2158"/>
      <c r="R131" s="2145"/>
      <c r="S131" s="2145"/>
      <c r="T131" s="2145"/>
      <c r="U131" s="2145"/>
      <c r="V131" s="2145"/>
      <c r="W131" s="2145"/>
      <c r="X131" s="2145"/>
      <c r="Y131" s="2145"/>
      <c r="Z131" s="2145"/>
      <c r="AA131" s="2145"/>
      <c r="AB131" s="2145"/>
      <c r="AC131" s="2145"/>
    </row>
    <row r="132" spans="1:29" ht="15.75" thickBot="1">
      <c r="A132" s="667"/>
      <c r="B132" s="676"/>
      <c r="C132" s="698"/>
      <c r="D132" s="698"/>
      <c r="E132" s="698"/>
      <c r="F132" s="698"/>
      <c r="G132" s="669"/>
      <c r="H132" s="669"/>
      <c r="I132" s="669"/>
      <c r="J132" s="669"/>
      <c r="K132" s="669"/>
      <c r="L132" s="669"/>
      <c r="M132" s="670"/>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6"/>
      <c r="B133" s="671">
        <f>B47</f>
        <v>111</v>
      </c>
      <c r="C133" s="659"/>
      <c r="D133" s="659"/>
      <c r="E133" s="659"/>
      <c r="F133" s="659"/>
      <c r="G133" s="687"/>
      <c r="H133" s="687"/>
      <c r="I133" s="687"/>
      <c r="J133" s="687"/>
      <c r="K133" s="687"/>
      <c r="L133" s="688"/>
      <c r="M133" s="689"/>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6"/>
      <c r="B134" s="734"/>
      <c r="C134" s="698"/>
      <c r="D134" s="698"/>
      <c r="E134" s="698"/>
      <c r="F134" s="698"/>
      <c r="G134" s="724"/>
      <c r="H134" s="724"/>
      <c r="I134" s="724"/>
      <c r="J134" s="724"/>
      <c r="K134" s="724"/>
      <c r="L134" s="724"/>
      <c r="M134" s="725"/>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29" priority="14" stopIfTrue="1" operator="containsText" text="超过">
      <formula>NOT(ISERROR(SEARCH("超过",F53)))</formula>
    </cfRule>
  </conditionalFormatting>
  <conditionalFormatting sqref="J55">
    <cfRule type="containsText" dxfId="128" priority="13" stopIfTrue="1" operator="containsText" text="超过">
      <formula>NOT(ISERROR(SEARCH("超过",J55)))</formula>
    </cfRule>
  </conditionalFormatting>
  <conditionalFormatting sqref="H55">
    <cfRule type="containsText" dxfId="127" priority="12" stopIfTrue="1" operator="containsText" text="超过">
      <formula>NOT(ISERROR(SEARCH("超过",H55)))</formula>
    </cfRule>
  </conditionalFormatting>
  <conditionalFormatting sqref="F55">
    <cfRule type="containsText" dxfId="126" priority="11" stopIfTrue="1" operator="containsText" text="超过">
      <formula>NOT(ISERROR(SEARCH("超过",F55)))</formula>
    </cfRule>
  </conditionalFormatting>
  <conditionalFormatting sqref="F54 H54 J54">
    <cfRule type="containsText" dxfId="125" priority="10" stopIfTrue="1" operator="containsText" text="超过">
      <formula>NOT(ISERROR(SEARCH("超过",F54)))</formula>
    </cfRule>
  </conditionalFormatting>
  <conditionalFormatting sqref="E53">
    <cfRule type="expression" dxfId="124" priority="9" stopIfTrue="1">
      <formula>$F$53="超过30%"</formula>
    </cfRule>
  </conditionalFormatting>
  <conditionalFormatting sqref="G55">
    <cfRule type="expression" dxfId="123" priority="8" stopIfTrue="1">
      <formula>$H$55="超过30%"</formula>
    </cfRule>
  </conditionalFormatting>
  <conditionalFormatting sqref="E54">
    <cfRule type="expression" dxfId="122" priority="7" stopIfTrue="1">
      <formula>$F$54="超过20%"</formula>
    </cfRule>
  </conditionalFormatting>
  <conditionalFormatting sqref="E55">
    <cfRule type="expression" dxfId="121" priority="6" stopIfTrue="1">
      <formula>$F$55="超过30%"</formula>
    </cfRule>
  </conditionalFormatting>
  <conditionalFormatting sqref="G53">
    <cfRule type="expression" dxfId="120" priority="5" stopIfTrue="1">
      <formula>$H$55+$H$53="超过30%"</formula>
    </cfRule>
  </conditionalFormatting>
  <conditionalFormatting sqref="G54">
    <cfRule type="expression" dxfId="119" priority="4" stopIfTrue="1">
      <formula>$H$54="超过20%"</formula>
    </cfRule>
  </conditionalFormatting>
  <conditionalFormatting sqref="I53">
    <cfRule type="expression" dxfId="118" priority="3" stopIfTrue="1">
      <formula>$J$53="超过30%"</formula>
    </cfRule>
  </conditionalFormatting>
  <conditionalFormatting sqref="I54">
    <cfRule type="expression" dxfId="117" priority="2" stopIfTrue="1">
      <formula>$J$54="超过20%"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516</v>
      </c>
      <c r="B1" s="501"/>
      <c r="C1" s="502" t="s">
        <v>597</v>
      </c>
      <c r="D1" s="503" t="s">
        <v>518</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506"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1686</v>
      </c>
      <c r="B3" s="508"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6"/>
      <c r="AC3" s="426"/>
    </row>
    <row r="4" spans="1:29" s="1334" customFormat="1" ht="28.5" customHeight="1">
      <c r="A4" s="509" t="s">
        <v>520</v>
      </c>
      <c r="B4" s="425"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6"/>
    </row>
    <row r="5" spans="1:29" s="1334" customFormat="1" ht="28.5" customHeight="1" thickBot="1">
      <c r="A5" s="427"/>
      <c r="B5" s="428" t="e">
        <f>ROUND(B2/('数据-汇总表'!D3/666.67),0)</f>
        <v>#DIV/0!</v>
      </c>
      <c r="C5" s="429"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6"/>
    </row>
    <row r="6" spans="1:29" ht="15">
      <c r="A6" s="510" t="s">
        <v>521</v>
      </c>
      <c r="B6" s="511"/>
      <c r="C6" s="3503" t="s">
        <v>522</v>
      </c>
      <c r="D6" s="3504"/>
      <c r="E6" s="3537" t="s">
        <v>523</v>
      </c>
      <c r="F6" s="3538"/>
      <c r="G6" s="3503" t="s">
        <v>524</v>
      </c>
      <c r="H6" s="3504"/>
      <c r="I6" s="3503" t="s">
        <v>525</v>
      </c>
      <c r="J6" s="3504"/>
      <c r="K6" s="512" t="s">
        <v>526</v>
      </c>
      <c r="L6" s="2133"/>
      <c r="M6" s="2134"/>
      <c r="N6" s="2134"/>
      <c r="O6" s="2134"/>
      <c r="P6" s="3505" t="s">
        <v>527</v>
      </c>
      <c r="Q6" s="3506"/>
      <c r="R6" s="3511" t="s">
        <v>523</v>
      </c>
      <c r="S6" s="3512"/>
      <c r="T6" s="3511" t="s">
        <v>524</v>
      </c>
      <c r="U6" s="3512"/>
      <c r="V6" s="3498" t="s">
        <v>525</v>
      </c>
      <c r="W6" s="3498"/>
      <c r="X6" s="1566"/>
      <c r="Y6" s="3511" t="s">
        <v>527</v>
      </c>
      <c r="Z6" s="3512"/>
      <c r="AA6" s="3500" t="s">
        <v>523</v>
      </c>
      <c r="AB6" s="3501" t="s">
        <v>524</v>
      </c>
      <c r="AC6" s="3500" t="s">
        <v>525</v>
      </c>
    </row>
    <row r="7" spans="1:29" ht="15">
      <c r="A7" s="513"/>
      <c r="B7" s="514"/>
      <c r="C7" s="3519" t="s">
        <v>2930</v>
      </c>
      <c r="D7" s="3520"/>
      <c r="E7" s="3539" t="s">
        <v>2931</v>
      </c>
      <c r="F7" s="3540"/>
      <c r="G7" s="3519" t="s">
        <v>2932</v>
      </c>
      <c r="H7" s="3520"/>
      <c r="I7" s="3519" t="s">
        <v>2933</v>
      </c>
      <c r="J7" s="3520"/>
      <c r="K7" s="512"/>
      <c r="L7" s="2133"/>
      <c r="M7" s="2134"/>
      <c r="N7" s="2134"/>
      <c r="O7" s="2134"/>
      <c r="P7" s="3507"/>
      <c r="Q7" s="3508"/>
      <c r="R7" s="3513"/>
      <c r="S7" s="3514"/>
      <c r="T7" s="3513"/>
      <c r="U7" s="3514"/>
      <c r="V7" s="3498"/>
      <c r="W7" s="3498"/>
      <c r="X7" s="1566"/>
      <c r="Y7" s="3513"/>
      <c r="Z7" s="3514"/>
      <c r="AA7" s="3501"/>
      <c r="AB7" s="3501"/>
      <c r="AC7" s="3501"/>
    </row>
    <row r="8" spans="1:29" ht="15.75" thickBot="1">
      <c r="A8" s="515"/>
      <c r="B8" s="516"/>
      <c r="C8" s="3517" t="s">
        <v>2934</v>
      </c>
      <c r="D8" s="3518"/>
      <c r="E8" s="3535" t="s">
        <v>2934</v>
      </c>
      <c r="F8" s="3536"/>
      <c r="G8" s="3517" t="s">
        <v>2934</v>
      </c>
      <c r="H8" s="3518"/>
      <c r="I8" s="3517" t="s">
        <v>2934</v>
      </c>
      <c r="J8" s="3518"/>
      <c r="K8" s="512" t="s">
        <v>528</v>
      </c>
      <c r="L8" s="2133"/>
      <c r="M8" s="2134"/>
      <c r="N8" s="2134"/>
      <c r="O8" s="2134"/>
      <c r="P8" s="3509"/>
      <c r="Q8" s="3510"/>
      <c r="R8" s="3513"/>
      <c r="S8" s="3514"/>
      <c r="T8" s="3515"/>
      <c r="U8" s="3516"/>
      <c r="V8" s="3498"/>
      <c r="W8" s="3498"/>
      <c r="X8" s="1566"/>
      <c r="Y8" s="3515"/>
      <c r="Z8" s="3516"/>
      <c r="AA8" s="3502"/>
      <c r="AB8" s="3502"/>
      <c r="AC8" s="3502"/>
    </row>
    <row r="9" spans="1:29" s="1218" customFormat="1" ht="15.75" thickBot="1">
      <c r="A9" s="2934"/>
      <c r="B9" s="2941" t="s">
        <v>529</v>
      </c>
      <c r="C9" s="517">
        <f>'数据-取费表'!B2</f>
        <v>43230</v>
      </c>
      <c r="D9" s="518">
        <v>100</v>
      </c>
      <c r="E9" s="519"/>
      <c r="F9" s="520">
        <f>SUMIF(67:67,YEAR(E9)&amp;"-"&amp;INT((MONTH(E9)+2)/3),68:68)</f>
        <v>0</v>
      </c>
      <c r="G9" s="521"/>
      <c r="H9" s="518">
        <f>SUMIF(67:67,YEAR(G9)&amp;"-"&amp;INT((MONTH(G9)+2)/3),68:68)</f>
        <v>0</v>
      </c>
      <c r="I9" s="521"/>
      <c r="J9" s="518">
        <f>SUMIF(67:67,YEAR(I9)&amp;"-"&amp;INT((MONTH(I9)+2)/3),68:68)</f>
        <v>0</v>
      </c>
      <c r="K9" s="522"/>
      <c r="L9" s="2135"/>
      <c r="M9" s="2136"/>
      <c r="N9" s="2136"/>
      <c r="O9" s="2136"/>
      <c r="P9" s="3528" t="s">
        <v>530</v>
      </c>
      <c r="Q9" s="3530"/>
      <c r="R9" s="1567" t="s">
        <v>8</v>
      </c>
      <c r="S9" s="1568">
        <f t="shared" ref="S9:S17" si="0">F9</f>
        <v>0</v>
      </c>
      <c r="T9" s="1567" t="s">
        <v>8</v>
      </c>
      <c r="U9" s="1568">
        <f t="shared" ref="U9:U17" si="1">H9</f>
        <v>0</v>
      </c>
      <c r="V9" s="1567" t="s">
        <v>8</v>
      </c>
      <c r="W9" s="1568">
        <f t="shared" ref="W9:W17" si="2">J9</f>
        <v>0</v>
      </c>
      <c r="X9" s="1569"/>
      <c r="Y9" s="3528" t="s">
        <v>530</v>
      </c>
      <c r="Z9" s="3529"/>
      <c r="AA9" s="1570" t="e">
        <f>D9/F9</f>
        <v>#DIV/0!</v>
      </c>
      <c r="AB9" s="1570" t="e">
        <f>D9/H9</f>
        <v>#DIV/0!</v>
      </c>
      <c r="AC9" s="1570" t="e">
        <f>D9/J9</f>
        <v>#DIV/0!</v>
      </c>
    </row>
    <row r="10" spans="1:29" s="1218" customFormat="1" ht="15.75" thickBot="1">
      <c r="A10" s="2935"/>
      <c r="B10" s="2942"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5"/>
      <c r="M10" s="2136"/>
      <c r="N10" s="2136"/>
      <c r="O10" s="2136"/>
      <c r="P10" s="3528" t="s">
        <v>533</v>
      </c>
      <c r="Q10" s="3529"/>
      <c r="R10" s="1567" t="s">
        <v>8</v>
      </c>
      <c r="S10" s="1568">
        <f t="shared" si="0"/>
        <v>0</v>
      </c>
      <c r="T10" s="1567" t="s">
        <v>8</v>
      </c>
      <c r="U10" s="1568">
        <f t="shared" si="1"/>
        <v>0</v>
      </c>
      <c r="V10" s="1567" t="s">
        <v>8</v>
      </c>
      <c r="W10" s="1568">
        <f t="shared" si="2"/>
        <v>0</v>
      </c>
      <c r="X10" s="1569"/>
      <c r="Y10" s="3528" t="s">
        <v>533</v>
      </c>
      <c r="Z10" s="3529"/>
      <c r="AA10" s="1570" t="e">
        <f t="shared" ref="AA10:AA42" si="3">D10/F10</f>
        <v>#DIV/0!</v>
      </c>
      <c r="AB10" s="1570" t="e">
        <f t="shared" ref="AB10:AB42" si="4">D10/H10</f>
        <v>#DIV/0!</v>
      </c>
      <c r="AC10" s="1570" t="e">
        <f t="shared" ref="AC10:AC42" si="5">D10/J10</f>
        <v>#DIV/0!</v>
      </c>
    </row>
    <row r="11" spans="1:29" s="1218" customFormat="1" ht="15">
      <c r="A11" s="2936"/>
      <c r="B11" s="2943" t="s">
        <v>2760</v>
      </c>
      <c r="C11" s="524"/>
      <c r="D11" s="252">
        <v>100</v>
      </c>
      <c r="E11" s="524"/>
      <c r="F11" s="252">
        <f>SUMIF(72:72,E11,73:73)-SUMIF(72:72,C11,73:73)+100</f>
        <v>100</v>
      </c>
      <c r="G11" s="524"/>
      <c r="H11" s="252">
        <f>SUMIF(72:72,G11,73:73)-SUMIF(72:72,C11,73:73)+100</f>
        <v>100</v>
      </c>
      <c r="I11" s="524"/>
      <c r="J11" s="252">
        <f>SUMIF(72:72,I11,73:73)-SUMIF(72:72,C11,73:73)+100</f>
        <v>100</v>
      </c>
      <c r="K11" s="522"/>
      <c r="L11" s="2135"/>
      <c r="M11" s="2136"/>
      <c r="N11" s="2136"/>
      <c r="O11" s="2137"/>
      <c r="P11" s="3497" t="s">
        <v>535</v>
      </c>
      <c r="Q11" s="1149" t="str">
        <f t="shared" ref="Q11:Q17" si="6">B11</f>
        <v>用途</v>
      </c>
      <c r="R11" s="1567" t="s">
        <v>8</v>
      </c>
      <c r="S11" s="1568">
        <f t="shared" si="0"/>
        <v>100</v>
      </c>
      <c r="T11" s="1567" t="s">
        <v>8</v>
      </c>
      <c r="U11" s="1568">
        <f t="shared" si="1"/>
        <v>100</v>
      </c>
      <c r="V11" s="1567" t="s">
        <v>8</v>
      </c>
      <c r="W11" s="1568">
        <f t="shared" si="2"/>
        <v>100</v>
      </c>
      <c r="X11" s="1569"/>
      <c r="Y11" s="3380" t="s">
        <v>536</v>
      </c>
      <c r="Z11" s="1148" t="str">
        <f t="shared" ref="Z11:Z17" si="7">Q11</f>
        <v>用途</v>
      </c>
      <c r="AA11" s="1570">
        <f t="shared" si="3"/>
        <v>1</v>
      </c>
      <c r="AB11" s="1570">
        <f t="shared" si="4"/>
        <v>1</v>
      </c>
      <c r="AC11" s="1570">
        <f t="shared" si="5"/>
        <v>1</v>
      </c>
    </row>
    <row r="12" spans="1:29" s="1336" customFormat="1" ht="27">
      <c r="A12" s="2937"/>
      <c r="B12" s="2942" t="s">
        <v>2761</v>
      </c>
      <c r="C12" s="526"/>
      <c r="D12" s="253">
        <v>100</v>
      </c>
      <c r="E12" s="526"/>
      <c r="F12" s="253">
        <f>ROUND(100/'数据-取费表'!G16,0)</f>
        <v>100</v>
      </c>
      <c r="G12" s="526"/>
      <c r="H12" s="253">
        <f>ROUND(100/'数据-取费表'!G16,0)</f>
        <v>100</v>
      </c>
      <c r="I12" s="526"/>
      <c r="J12" s="253">
        <f>ROUND(100/'数据-取费表'!G16,0)</f>
        <v>100</v>
      </c>
      <c r="K12" s="529"/>
      <c r="L12" s="2138"/>
      <c r="M12" s="2178"/>
      <c r="N12" s="2178"/>
      <c r="O12" s="2139"/>
      <c r="P12" s="3497"/>
      <c r="Q12" s="1149" t="str">
        <f t="shared" si="6"/>
        <v>土地使用年限（年）</v>
      </c>
      <c r="R12" s="1567" t="s">
        <v>8</v>
      </c>
      <c r="S12" s="1568">
        <f t="shared" si="0"/>
        <v>100</v>
      </c>
      <c r="T12" s="1567" t="s">
        <v>8</v>
      </c>
      <c r="U12" s="1568">
        <f t="shared" si="1"/>
        <v>100</v>
      </c>
      <c r="V12" s="1567" t="s">
        <v>8</v>
      </c>
      <c r="W12" s="1568">
        <f t="shared" si="2"/>
        <v>100</v>
      </c>
      <c r="X12" s="1569"/>
      <c r="Y12" s="3380"/>
      <c r="Z12" s="1148" t="str">
        <f t="shared" si="7"/>
        <v>土地使用年限（年）</v>
      </c>
      <c r="AA12" s="1570">
        <f t="shared" si="3"/>
        <v>1</v>
      </c>
      <c r="AB12" s="1570">
        <f t="shared" si="4"/>
        <v>1</v>
      </c>
      <c r="AC12" s="1570">
        <f t="shared" si="5"/>
        <v>1</v>
      </c>
    </row>
    <row r="13" spans="1:29" ht="15">
      <c r="A13" s="2938"/>
      <c r="B13" s="2942"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40"/>
      <c r="M13" s="2134"/>
      <c r="N13" s="2134"/>
      <c r="O13" s="2141"/>
      <c r="P13" s="3497"/>
      <c r="Q13" s="1149" t="str">
        <f t="shared" si="6"/>
        <v>容积率</v>
      </c>
      <c r="R13" s="1567" t="s">
        <v>8</v>
      </c>
      <c r="S13" s="1568" t="e">
        <f t="shared" si="0"/>
        <v>#N/A</v>
      </c>
      <c r="T13" s="1567" t="s">
        <v>8</v>
      </c>
      <c r="U13" s="1568" t="e">
        <f t="shared" si="1"/>
        <v>#N/A</v>
      </c>
      <c r="V13" s="1567" t="s">
        <v>8</v>
      </c>
      <c r="W13" s="1568" t="e">
        <f t="shared" si="2"/>
        <v>#N/A</v>
      </c>
      <c r="X13" s="1569"/>
      <c r="Y13" s="3380"/>
      <c r="Z13" s="1148" t="str">
        <f t="shared" si="7"/>
        <v>容积率</v>
      </c>
      <c r="AA13" s="1570" t="e">
        <f t="shared" si="3"/>
        <v>#N/A</v>
      </c>
      <c r="AB13" s="1570" t="e">
        <f t="shared" si="4"/>
        <v>#N/A</v>
      </c>
      <c r="AC13" s="1570" t="e">
        <f t="shared" si="5"/>
        <v>#N/A</v>
      </c>
    </row>
    <row r="14" spans="1:29" s="1218" customFormat="1" ht="15">
      <c r="A14" s="2939"/>
      <c r="B14" s="2945">
        <v>111</v>
      </c>
      <c r="C14" s="526"/>
      <c r="D14" s="536">
        <v>100</v>
      </c>
      <c r="E14" s="539"/>
      <c r="F14" s="253">
        <f>SUMIF(79:79,E14,80:80)-SUMIF(79:79,C14,80:80)+100</f>
        <v>100</v>
      </c>
      <c r="G14" s="540"/>
      <c r="H14" s="253">
        <f>SUMIF(79:79,G14,80:80)-SUMIF(79:79,C14,80:80)+100</f>
        <v>100</v>
      </c>
      <c r="I14" s="539"/>
      <c r="J14" s="253">
        <f>SUMIF(79:79,I14,80:80)-SUMIF(79:79,C14,80:80)+100</f>
        <v>100</v>
      </c>
      <c r="K14" s="529"/>
      <c r="L14" s="2135"/>
      <c r="M14" s="2136"/>
      <c r="N14" s="2136"/>
      <c r="O14" s="2137"/>
      <c r="P14" s="3497"/>
      <c r="Q14" s="1149">
        <f t="shared" si="6"/>
        <v>111</v>
      </c>
      <c r="R14" s="1567" t="s">
        <v>8</v>
      </c>
      <c r="S14" s="1568">
        <f t="shared" si="0"/>
        <v>100</v>
      </c>
      <c r="T14" s="1567" t="s">
        <v>8</v>
      </c>
      <c r="U14" s="1568">
        <f t="shared" si="1"/>
        <v>100</v>
      </c>
      <c r="V14" s="1567" t="s">
        <v>8</v>
      </c>
      <c r="W14" s="1568">
        <f t="shared" si="2"/>
        <v>100</v>
      </c>
      <c r="X14" s="1569"/>
      <c r="Y14" s="3380"/>
      <c r="Z14" s="1148">
        <f t="shared" si="7"/>
        <v>111</v>
      </c>
      <c r="AA14" s="1570">
        <f>D14/F14</f>
        <v>1</v>
      </c>
      <c r="AB14" s="1570">
        <f>D14/H14</f>
        <v>1</v>
      </c>
      <c r="AC14" s="1570">
        <f>D14/J14</f>
        <v>1</v>
      </c>
    </row>
    <row r="15" spans="1:29" ht="15">
      <c r="A15" s="2939"/>
      <c r="B15" s="2945">
        <v>111</v>
      </c>
      <c r="C15" s="537"/>
      <c r="D15" s="538">
        <v>100</v>
      </c>
      <c r="E15" s="539"/>
      <c r="F15" s="253">
        <f>SUMIF(81:81,E15,82:82)-SUMIF(81:81,C15,82:82)+100</f>
        <v>100</v>
      </c>
      <c r="G15" s="540"/>
      <c r="H15" s="538">
        <f>SUMIF(81:81,G15,82:82)-SUMIF(81:81,C15,82:82)+100</f>
        <v>100</v>
      </c>
      <c r="I15" s="539"/>
      <c r="J15" s="538">
        <f>SUMIF(81:81,I15,82:82)-SUMIF(81:81,C15,82:82)+100</f>
        <v>100</v>
      </c>
      <c r="K15" s="529"/>
      <c r="L15" s="2142"/>
      <c r="M15" s="2134"/>
      <c r="N15" s="2134"/>
      <c r="O15" s="2141"/>
      <c r="P15" s="3497"/>
      <c r="Q15" s="1149">
        <f t="shared" si="6"/>
        <v>111</v>
      </c>
      <c r="R15" s="1567" t="s">
        <v>8</v>
      </c>
      <c r="S15" s="1568">
        <f t="shared" si="0"/>
        <v>100</v>
      </c>
      <c r="T15" s="1567" t="s">
        <v>8</v>
      </c>
      <c r="U15" s="1568">
        <f t="shared" si="1"/>
        <v>100</v>
      </c>
      <c r="V15" s="1567" t="s">
        <v>8</v>
      </c>
      <c r="W15" s="1568">
        <f t="shared" si="2"/>
        <v>100</v>
      </c>
      <c r="X15" s="1569"/>
      <c r="Y15" s="3380"/>
      <c r="Z15" s="1148">
        <f t="shared" si="7"/>
        <v>111</v>
      </c>
      <c r="AA15" s="1570">
        <f t="shared" si="3"/>
        <v>1</v>
      </c>
      <c r="AB15" s="1570">
        <f t="shared" si="4"/>
        <v>1</v>
      </c>
      <c r="AC15" s="1570">
        <f t="shared" si="5"/>
        <v>1</v>
      </c>
    </row>
    <row r="16" spans="1:29" ht="15.75" thickBot="1">
      <c r="A16" s="2940"/>
      <c r="B16" s="2946">
        <v>111</v>
      </c>
      <c r="C16" s="543"/>
      <c r="D16" s="544">
        <v>100</v>
      </c>
      <c r="E16" s="539"/>
      <c r="F16" s="544">
        <f>SUMIF(83:83,E16,84:84)-SUMIF(83:83,C16,84:84)+100</f>
        <v>100</v>
      </c>
      <c r="G16" s="540"/>
      <c r="H16" s="544">
        <f>SUMIF(83:83,G16,84:84)-SUMIF(83:83,C16,84:84)+100</f>
        <v>100</v>
      </c>
      <c r="I16" s="539"/>
      <c r="J16" s="544">
        <f>SUMIF(83:83,I16,84:84)-SUMIF(83:83,C16,84:84)+100</f>
        <v>100</v>
      </c>
      <c r="K16" s="529"/>
      <c r="L16" s="2142"/>
      <c r="M16" s="2134"/>
      <c r="N16" s="2134"/>
      <c r="O16" s="2141"/>
      <c r="P16" s="3497"/>
      <c r="Q16" s="1149">
        <f t="shared" si="6"/>
        <v>111</v>
      </c>
      <c r="R16" s="1567" t="s">
        <v>8</v>
      </c>
      <c r="S16" s="1568">
        <f t="shared" si="0"/>
        <v>100</v>
      </c>
      <c r="T16" s="1567" t="s">
        <v>8</v>
      </c>
      <c r="U16" s="1568">
        <f t="shared" si="1"/>
        <v>100</v>
      </c>
      <c r="V16" s="1567" t="s">
        <v>8</v>
      </c>
      <c r="W16" s="1568">
        <f t="shared" si="2"/>
        <v>100</v>
      </c>
      <c r="X16" s="1569"/>
      <c r="Y16" s="3380"/>
      <c r="Z16" s="1148">
        <f t="shared" si="7"/>
        <v>111</v>
      </c>
      <c r="AA16" s="1570">
        <f t="shared" si="3"/>
        <v>1</v>
      </c>
      <c r="AB16" s="1570">
        <f t="shared" si="4"/>
        <v>1</v>
      </c>
      <c r="AC16" s="1570">
        <f t="shared" si="5"/>
        <v>1</v>
      </c>
    </row>
    <row r="17" spans="1:29" ht="57">
      <c r="A17" s="2932" t="s">
        <v>2758</v>
      </c>
      <c r="B17" s="164" t="s">
        <v>598</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2"/>
      <c r="M17" s="2134"/>
      <c r="N17" s="2134"/>
      <c r="O17" s="2141"/>
      <c r="P17" s="3531" t="s">
        <v>540</v>
      </c>
      <c r="Q17" s="1571" t="str">
        <f t="shared" si="6"/>
        <v>产业集聚程度</v>
      </c>
      <c r="R17" s="1572" t="s">
        <v>8</v>
      </c>
      <c r="S17" s="1573">
        <f t="shared" si="0"/>
        <v>100</v>
      </c>
      <c r="T17" s="1572" t="s">
        <v>8</v>
      </c>
      <c r="U17" s="1573">
        <f t="shared" si="1"/>
        <v>100</v>
      </c>
      <c r="V17" s="1572" t="s">
        <v>8</v>
      </c>
      <c r="W17" s="1573">
        <f t="shared" si="2"/>
        <v>100</v>
      </c>
      <c r="X17" s="1566"/>
      <c r="Y17" s="3531" t="s">
        <v>540</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2"/>
      <c r="M18" s="2134"/>
      <c r="N18" s="2134"/>
      <c r="O18" s="2141"/>
      <c r="P18" s="3532"/>
      <c r="Q18" s="1571"/>
      <c r="R18" s="1572"/>
      <c r="S18" s="1573"/>
      <c r="T18" s="1572"/>
      <c r="U18" s="1573"/>
      <c r="V18" s="1572"/>
      <c r="W18" s="1573"/>
      <c r="X18" s="1566"/>
      <c r="Y18" s="3532"/>
      <c r="Z18" s="1574"/>
      <c r="AA18" s="1575">
        <v>1</v>
      </c>
      <c r="AB18" s="1575">
        <v>1</v>
      </c>
      <c r="AC18" s="1575">
        <v>1</v>
      </c>
    </row>
    <row r="19" spans="1:29" ht="85.5">
      <c r="A19" s="530"/>
      <c r="B19" s="869" t="s">
        <v>543</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2"/>
      <c r="M19" s="2134"/>
      <c r="N19" s="2134"/>
      <c r="O19" s="2141"/>
      <c r="P19" s="3532"/>
      <c r="Q19" s="1571" t="str">
        <f>B19</f>
        <v>交通便捷度</v>
      </c>
      <c r="R19" s="1572" t="s">
        <v>8</v>
      </c>
      <c r="S19" s="1573">
        <f>F19</f>
        <v>100</v>
      </c>
      <c r="T19" s="1572" t="s">
        <v>8</v>
      </c>
      <c r="U19" s="1573">
        <f>H19</f>
        <v>100</v>
      </c>
      <c r="V19" s="1572" t="s">
        <v>8</v>
      </c>
      <c r="W19" s="1573">
        <f>J19</f>
        <v>100</v>
      </c>
      <c r="X19" s="1566"/>
      <c r="Y19" s="3532"/>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2"/>
      <c r="M20" s="2134"/>
      <c r="N20" s="2134"/>
      <c r="O20" s="2141"/>
      <c r="P20" s="3532"/>
      <c r="Q20" s="1571"/>
      <c r="R20" s="1572"/>
      <c r="S20" s="1573"/>
      <c r="T20" s="1572"/>
      <c r="U20" s="1573"/>
      <c r="V20" s="1572"/>
      <c r="W20" s="1573"/>
      <c r="X20" s="1566"/>
      <c r="Y20" s="3532"/>
      <c r="Z20" s="1574"/>
      <c r="AA20" s="1575">
        <v>1</v>
      </c>
      <c r="AB20" s="1575">
        <v>1</v>
      </c>
      <c r="AC20" s="1575">
        <v>1</v>
      </c>
    </row>
    <row r="21" spans="1:29" ht="27">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2"/>
      <c r="M21" s="2134"/>
      <c r="N21" s="2134"/>
      <c r="O21" s="2141"/>
      <c r="P21" s="3532"/>
      <c r="Q21" s="1571" t="str">
        <f t="shared" ref="Q21:Q35" si="8">B21</f>
        <v>区域土地利用方向</v>
      </c>
      <c r="R21" s="1572" t="s">
        <v>8</v>
      </c>
      <c r="S21" s="1573">
        <f>F21</f>
        <v>100</v>
      </c>
      <c r="T21" s="1572" t="s">
        <v>8</v>
      </c>
      <c r="U21" s="1573">
        <f>H21</f>
        <v>100</v>
      </c>
      <c r="V21" s="1572" t="s">
        <v>8</v>
      </c>
      <c r="W21" s="1573">
        <f>J21</f>
        <v>100</v>
      </c>
      <c r="X21" s="1566"/>
      <c r="Y21" s="3532"/>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2"/>
      <c r="M22" s="2134"/>
      <c r="N22" s="2134"/>
      <c r="O22" s="2141"/>
      <c r="P22" s="3532"/>
      <c r="Q22" s="1571"/>
      <c r="R22" s="1572"/>
      <c r="S22" s="1573"/>
      <c r="T22" s="1572"/>
      <c r="U22" s="1573"/>
      <c r="V22" s="1572"/>
      <c r="W22" s="1573"/>
      <c r="X22" s="1566"/>
      <c r="Y22" s="3532"/>
      <c r="Z22" s="1574"/>
      <c r="AA22" s="1575"/>
      <c r="AB22" s="1575"/>
      <c r="AC22" s="1575"/>
    </row>
    <row r="23" spans="1:29" ht="71.25">
      <c r="A23" s="513"/>
      <c r="B23" s="920" t="s">
        <v>599</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2"/>
      <c r="M23" s="2134"/>
      <c r="N23" s="2134"/>
      <c r="O23" s="2141"/>
      <c r="P23" s="3532"/>
      <c r="Q23" s="1571" t="str">
        <f t="shared" si="8"/>
        <v>环境状况</v>
      </c>
      <c r="R23" s="1572" t="s">
        <v>8</v>
      </c>
      <c r="S23" s="1573">
        <f>F23</f>
        <v>100</v>
      </c>
      <c r="T23" s="1572" t="s">
        <v>8</v>
      </c>
      <c r="U23" s="1573">
        <f>H23</f>
        <v>100</v>
      </c>
      <c r="V23" s="1572" t="s">
        <v>8</v>
      </c>
      <c r="W23" s="1573">
        <f>J23</f>
        <v>100</v>
      </c>
      <c r="X23" s="1566"/>
      <c r="Y23" s="3532"/>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2"/>
      <c r="M24" s="2134"/>
      <c r="N24" s="2134"/>
      <c r="O24" s="2141"/>
      <c r="P24" s="3532"/>
      <c r="Q24" s="1571"/>
      <c r="R24" s="1572"/>
      <c r="S24" s="1573"/>
      <c r="T24" s="1572"/>
      <c r="U24" s="1573"/>
      <c r="V24" s="1572"/>
      <c r="W24" s="1573"/>
      <c r="X24" s="1566"/>
      <c r="Y24" s="3532"/>
      <c r="Z24" s="1574"/>
      <c r="AA24" s="1575">
        <v>1</v>
      </c>
      <c r="AB24" s="1575">
        <v>1</v>
      </c>
      <c r="AC24" s="1575">
        <v>1</v>
      </c>
    </row>
    <row r="25" spans="1:29" s="1218" customFormat="1" ht="42.75">
      <c r="A25" s="575"/>
      <c r="B25" s="2615" t="s">
        <v>2552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5"/>
      <c r="M25" s="2136"/>
      <c r="N25" s="2136"/>
      <c r="O25" s="2137"/>
      <c r="P25" s="3532"/>
      <c r="Q25" s="1149" t="str">
        <f t="shared" si="8"/>
        <v>公共配套设施</v>
      </c>
      <c r="R25" s="1567" t="s">
        <v>8</v>
      </c>
      <c r="S25" s="1568">
        <f>F25</f>
        <v>100</v>
      </c>
      <c r="T25" s="1567" t="s">
        <v>8</v>
      </c>
      <c r="U25" s="1568">
        <f>H25</f>
        <v>100</v>
      </c>
      <c r="V25" s="1567" t="s">
        <v>8</v>
      </c>
      <c r="W25" s="1568">
        <f>J25</f>
        <v>100</v>
      </c>
      <c r="X25" s="1569"/>
      <c r="Y25" s="3532"/>
      <c r="Z25" s="1148" t="str">
        <f>Q25</f>
        <v>公共配套设施</v>
      </c>
      <c r="AA25" s="1575">
        <f>D25/F25</f>
        <v>1</v>
      </c>
      <c r="AB25" s="1575">
        <f>D25/H25</f>
        <v>1</v>
      </c>
      <c r="AC25" s="1575">
        <f>D25/J25</f>
        <v>1</v>
      </c>
    </row>
    <row r="26" spans="1:29" s="1218" customFormat="1" ht="15">
      <c r="A26" s="575"/>
      <c r="B26" s="593"/>
      <c r="C26" s="2614"/>
      <c r="D26" s="553"/>
      <c r="E26" s="552"/>
      <c r="F26" s="553"/>
      <c r="G26" s="552"/>
      <c r="H26" s="553"/>
      <c r="I26" s="574"/>
      <c r="J26" s="553"/>
      <c r="K26" s="529"/>
      <c r="L26" s="2135"/>
      <c r="M26" s="2136"/>
      <c r="N26" s="2136"/>
      <c r="O26" s="2137"/>
      <c r="P26" s="3532"/>
      <c r="Q26" s="1149"/>
      <c r="R26" s="1567"/>
      <c r="S26" s="1568"/>
      <c r="T26" s="1567"/>
      <c r="U26" s="1568"/>
      <c r="V26" s="1567"/>
      <c r="W26" s="1568"/>
      <c r="X26" s="1569"/>
      <c r="Y26" s="3532"/>
      <c r="Z26" s="1148"/>
      <c r="AA26" s="1570">
        <v>1</v>
      </c>
      <c r="AB26" s="1570">
        <v>1</v>
      </c>
      <c r="AC26" s="1570">
        <v>1</v>
      </c>
    </row>
    <row r="27" spans="1:29" s="1218" customFormat="1" ht="28.5">
      <c r="A27" s="575"/>
      <c r="B27" s="2615" t="s">
        <v>2553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5"/>
      <c r="M27" s="2136"/>
      <c r="N27" s="2136"/>
      <c r="O27" s="2137"/>
      <c r="P27" s="3532"/>
      <c r="Q27" s="2600" t="str">
        <f t="shared" ref="Q27" si="9">B27</f>
        <v>基础设施水平</v>
      </c>
      <c r="R27" s="1567" t="s">
        <v>8</v>
      </c>
      <c r="S27" s="1568">
        <f>F27</f>
        <v>100</v>
      </c>
      <c r="T27" s="1567" t="s">
        <v>8</v>
      </c>
      <c r="U27" s="1568">
        <f>H27</f>
        <v>100</v>
      </c>
      <c r="V27" s="1567" t="s">
        <v>8</v>
      </c>
      <c r="W27" s="1568">
        <f>J27</f>
        <v>100</v>
      </c>
      <c r="X27" s="1569"/>
      <c r="Y27" s="3532"/>
      <c r="Z27" s="2597" t="str">
        <f>Q27</f>
        <v>基础设施水平</v>
      </c>
      <c r="AA27" s="1575">
        <f>D27/F27</f>
        <v>1</v>
      </c>
      <c r="AB27" s="1575">
        <f>D27/H27</f>
        <v>1</v>
      </c>
      <c r="AC27" s="1575">
        <f>D27/J27</f>
        <v>1</v>
      </c>
    </row>
    <row r="28" spans="1:29" s="1218" customFormat="1" ht="15">
      <c r="A28" s="575"/>
      <c r="B28" s="593"/>
      <c r="C28" s="2614"/>
      <c r="D28" s="553"/>
      <c r="E28" s="577"/>
      <c r="F28" s="553"/>
      <c r="G28" s="577"/>
      <c r="H28" s="553"/>
      <c r="I28" s="577"/>
      <c r="J28" s="553"/>
      <c r="K28" s="529"/>
      <c r="L28" s="2135"/>
      <c r="M28" s="2136"/>
      <c r="N28" s="2136"/>
      <c r="O28" s="2137"/>
      <c r="P28" s="3532"/>
      <c r="Q28" s="2600"/>
      <c r="R28" s="1567"/>
      <c r="S28" s="1568"/>
      <c r="T28" s="1567"/>
      <c r="U28" s="1568"/>
      <c r="V28" s="1567"/>
      <c r="W28" s="1568"/>
      <c r="X28" s="1569"/>
      <c r="Y28" s="3532"/>
      <c r="Z28" s="2597"/>
      <c r="AA28" s="1570">
        <v>1</v>
      </c>
      <c r="AB28" s="1570">
        <v>1</v>
      </c>
      <c r="AC28" s="1570">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2"/>
      <c r="M29" s="2134"/>
      <c r="N29" s="2134"/>
      <c r="O29" s="2141"/>
      <c r="P29" s="3532"/>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532"/>
      <c r="Z29" s="1574" t="str">
        <f t="shared" ref="Z29:Z42" si="13">Q29</f>
        <v>临街状况</v>
      </c>
      <c r="AA29" s="1575">
        <f t="shared" si="3"/>
        <v>1</v>
      </c>
      <c r="AB29" s="1575">
        <f t="shared" si="4"/>
        <v>1</v>
      </c>
      <c r="AC29" s="1575">
        <f t="shared" si="5"/>
        <v>1</v>
      </c>
    </row>
    <row r="30" spans="1:29" ht="27">
      <c r="A30" s="530"/>
      <c r="B30" s="920" t="s">
        <v>548</v>
      </c>
      <c r="C30" s="2617">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2"/>
      <c r="M30" s="2134"/>
      <c r="N30" s="2134"/>
      <c r="O30" s="2141"/>
      <c r="P30" s="3532"/>
      <c r="Q30" s="1571" t="str">
        <f t="shared" si="8"/>
        <v>毗邻道路的类型与等级</v>
      </c>
      <c r="R30" s="1572" t="s">
        <v>8</v>
      </c>
      <c r="S30" s="1573">
        <f t="shared" si="10"/>
        <v>100</v>
      </c>
      <c r="T30" s="1572" t="s">
        <v>8</v>
      </c>
      <c r="U30" s="1573">
        <f t="shared" si="11"/>
        <v>100</v>
      </c>
      <c r="V30" s="1572" t="s">
        <v>8</v>
      </c>
      <c r="W30" s="1573">
        <f t="shared" si="12"/>
        <v>100</v>
      </c>
      <c r="X30" s="1566"/>
      <c r="Y30" s="3532"/>
      <c r="Z30" s="1574" t="str">
        <f t="shared" si="13"/>
        <v>毗邻道路的类型与等级</v>
      </c>
      <c r="AA30" s="1575">
        <f t="shared" si="3"/>
        <v>1</v>
      </c>
      <c r="AB30" s="1575">
        <f t="shared" si="4"/>
        <v>1</v>
      </c>
      <c r="AC30" s="1575">
        <f t="shared" si="5"/>
        <v>1</v>
      </c>
    </row>
    <row r="31" spans="1:29" ht="15">
      <c r="A31" s="530"/>
      <c r="B31" s="593"/>
      <c r="C31" s="574"/>
      <c r="D31" s="553"/>
      <c r="E31" s="574"/>
      <c r="F31" s="553"/>
      <c r="G31" s="574"/>
      <c r="H31" s="553"/>
      <c r="I31" s="574"/>
      <c r="J31" s="553"/>
      <c r="K31" s="579"/>
      <c r="L31" s="2142"/>
      <c r="M31" s="2134"/>
      <c r="N31" s="2134"/>
      <c r="O31" s="2141"/>
      <c r="P31" s="3532"/>
      <c r="Q31" s="1571"/>
      <c r="R31" s="1572"/>
      <c r="S31" s="1573"/>
      <c r="T31" s="1572"/>
      <c r="U31" s="1573"/>
      <c r="V31" s="1572"/>
      <c r="W31" s="1573"/>
      <c r="X31" s="1566"/>
      <c r="Y31" s="3532"/>
      <c r="Z31" s="1574"/>
      <c r="AA31" s="1575">
        <v>1</v>
      </c>
      <c r="AB31" s="1575">
        <v>1</v>
      </c>
      <c r="AC31" s="1575">
        <v>1</v>
      </c>
    </row>
    <row r="32" spans="1:29" ht="15">
      <c r="A32" s="530"/>
      <c r="B32" s="525" t="s">
        <v>549</v>
      </c>
      <c r="C32" s="2618">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2"/>
      <c r="M32" s="2134"/>
      <c r="N32" s="2134"/>
      <c r="O32" s="2141"/>
      <c r="P32" s="3532"/>
      <c r="Q32" s="1571" t="str">
        <f t="shared" si="8"/>
        <v>土地级别</v>
      </c>
      <c r="R32" s="1572" t="s">
        <v>8</v>
      </c>
      <c r="S32" s="1573">
        <f t="shared" si="10"/>
        <v>100</v>
      </c>
      <c r="T32" s="1572" t="s">
        <v>8</v>
      </c>
      <c r="U32" s="1573">
        <f t="shared" si="11"/>
        <v>100</v>
      </c>
      <c r="V32" s="1572" t="s">
        <v>8</v>
      </c>
      <c r="W32" s="1573">
        <f t="shared" si="12"/>
        <v>100</v>
      </c>
      <c r="X32" s="1566"/>
      <c r="Y32" s="3532"/>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2"/>
      <c r="M33" s="2134"/>
      <c r="N33" s="2134"/>
      <c r="O33" s="2141"/>
      <c r="P33" s="3532"/>
      <c r="Q33" s="1571">
        <f t="shared" si="8"/>
        <v>111</v>
      </c>
      <c r="R33" s="1572" t="s">
        <v>8</v>
      </c>
      <c r="S33" s="1573">
        <f t="shared" si="10"/>
        <v>100</v>
      </c>
      <c r="T33" s="1572" t="s">
        <v>8</v>
      </c>
      <c r="U33" s="1573">
        <f t="shared" si="11"/>
        <v>100</v>
      </c>
      <c r="V33" s="1572" t="s">
        <v>8</v>
      </c>
      <c r="W33" s="1573">
        <f t="shared" si="12"/>
        <v>100</v>
      </c>
      <c r="X33" s="1566"/>
      <c r="Y33" s="3532"/>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2"/>
      <c r="M34" s="2134"/>
      <c r="N34" s="2134"/>
      <c r="O34" s="2141"/>
      <c r="P34" s="3533" t="s">
        <v>550</v>
      </c>
      <c r="Q34" s="1571">
        <f t="shared" si="8"/>
        <v>111</v>
      </c>
      <c r="R34" s="1572" t="s">
        <v>8</v>
      </c>
      <c r="S34" s="1573">
        <f t="shared" si="10"/>
        <v>100</v>
      </c>
      <c r="T34" s="1572" t="s">
        <v>8</v>
      </c>
      <c r="U34" s="1573">
        <f t="shared" si="11"/>
        <v>100</v>
      </c>
      <c r="V34" s="1572" t="s">
        <v>8</v>
      </c>
      <c r="W34" s="1573">
        <f t="shared" si="12"/>
        <v>100</v>
      </c>
      <c r="X34" s="1566"/>
      <c r="Y34" s="3534" t="s">
        <v>550</v>
      </c>
      <c r="Z34" s="1574">
        <f t="shared" si="13"/>
        <v>111</v>
      </c>
      <c r="AA34" s="1575">
        <f t="shared" si="3"/>
        <v>1</v>
      </c>
      <c r="AB34" s="1575">
        <f t="shared" si="4"/>
        <v>1</v>
      </c>
      <c r="AC34" s="1575">
        <f t="shared" si="5"/>
        <v>1</v>
      </c>
    </row>
    <row r="35" spans="1:29" s="1337" customFormat="1" ht="15.75" thickBot="1">
      <c r="A35" s="587"/>
      <c r="B35" s="2616">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40"/>
      <c r="M35" s="2171"/>
      <c r="N35" s="2171"/>
      <c r="O35" s="2143"/>
      <c r="P35" s="3534"/>
      <c r="Q35" s="1571">
        <f t="shared" si="8"/>
        <v>111</v>
      </c>
      <c r="R35" s="1576" t="s">
        <v>8</v>
      </c>
      <c r="S35" s="1577">
        <f t="shared" si="10"/>
        <v>100</v>
      </c>
      <c r="T35" s="1576" t="s">
        <v>8</v>
      </c>
      <c r="U35" s="1577">
        <f t="shared" si="11"/>
        <v>100</v>
      </c>
      <c r="V35" s="1576" t="s">
        <v>8</v>
      </c>
      <c r="W35" s="1577">
        <f t="shared" si="12"/>
        <v>100</v>
      </c>
      <c r="X35" s="1578"/>
      <c r="Y35" s="3534"/>
      <c r="Z35" s="1579">
        <f t="shared" si="13"/>
        <v>111</v>
      </c>
      <c r="AA35" s="1575">
        <f t="shared" si="3"/>
        <v>1</v>
      </c>
      <c r="AB35" s="1575">
        <f t="shared" si="4"/>
        <v>1</v>
      </c>
      <c r="AC35" s="1575">
        <f t="shared" si="5"/>
        <v>1</v>
      </c>
    </row>
    <row r="36" spans="1:29" ht="15">
      <c r="A36" s="2929" t="s">
        <v>2759</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2"/>
      <c r="M36" s="2134"/>
      <c r="N36" s="2134"/>
      <c r="O36" s="2141"/>
      <c r="P36" s="3534"/>
      <c r="Q36" s="1571" t="str">
        <f>B36</f>
        <v>宗地面积</v>
      </c>
      <c r="R36" s="1572" t="s">
        <v>8</v>
      </c>
      <c r="S36" s="1573" t="e">
        <f t="shared" si="10"/>
        <v>#N/A</v>
      </c>
      <c r="T36" s="1572" t="s">
        <v>8</v>
      </c>
      <c r="U36" s="1573" t="e">
        <f t="shared" si="11"/>
        <v>#N/A</v>
      </c>
      <c r="V36" s="1572" t="s">
        <v>8</v>
      </c>
      <c r="W36" s="1573" t="e">
        <f t="shared" si="12"/>
        <v>#N/A</v>
      </c>
      <c r="X36" s="1566"/>
      <c r="Y36" s="3534"/>
      <c r="Z36" s="1574" t="str">
        <f t="shared" si="13"/>
        <v>宗地面积</v>
      </c>
      <c r="AA36" s="1575" t="e">
        <f t="shared" si="3"/>
        <v>#N/A</v>
      </c>
      <c r="AB36" s="1575" t="e">
        <f t="shared" si="4"/>
        <v>#N/A</v>
      </c>
      <c r="AC36" s="1575"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2"/>
      <c r="M37" s="2134"/>
      <c r="N37" s="2134"/>
      <c r="O37" s="2141"/>
      <c r="P37" s="3534"/>
      <c r="Q37" s="1571" t="str">
        <f t="shared" ref="Q37:Q42" si="14">B37</f>
        <v>宗地形状</v>
      </c>
      <c r="R37" s="1572" t="s">
        <v>8</v>
      </c>
      <c r="S37" s="1573">
        <f t="shared" si="10"/>
        <v>100</v>
      </c>
      <c r="T37" s="1572" t="s">
        <v>8</v>
      </c>
      <c r="U37" s="1573">
        <f t="shared" si="11"/>
        <v>100</v>
      </c>
      <c r="V37" s="1572" t="s">
        <v>8</v>
      </c>
      <c r="W37" s="1573">
        <f t="shared" si="12"/>
        <v>100</v>
      </c>
      <c r="X37" s="1566"/>
      <c r="Y37" s="3534"/>
      <c r="Z37" s="1574" t="str">
        <f t="shared" si="13"/>
        <v>宗地形状</v>
      </c>
      <c r="AA37" s="1575">
        <f t="shared" si="3"/>
        <v>1</v>
      </c>
      <c r="AB37" s="1575">
        <f t="shared" si="4"/>
        <v>1</v>
      </c>
      <c r="AC37" s="1575">
        <f t="shared" si="5"/>
        <v>1</v>
      </c>
    </row>
    <row r="38" spans="1:29" s="1218" customFormat="1" ht="15">
      <c r="A38" s="598"/>
      <c r="B38" s="1895" t="s">
        <v>2428</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5"/>
      <c r="M38" s="2136"/>
      <c r="N38" s="2136"/>
      <c r="O38" s="2137"/>
      <c r="P38" s="3534"/>
      <c r="Q38" s="1571" t="str">
        <f t="shared" si="14"/>
        <v>宗地开发程度</v>
      </c>
      <c r="R38" s="1567" t="s">
        <v>8</v>
      </c>
      <c r="S38" s="1568">
        <f t="shared" si="10"/>
        <v>100</v>
      </c>
      <c r="T38" s="1567" t="s">
        <v>8</v>
      </c>
      <c r="U38" s="1568">
        <f t="shared" si="11"/>
        <v>100</v>
      </c>
      <c r="V38" s="1567" t="s">
        <v>8</v>
      </c>
      <c r="W38" s="1568">
        <f t="shared" si="12"/>
        <v>100</v>
      </c>
      <c r="X38" s="1569"/>
      <c r="Y38" s="3534"/>
      <c r="Z38" s="1148" t="str">
        <f t="shared" si="13"/>
        <v>宗地开发程度</v>
      </c>
      <c r="AA38" s="1570">
        <f t="shared" si="3"/>
        <v>1</v>
      </c>
      <c r="AB38" s="1570">
        <f t="shared" si="4"/>
        <v>1</v>
      </c>
      <c r="AC38" s="1570">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534" t="s">
        <v>601</v>
      </c>
      <c r="Q39" s="1571" t="str">
        <f t="shared" si="14"/>
        <v>工程地质条件</v>
      </c>
      <c r="R39" s="1572" t="s">
        <v>8</v>
      </c>
      <c r="S39" s="1573">
        <f t="shared" si="10"/>
        <v>100</v>
      </c>
      <c r="T39" s="1572" t="s">
        <v>8</v>
      </c>
      <c r="U39" s="1573">
        <f t="shared" si="11"/>
        <v>100</v>
      </c>
      <c r="V39" s="1572" t="s">
        <v>8</v>
      </c>
      <c r="W39" s="1573">
        <f t="shared" si="12"/>
        <v>100</v>
      </c>
      <c r="X39" s="1566"/>
      <c r="Y39" s="3534" t="s">
        <v>601</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2"/>
      <c r="M40" s="2134"/>
      <c r="N40" s="2134"/>
      <c r="O40" s="2141"/>
      <c r="P40" s="3534"/>
      <c r="Q40" s="1571">
        <f t="shared" si="14"/>
        <v>111</v>
      </c>
      <c r="R40" s="1572" t="s">
        <v>8</v>
      </c>
      <c r="S40" s="1573">
        <f t="shared" si="10"/>
        <v>100</v>
      </c>
      <c r="T40" s="1572" t="s">
        <v>8</v>
      </c>
      <c r="U40" s="1573">
        <f t="shared" si="11"/>
        <v>100</v>
      </c>
      <c r="V40" s="1572" t="s">
        <v>8</v>
      </c>
      <c r="W40" s="1573">
        <f t="shared" si="12"/>
        <v>100</v>
      </c>
      <c r="X40" s="1566"/>
      <c r="Y40" s="3534"/>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2"/>
      <c r="M41" s="2134"/>
      <c r="N41" s="2134"/>
      <c r="O41" s="2141"/>
      <c r="P41" s="3534"/>
      <c r="Q41" s="1571">
        <f t="shared" si="14"/>
        <v>111</v>
      </c>
      <c r="R41" s="1572" t="s">
        <v>8</v>
      </c>
      <c r="S41" s="1573">
        <f t="shared" si="10"/>
        <v>100</v>
      </c>
      <c r="T41" s="1572" t="s">
        <v>8</v>
      </c>
      <c r="U41" s="1573">
        <f t="shared" si="11"/>
        <v>100</v>
      </c>
      <c r="V41" s="1572" t="s">
        <v>8</v>
      </c>
      <c r="W41" s="1573">
        <f t="shared" si="12"/>
        <v>100</v>
      </c>
      <c r="X41" s="1566"/>
      <c r="Y41" s="3534"/>
      <c r="Z41" s="1574">
        <f t="shared" si="13"/>
        <v>111</v>
      </c>
      <c r="AA41" s="1575">
        <f t="shared" si="3"/>
        <v>1</v>
      </c>
      <c r="AB41" s="1575">
        <f t="shared" si="4"/>
        <v>1</v>
      </c>
      <c r="AC41" s="1575">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40"/>
      <c r="M42" s="2171"/>
      <c r="N42" s="2171"/>
      <c r="O42" s="2143"/>
      <c r="P42" s="3534"/>
      <c r="Q42" s="1571">
        <f t="shared" si="14"/>
        <v>111</v>
      </c>
      <c r="R42" s="1576" t="s">
        <v>8</v>
      </c>
      <c r="S42" s="1577">
        <f t="shared" si="10"/>
        <v>100</v>
      </c>
      <c r="T42" s="1576" t="s">
        <v>8</v>
      </c>
      <c r="U42" s="1577">
        <f t="shared" si="11"/>
        <v>100</v>
      </c>
      <c r="V42" s="1576" t="s">
        <v>8</v>
      </c>
      <c r="W42" s="1577">
        <f t="shared" si="12"/>
        <v>100</v>
      </c>
      <c r="X42" s="1578"/>
      <c r="Y42" s="3534"/>
      <c r="Z42" s="1579">
        <f t="shared" si="13"/>
        <v>111</v>
      </c>
      <c r="AA42" s="1575">
        <f t="shared" si="3"/>
        <v>1</v>
      </c>
      <c r="AB42" s="1575">
        <f t="shared" si="4"/>
        <v>1</v>
      </c>
      <c r="AC42" s="1575">
        <f t="shared" si="5"/>
        <v>1</v>
      </c>
    </row>
    <row r="43" spans="1:29" ht="15">
      <c r="A43" s="605" t="s">
        <v>556</v>
      </c>
      <c r="B43" s="606" t="s">
        <v>2935</v>
      </c>
      <c r="C43" s="607" t="s">
        <v>1</v>
      </c>
      <c r="D43" s="608"/>
      <c r="E43" s="609"/>
      <c r="F43" s="610"/>
      <c r="G43" s="611"/>
      <c r="H43" s="612"/>
      <c r="I43" s="609"/>
      <c r="J43" s="612"/>
      <c r="K43" s="1338"/>
      <c r="L43" s="2144"/>
      <c r="M43" s="2134"/>
      <c r="N43" s="2134"/>
      <c r="O43" s="2145"/>
      <c r="P43" s="3497" t="str">
        <f>A43</f>
        <v>成交单价</v>
      </c>
      <c r="Q43" s="3497"/>
      <c r="R43" s="3498">
        <f>E43</f>
        <v>0</v>
      </c>
      <c r="S43" s="3498"/>
      <c r="T43" s="3498">
        <f>G43</f>
        <v>0</v>
      </c>
      <c r="U43" s="3498"/>
      <c r="V43" s="3498">
        <f>I43</f>
        <v>0</v>
      </c>
      <c r="W43" s="3498"/>
      <c r="X43" s="1558"/>
      <c r="Y43" s="1580"/>
      <c r="Z43" s="1558"/>
      <c r="AA43" s="1558"/>
      <c r="AB43" s="1558"/>
      <c r="AC43" s="1558"/>
    </row>
    <row r="44" spans="1:29" ht="15.75" thickBot="1">
      <c r="A44" s="613" t="s">
        <v>2697</v>
      </c>
      <c r="B44" s="614"/>
      <c r="C44" s="615" t="e">
        <f>R45</f>
        <v>#DIV/0!</v>
      </c>
      <c r="D44" s="616"/>
      <c r="E44" s="615" t="e">
        <f>R44</f>
        <v>#DIV/0!</v>
      </c>
      <c r="F44" s="617"/>
      <c r="G44" s="618" t="e">
        <f>T44</f>
        <v>#DIV/0!</v>
      </c>
      <c r="H44" s="616"/>
      <c r="I44" s="615" t="e">
        <f>V44</f>
        <v>#DIV/0!</v>
      </c>
      <c r="J44" s="616"/>
      <c r="K44" s="1339"/>
      <c r="L44" s="2144"/>
      <c r="M44" s="2134"/>
      <c r="N44" s="2134"/>
      <c r="O44" s="2145"/>
      <c r="P44" s="3497" t="str">
        <f>A44</f>
        <v>比较价格（元/平方米）</v>
      </c>
      <c r="Q44" s="3497"/>
      <c r="R44" s="3499" t="e">
        <f>ROUND(PRODUCT(R43,AA9:AA42),0)</f>
        <v>#DIV/0!</v>
      </c>
      <c r="S44" s="3499"/>
      <c r="T44" s="3499" t="e">
        <f>ROUND(PRODUCT(T43,AB9:AB42),0)</f>
        <v>#DIV/0!</v>
      </c>
      <c r="U44" s="3499"/>
      <c r="V44" s="3499" t="e">
        <f>ROUND(PRODUCT(V43,AC9:AC42),0)</f>
        <v>#DIV/0!</v>
      </c>
      <c r="W44" s="3499"/>
      <c r="X44" s="1558"/>
      <c r="Y44" s="1558"/>
      <c r="Z44" s="1558"/>
      <c r="AA44" s="1558"/>
      <c r="AB44" s="1558"/>
      <c r="AC44" s="1558"/>
    </row>
    <row r="45" spans="1:29" ht="15.75" thickBot="1">
      <c r="A45" s="619" t="s">
        <v>2936</v>
      </c>
      <c r="B45" s="620"/>
      <c r="C45" s="621" t="e">
        <f>R45</f>
        <v>#DIV/0!</v>
      </c>
      <c r="D45" s="621"/>
      <c r="E45" s="621"/>
      <c r="F45" s="621"/>
      <c r="G45" s="621"/>
      <c r="H45" s="621"/>
      <c r="I45" s="621"/>
      <c r="J45" s="621"/>
      <c r="K45" s="1340"/>
      <c r="L45" s="2144"/>
      <c r="M45" s="2134"/>
      <c r="N45" s="2134"/>
      <c r="O45" s="2145"/>
      <c r="P45" s="3494" t="str">
        <f>A45</f>
        <v>估价对象XX用房的比较价格（楼面单价，元/平方米）</v>
      </c>
      <c r="Q45" s="3495"/>
      <c r="R45" s="3496" t="e">
        <f>ROUND(AVERAGE(R44:V44),0)</f>
        <v>#DIV/0!</v>
      </c>
      <c r="S45" s="3496"/>
      <c r="T45" s="3496"/>
      <c r="U45" s="3496"/>
      <c r="V45" s="3496"/>
      <c r="W45" s="3496"/>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7" t="s">
        <v>560</v>
      </c>
      <c r="B52" s="628" t="s">
        <v>561</v>
      </c>
      <c r="C52" s="1559" t="s">
        <v>1725</v>
      </c>
      <c r="D52" s="2227" t="s">
        <v>2296</v>
      </c>
      <c r="E52" s="629" t="s">
        <v>562</v>
      </c>
      <c r="F52" s="1951" t="s">
        <v>563</v>
      </c>
      <c r="G52" s="3541" t="s">
        <v>2287</v>
      </c>
      <c r="H52" s="3542"/>
      <c r="I52" s="1952" t="s">
        <v>1948</v>
      </c>
      <c r="J52" s="1554">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1" t="s">
        <v>564</v>
      </c>
      <c r="B53" s="632" t="e">
        <f>C45</f>
        <v>#DIV/0!</v>
      </c>
      <c r="C53" s="633">
        <v>1</v>
      </c>
      <c r="D53" s="2228">
        <v>1</v>
      </c>
      <c r="E53" s="633">
        <f>'数据-汇总表'!E8+'数据-汇总表'!E9</f>
        <v>10000</v>
      </c>
      <c r="F53" s="1950" t="e">
        <f t="shared" ref="F53:F62" si="15">ROUND(B53*E53/10000,0)</f>
        <v>#DIV/0!</v>
      </c>
      <c r="G53" s="3543"/>
      <c r="H53" s="3544"/>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5" t="s">
        <v>565</v>
      </c>
      <c r="B54" s="636" t="e">
        <f>ROUND($C$45*C54*D54,0)</f>
        <v>#DIV/0!</v>
      </c>
      <c r="C54" s="376">
        <f t="shared" ref="C54:C62" si="16">IF($C$52="北京市系数",I54,J54)</f>
        <v>0</v>
      </c>
      <c r="D54" s="2229">
        <v>0.25</v>
      </c>
      <c r="E54" s="637"/>
      <c r="F54" s="1950" t="e">
        <f t="shared" si="15"/>
        <v>#DIV/0!</v>
      </c>
      <c r="G54" s="3545" t="s">
        <v>2288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5" t="s">
        <v>566</v>
      </c>
      <c r="B55" s="636" t="e">
        <f t="shared" ref="B55:B62" si="17">ROUND($C$45*C55*D55,0)</f>
        <v>#DIV/0!</v>
      </c>
      <c r="C55" s="376">
        <f t="shared" si="16"/>
        <v>0</v>
      </c>
      <c r="D55" s="2229">
        <v>0.25</v>
      </c>
      <c r="E55" s="637"/>
      <c r="F55" s="1950" t="e">
        <f t="shared" si="15"/>
        <v>#DIV/0!</v>
      </c>
      <c r="G55" s="3545"/>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5" t="s">
        <v>567</v>
      </c>
      <c r="B56" s="636" t="e">
        <f t="shared" si="17"/>
        <v>#DIV/0!</v>
      </c>
      <c r="C56" s="376">
        <f t="shared" si="16"/>
        <v>0</v>
      </c>
      <c r="D56" s="2229">
        <v>0.25</v>
      </c>
      <c r="E56" s="637"/>
      <c r="F56" s="1950" t="e">
        <f t="shared" si="15"/>
        <v>#DIV/0!</v>
      </c>
      <c r="G56" s="3545"/>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5" t="s">
        <v>568</v>
      </c>
      <c r="B57" s="636" t="e">
        <f t="shared" si="17"/>
        <v>#DIV/0!</v>
      </c>
      <c r="C57" s="376">
        <f t="shared" si="16"/>
        <v>0</v>
      </c>
      <c r="D57" s="2229">
        <v>0.25</v>
      </c>
      <c r="E57" s="637"/>
      <c r="F57" s="1950" t="e">
        <f t="shared" si="15"/>
        <v>#DIV/0!</v>
      </c>
      <c r="G57" s="3545"/>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2331</v>
      </c>
      <c r="B58" s="636" t="e">
        <f t="shared" si="17"/>
        <v>#DIV/0!</v>
      </c>
      <c r="C58" s="376">
        <f t="shared" si="16"/>
        <v>0.3</v>
      </c>
      <c r="D58" s="2229">
        <v>0.25</v>
      </c>
      <c r="E58" s="639">
        <f>'数据-汇总表'!E11</f>
        <v>0</v>
      </c>
      <c r="F58" s="1950" t="e">
        <f t="shared" si="15"/>
        <v>#DIV/0!</v>
      </c>
      <c r="G58" s="1956" t="s">
        <v>2289</v>
      </c>
      <c r="H58" s="1955" t="str">
        <f>项目基本情况!C43</f>
        <v>二级</v>
      </c>
      <c r="I58" s="1953">
        <f>SUMIF(修正!$A$45:$A$56,H58,修正!F45:F56)</f>
        <v>0.3</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5" t="s">
        <v>569</v>
      </c>
      <c r="B59" s="636" t="e">
        <f t="shared" si="17"/>
        <v>#DIV/0!</v>
      </c>
      <c r="C59" s="376">
        <f t="shared" si="16"/>
        <v>0.3</v>
      </c>
      <c r="D59" s="2229">
        <v>0.25</v>
      </c>
      <c r="E59" s="639">
        <f>'数据-汇总表'!E12</f>
        <v>0</v>
      </c>
      <c r="F59" s="1950" t="e">
        <f t="shared" si="15"/>
        <v>#DIV/0!</v>
      </c>
      <c r="G59" s="1946" t="s">
        <v>1678</v>
      </c>
      <c r="H59" s="1954" t="str">
        <f>IF(G59="商业",项目基本情况!B43,IF(G59="办公",项目基本情况!C43,IF(G59="住宅",项目基本情况!D43,项目基本情况!E43)))</f>
        <v>二级</v>
      </c>
      <c r="I59" s="1953">
        <f>SUMIF(修正!$A$45:$A$56,H59,修正!G45:G56)</f>
        <v>0.3</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5" t="s">
        <v>570</v>
      </c>
      <c r="B60" s="636" t="e">
        <f t="shared" si="17"/>
        <v>#DIV/0!</v>
      </c>
      <c r="C60" s="376">
        <f t="shared" si="16"/>
        <v>0</v>
      </c>
      <c r="D60" s="2229">
        <v>0.25</v>
      </c>
      <c r="E60" s="639">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5" t="s">
        <v>571</v>
      </c>
      <c r="B61" s="636" t="e">
        <f t="shared" si="17"/>
        <v>#DIV/0!</v>
      </c>
      <c r="C61" s="376">
        <f t="shared" si="16"/>
        <v>0</v>
      </c>
      <c r="D61" s="2229">
        <v>0.25</v>
      </c>
      <c r="E61" s="639">
        <f>'数据-汇总表'!E14</f>
        <v>0</v>
      </c>
      <c r="F61" s="1950" t="e">
        <f t="shared" si="15"/>
        <v>#DIV/0!</v>
      </c>
      <c r="G61" s="1956" t="s">
        <v>2288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5" t="s">
        <v>572</v>
      </c>
      <c r="B62" s="636" t="e">
        <f t="shared" si="17"/>
        <v>#DIV/0!</v>
      </c>
      <c r="C62" s="376">
        <f t="shared" si="16"/>
        <v>0.25</v>
      </c>
      <c r="D62" s="2229">
        <v>0.25</v>
      </c>
      <c r="E62" s="639">
        <f>'数据-汇总表'!E15</f>
        <v>0</v>
      </c>
      <c r="F62" s="1950" t="e">
        <f t="shared" si="15"/>
        <v>#DIV/0!</v>
      </c>
      <c r="G62" s="1957" t="s">
        <v>2289</v>
      </c>
      <c r="H62" s="1958" t="str">
        <f>项目基本情况!C43</f>
        <v>二级</v>
      </c>
      <c r="I62" s="1953">
        <f>SUMIF(修正!$A$45:$A$56,H62,修正!H45:H56)</f>
        <v>0.25</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0" t="s">
        <v>573</v>
      </c>
      <c r="B63" s="641" t="s">
        <v>17</v>
      </c>
      <c r="C63" s="641" t="s">
        <v>18</v>
      </c>
      <c r="D63" s="641" t="s">
        <v>2297</v>
      </c>
      <c r="E63" s="641">
        <f>IF(B43="楼面地价",SUM(E53:E62),'数据-汇总表'!D3)</f>
        <v>2079.0700000000002</v>
      </c>
      <c r="F63" s="642"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90" t="s">
        <v>2537</v>
      </c>
      <c r="B67" s="644"/>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9"/>
      <c r="P67" s="2160"/>
      <c r="Q67" s="2161"/>
      <c r="R67" s="2161"/>
      <c r="S67" s="2161"/>
      <c r="T67" s="2161"/>
      <c r="U67" s="2161"/>
      <c r="V67" s="2161"/>
      <c r="W67" s="2161"/>
      <c r="X67" s="2161"/>
      <c r="Y67" s="2161"/>
      <c r="Z67" s="2161"/>
      <c r="AA67" s="2161"/>
      <c r="AB67" s="2161"/>
      <c r="AC67" s="2161"/>
    </row>
    <row r="68" spans="1:29" s="1218" customFormat="1" ht="27.75" customHeight="1">
      <c r="A68" s="2820" t="s">
        <v>2653</v>
      </c>
      <c r="B68" s="477" t="str">
        <f>"北京市平均增长率"&amp;TEXT(基准地价!P24,"0.00%")</f>
        <v>北京市平均增长率1.35%</v>
      </c>
      <c r="C68" s="892">
        <v>100</v>
      </c>
      <c r="D68" s="728"/>
      <c r="E68" s="728"/>
      <c r="F68" s="728"/>
      <c r="G68" s="728"/>
      <c r="H68" s="728"/>
      <c r="I68" s="728"/>
      <c r="J68" s="728"/>
      <c r="K68" s="728"/>
      <c r="L68" s="728"/>
      <c r="M68" s="2814"/>
      <c r="N68" s="2815"/>
      <c r="O68" s="2162"/>
      <c r="P68" s="2158"/>
      <c r="Q68" s="1993"/>
      <c r="R68" s="1993"/>
      <c r="S68" s="1993"/>
      <c r="T68" s="1993"/>
      <c r="U68" s="1993"/>
      <c r="V68" s="1993"/>
      <c r="W68" s="1993"/>
      <c r="X68" s="1993"/>
      <c r="Y68" s="1993"/>
      <c r="Z68" s="1993"/>
      <c r="AA68" s="1993"/>
      <c r="AB68" s="1993"/>
      <c r="AC68" s="1993"/>
    </row>
    <row r="69" spans="1:29" s="1218" customFormat="1" ht="15.75" thickBot="1">
      <c r="A69" s="651" t="s">
        <v>575</v>
      </c>
      <c r="B69" s="652"/>
      <c r="C69" s="2812"/>
      <c r="D69" s="2813"/>
      <c r="E69" s="2813"/>
      <c r="F69" s="2813"/>
      <c r="G69" s="2813"/>
      <c r="H69" s="2813"/>
      <c r="I69" s="2813"/>
      <c r="J69" s="2813"/>
      <c r="K69" s="2813"/>
      <c r="L69" s="2813"/>
      <c r="M69" s="2813"/>
      <c r="N69" s="2813"/>
      <c r="O69" s="2162"/>
      <c r="P69" s="2158"/>
      <c r="Q69" s="2158"/>
      <c r="R69" s="1993"/>
      <c r="S69" s="1993"/>
      <c r="T69" s="1993"/>
      <c r="U69" s="1993"/>
      <c r="V69" s="1993"/>
      <c r="W69" s="1993"/>
      <c r="X69" s="1993"/>
      <c r="Y69" s="1993"/>
      <c r="Z69" s="1993"/>
      <c r="AA69" s="1993"/>
      <c r="AB69" s="1993"/>
      <c r="AC69" s="1993"/>
    </row>
    <row r="70" spans="1:29" s="1218" customFormat="1" ht="15">
      <c r="A70" s="657" t="s">
        <v>531</v>
      </c>
      <c r="B70" s="646"/>
      <c r="C70" s="658" t="s">
        <v>576</v>
      </c>
      <c r="D70" s="659"/>
      <c r="E70" s="659"/>
      <c r="F70" s="659"/>
      <c r="G70" s="659"/>
      <c r="H70" s="659"/>
      <c r="I70" s="659"/>
      <c r="J70" s="659"/>
      <c r="K70" s="659"/>
      <c r="L70" s="660"/>
      <c r="M70" s="661"/>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7"/>
      <c r="B71" s="646"/>
      <c r="C71" s="647">
        <v>100</v>
      </c>
      <c r="D71" s="648"/>
      <c r="E71" s="648"/>
      <c r="F71" s="648"/>
      <c r="G71" s="648"/>
      <c r="H71" s="648"/>
      <c r="I71" s="648"/>
      <c r="J71" s="648"/>
      <c r="K71" s="648"/>
      <c r="L71" s="648"/>
      <c r="M71" s="650"/>
      <c r="N71" s="2162"/>
      <c r="O71" s="2162"/>
      <c r="P71" s="2158"/>
      <c r="Q71" s="2158"/>
      <c r="R71" s="1993"/>
      <c r="S71" s="1993"/>
      <c r="T71" s="1993"/>
      <c r="U71" s="1993"/>
      <c r="V71" s="1993"/>
      <c r="W71" s="1993"/>
      <c r="X71" s="1993"/>
      <c r="Y71" s="1993"/>
      <c r="Z71" s="1993"/>
      <c r="AA71" s="1993"/>
      <c r="AB71" s="1993"/>
      <c r="AC71" s="1993"/>
    </row>
    <row r="72" spans="1:29">
      <c r="A72" s="662" t="s">
        <v>577</v>
      </c>
      <c r="B72" s="663" t="s">
        <v>534</v>
      </c>
      <c r="C72" s="596"/>
      <c r="D72" s="596"/>
      <c r="E72" s="596"/>
      <c r="F72" s="596"/>
      <c r="G72" s="596"/>
      <c r="H72" s="596"/>
      <c r="I72" s="596"/>
      <c r="J72" s="596"/>
      <c r="K72" s="664"/>
      <c r="L72" s="665"/>
      <c r="M72" s="666"/>
      <c r="N72" s="2164"/>
      <c r="O72" s="2164"/>
      <c r="P72" s="2165"/>
      <c r="Q72" s="2158"/>
      <c r="R72" s="2145"/>
      <c r="S72" s="2145"/>
      <c r="T72" s="2145"/>
      <c r="U72" s="2145"/>
      <c r="V72" s="2145"/>
      <c r="W72" s="2145"/>
      <c r="X72" s="2145"/>
      <c r="Y72" s="2145"/>
      <c r="Z72" s="2145"/>
      <c r="AA72" s="2145"/>
      <c r="AB72" s="2145"/>
      <c r="AC72" s="2145"/>
    </row>
    <row r="73" spans="1:29" ht="15.75" thickBot="1">
      <c r="A73" s="667"/>
      <c r="B73" s="668"/>
      <c r="C73" s="669"/>
      <c r="D73" s="669"/>
      <c r="E73" s="669"/>
      <c r="F73" s="669"/>
      <c r="G73" s="669"/>
      <c r="H73" s="669"/>
      <c r="I73" s="669"/>
      <c r="J73" s="669"/>
      <c r="K73" s="669"/>
      <c r="L73" s="669"/>
      <c r="M73" s="670"/>
      <c r="N73" s="2166"/>
      <c r="O73" s="2166"/>
      <c r="P73" s="2165"/>
      <c r="Q73" s="2158"/>
      <c r="R73" s="2145"/>
      <c r="S73" s="2145"/>
      <c r="T73" s="2145"/>
      <c r="U73" s="2145"/>
      <c r="V73" s="2145"/>
      <c r="W73" s="2145"/>
      <c r="X73" s="2145"/>
      <c r="Y73" s="2145"/>
      <c r="Z73" s="2145"/>
      <c r="AA73" s="2145"/>
      <c r="AB73" s="2145"/>
      <c r="AC73" s="2145"/>
    </row>
    <row r="74" spans="1:29" ht="27.75" thickTop="1">
      <c r="A74" s="667"/>
      <c r="B74" s="671" t="s">
        <v>537</v>
      </c>
      <c r="C74" s="672"/>
      <c r="D74" s="672"/>
      <c r="E74" s="672"/>
      <c r="F74" s="672"/>
      <c r="G74" s="672"/>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c r="D75" s="677"/>
      <c r="E75" s="677"/>
      <c r="F75" s="677"/>
      <c r="G75" s="677"/>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7"/>
      <c r="B77" s="681"/>
      <c r="C77" s="539"/>
      <c r="D77" s="539"/>
      <c r="E77" s="539"/>
      <c r="F77" s="539"/>
      <c r="G77" s="539"/>
      <c r="H77" s="539"/>
      <c r="I77" s="539"/>
      <c r="J77" s="539"/>
      <c r="K77" s="682"/>
      <c r="L77" s="683"/>
      <c r="M77" s="684"/>
      <c r="N77" s="2164"/>
      <c r="O77" s="2164"/>
      <c r="P77" s="2165"/>
      <c r="Q77" s="2158"/>
      <c r="R77" s="2145"/>
      <c r="S77" s="2145"/>
      <c r="T77" s="2145"/>
      <c r="U77" s="2145"/>
      <c r="V77" s="2145"/>
      <c r="W77" s="2145"/>
      <c r="X77" s="2145"/>
      <c r="Y77" s="2145"/>
      <c r="Z77" s="2145"/>
      <c r="AA77" s="2145"/>
      <c r="AB77" s="2145"/>
      <c r="AC77" s="2145"/>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5"/>
      <c r="B79" s="671">
        <f>B14</f>
        <v>111</v>
      </c>
      <c r="C79" s="686"/>
      <c r="D79" s="686"/>
      <c r="E79" s="686"/>
      <c r="F79" s="686"/>
      <c r="G79" s="686"/>
      <c r="H79" s="687"/>
      <c r="I79" s="687"/>
      <c r="J79" s="687"/>
      <c r="K79" s="687"/>
      <c r="L79" s="688"/>
      <c r="M79" s="689"/>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5"/>
      <c r="B80" s="676"/>
      <c r="C80" s="690"/>
      <c r="D80" s="669"/>
      <c r="E80" s="669"/>
      <c r="F80" s="669"/>
      <c r="G80" s="669"/>
      <c r="H80" s="669"/>
      <c r="I80" s="669"/>
      <c r="J80" s="669"/>
      <c r="K80" s="669"/>
      <c r="L80" s="669"/>
      <c r="M80" s="670"/>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5"/>
      <c r="B81" s="671">
        <f>B15</f>
        <v>111</v>
      </c>
      <c r="C81" s="686"/>
      <c r="D81" s="686"/>
      <c r="E81" s="686"/>
      <c r="F81" s="686"/>
      <c r="G81" s="686"/>
      <c r="H81" s="687"/>
      <c r="I81" s="687"/>
      <c r="J81" s="687"/>
      <c r="K81" s="687"/>
      <c r="L81" s="688"/>
      <c r="M81" s="689"/>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5"/>
      <c r="B82" s="676"/>
      <c r="C82" s="690"/>
      <c r="D82" s="690"/>
      <c r="E82" s="690"/>
      <c r="F82" s="690"/>
      <c r="G82" s="690"/>
      <c r="H82" s="691"/>
      <c r="I82" s="691"/>
      <c r="J82" s="691"/>
      <c r="K82" s="691"/>
      <c r="L82" s="691"/>
      <c r="M82" s="692"/>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5"/>
      <c r="B83" s="679">
        <f>B16</f>
        <v>111</v>
      </c>
      <c r="C83" s="659"/>
      <c r="D83" s="659"/>
      <c r="E83" s="659"/>
      <c r="F83" s="659"/>
      <c r="G83" s="659"/>
      <c r="H83" s="693"/>
      <c r="I83" s="693"/>
      <c r="J83" s="693"/>
      <c r="K83" s="693"/>
      <c r="L83" s="694"/>
      <c r="M83" s="695"/>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6"/>
      <c r="B84" s="697"/>
      <c r="C84" s="698"/>
      <c r="D84" s="698"/>
      <c r="E84" s="698"/>
      <c r="F84" s="698"/>
      <c r="G84" s="698"/>
      <c r="H84" s="699"/>
      <c r="I84" s="699"/>
      <c r="J84" s="699"/>
      <c r="K84" s="699"/>
      <c r="L84" s="699"/>
      <c r="M84" s="700"/>
      <c r="N84" s="2167"/>
      <c r="O84" s="2167"/>
      <c r="P84" s="2168"/>
      <c r="Q84" s="2169"/>
      <c r="R84" s="2170"/>
      <c r="S84" s="2170"/>
      <c r="T84" s="2170"/>
      <c r="U84" s="2170"/>
      <c r="V84" s="2170"/>
      <c r="W84" s="2170"/>
      <c r="X84" s="2170"/>
      <c r="Y84" s="2170"/>
      <c r="Z84" s="2170"/>
      <c r="AA84" s="2170"/>
      <c r="AB84" s="2170"/>
      <c r="AC84" s="2170"/>
    </row>
    <row r="85" spans="1:29">
      <c r="A85" s="662" t="s">
        <v>539</v>
      </c>
      <c r="B85" s="663" t="s">
        <v>602</v>
      </c>
      <c r="C85" s="701" t="s">
        <v>579</v>
      </c>
      <c r="D85" s="701" t="s">
        <v>580</v>
      </c>
      <c r="E85" s="701" t="s">
        <v>581</v>
      </c>
      <c r="F85" s="701" t="s">
        <v>582</v>
      </c>
      <c r="G85" s="701" t="s">
        <v>583</v>
      </c>
      <c r="H85" s="702"/>
      <c r="I85" s="702"/>
      <c r="J85" s="702"/>
      <c r="K85" s="703"/>
      <c r="L85" s="704"/>
      <c r="M85" s="705"/>
      <c r="N85" s="2164"/>
      <c r="O85" s="2164"/>
      <c r="P85" s="2174"/>
      <c r="Q85" s="2158"/>
      <c r="R85" s="2145"/>
      <c r="S85" s="2145"/>
      <c r="T85" s="2145"/>
      <c r="U85" s="2145"/>
      <c r="V85" s="2145"/>
      <c r="W85" s="2145"/>
      <c r="X85" s="2145"/>
      <c r="Y85" s="2145"/>
      <c r="Z85" s="2145"/>
      <c r="AA85" s="2145"/>
      <c r="AB85" s="2145"/>
      <c r="AC85" s="2145"/>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6"/>
      <c r="O86" s="2166"/>
      <c r="P86" s="2165"/>
      <c r="Q86" s="2158"/>
      <c r="R86" s="2145"/>
      <c r="S86" s="2145"/>
      <c r="T86" s="2145"/>
      <c r="U86" s="2145"/>
      <c r="V86" s="2145"/>
      <c r="W86" s="2145"/>
      <c r="X86" s="2145"/>
      <c r="Y86" s="2145"/>
      <c r="Z86" s="2145"/>
      <c r="AA86" s="2145"/>
      <c r="AB86" s="2145"/>
      <c r="AC86" s="2145"/>
    </row>
    <row r="87" spans="1:29" ht="15.75" thickTop="1">
      <c r="A87" s="667"/>
      <c r="B87" s="671" t="s">
        <v>586</v>
      </c>
      <c r="C87" s="706" t="s">
        <v>579</v>
      </c>
      <c r="D87" s="706" t="s">
        <v>580</v>
      </c>
      <c r="E87" s="706" t="s">
        <v>581</v>
      </c>
      <c r="F87" s="706" t="s">
        <v>582</v>
      </c>
      <c r="G87" s="706" t="s">
        <v>583</v>
      </c>
      <c r="H87" s="672"/>
      <c r="I87" s="672"/>
      <c r="J87" s="672"/>
      <c r="K87" s="673"/>
      <c r="L87" s="674"/>
      <c r="M87" s="675"/>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7"/>
      <c r="B89" s="671" t="s">
        <v>587</v>
      </c>
      <c r="C89" s="706" t="s">
        <v>579</v>
      </c>
      <c r="D89" s="706" t="s">
        <v>580</v>
      </c>
      <c r="E89" s="706" t="s">
        <v>581</v>
      </c>
      <c r="F89" s="706" t="s">
        <v>582</v>
      </c>
      <c r="G89" s="706" t="s">
        <v>583</v>
      </c>
      <c r="H89" s="706"/>
      <c r="I89" s="706"/>
      <c r="J89" s="706"/>
      <c r="K89" s="706"/>
      <c r="L89" s="708"/>
      <c r="M89" s="709"/>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7"/>
      <c r="B91" s="671" t="s">
        <v>588</v>
      </c>
      <c r="C91" s="701" t="s">
        <v>579</v>
      </c>
      <c r="D91" s="701" t="s">
        <v>580</v>
      </c>
      <c r="E91" s="701" t="s">
        <v>581</v>
      </c>
      <c r="F91" s="701" t="s">
        <v>582</v>
      </c>
      <c r="G91" s="701" t="s">
        <v>583</v>
      </c>
      <c r="H91" s="706"/>
      <c r="I91" s="706"/>
      <c r="J91" s="706"/>
      <c r="K91" s="706"/>
      <c r="L91" s="706"/>
      <c r="M91" s="709"/>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5"/>
      <c r="B93" s="1896" t="s">
        <v>2552</v>
      </c>
      <c r="C93" s="701" t="s">
        <v>579</v>
      </c>
      <c r="D93" s="701" t="s">
        <v>580</v>
      </c>
      <c r="E93" s="701" t="s">
        <v>581</v>
      </c>
      <c r="F93" s="701" t="s">
        <v>582</v>
      </c>
      <c r="G93" s="701" t="s">
        <v>583</v>
      </c>
      <c r="H93" s="711"/>
      <c r="I93" s="711"/>
      <c r="J93" s="711"/>
      <c r="K93" s="711"/>
      <c r="L93" s="712"/>
      <c r="M93" s="713"/>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5"/>
      <c r="B95" s="2619" t="s">
        <v>2554</v>
      </c>
      <c r="C95" s="2620" t="s">
        <v>2555</v>
      </c>
      <c r="D95" s="2620" t="s">
        <v>2556</v>
      </c>
      <c r="E95" s="2620" t="s">
        <v>2557</v>
      </c>
      <c r="F95" s="2620" t="s">
        <v>2558</v>
      </c>
      <c r="G95" s="2620" t="s">
        <v>2559</v>
      </c>
      <c r="H95" s="711"/>
      <c r="I95" s="711"/>
      <c r="J95" s="711"/>
      <c r="K95" s="711"/>
      <c r="L95" s="711"/>
      <c r="M95" s="713"/>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2"/>
      <c r="N96" s="2167"/>
      <c r="O96" s="2167"/>
      <c r="P96" s="2168"/>
      <c r="Q96" s="2169"/>
      <c r="R96" s="2170"/>
      <c r="S96" s="2170"/>
      <c r="T96" s="2170"/>
      <c r="U96" s="2170"/>
      <c r="V96" s="2170"/>
      <c r="W96" s="2170"/>
      <c r="X96" s="2170"/>
      <c r="Y96" s="2170"/>
      <c r="Z96" s="2170"/>
      <c r="AA96" s="2170"/>
      <c r="AB96" s="2170"/>
      <c r="AC96" s="2170"/>
    </row>
    <row r="97" spans="1:29" ht="15.75" thickTop="1">
      <c r="A97" s="667"/>
      <c r="B97" s="671" t="str">
        <f>B29</f>
        <v>临街状况</v>
      </c>
      <c r="C97" s="672" t="s">
        <v>589</v>
      </c>
      <c r="D97" s="672" t="s">
        <v>590</v>
      </c>
      <c r="E97" s="672" t="s">
        <v>591</v>
      </c>
      <c r="F97" s="672" t="s">
        <v>592</v>
      </c>
      <c r="G97" s="672"/>
      <c r="H97" s="672"/>
      <c r="I97" s="672"/>
      <c r="J97" s="672"/>
      <c r="K97" s="673"/>
      <c r="L97" s="674"/>
      <c r="M97" s="675"/>
      <c r="N97" s="2164"/>
      <c r="O97" s="2164"/>
      <c r="P97" s="2165"/>
      <c r="Q97" s="2158"/>
      <c r="R97" s="2145"/>
      <c r="S97" s="2145"/>
      <c r="T97" s="2145"/>
      <c r="U97" s="2145"/>
      <c r="V97" s="2145"/>
      <c r="W97" s="2145"/>
      <c r="X97" s="2145"/>
      <c r="Y97" s="2145"/>
      <c r="Z97" s="2145"/>
      <c r="AA97" s="2145"/>
      <c r="AB97" s="2145"/>
      <c r="AC97" s="2145"/>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7"/>
      <c r="B99" s="671" t="s">
        <v>548</v>
      </c>
      <c r="C99" s="686"/>
      <c r="D99" s="686"/>
      <c r="E99" s="686"/>
      <c r="F99" s="686"/>
      <c r="G99" s="686"/>
      <c r="H99" s="716"/>
      <c r="I99" s="716"/>
      <c r="J99" s="716"/>
      <c r="K99" s="717"/>
      <c r="L99" s="718"/>
      <c r="M99" s="719"/>
      <c r="N99" s="2164"/>
      <c r="O99" s="2164"/>
      <c r="P99" s="2165"/>
      <c r="Q99" s="2158"/>
      <c r="R99" s="2145"/>
      <c r="S99" s="2145"/>
      <c r="T99" s="2145"/>
      <c r="U99" s="2145"/>
      <c r="V99" s="2145"/>
      <c r="W99" s="2145"/>
      <c r="X99" s="2145"/>
      <c r="Y99" s="2145"/>
      <c r="Z99" s="2145"/>
      <c r="AA99" s="2145"/>
      <c r="AB99" s="2145"/>
      <c r="AC99" s="2145"/>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7"/>
      <c r="B101" s="671" t="s">
        <v>549</v>
      </c>
      <c r="C101" s="716"/>
      <c r="D101" s="716"/>
      <c r="E101" s="716"/>
      <c r="F101" s="716"/>
      <c r="G101" s="716"/>
      <c r="H101" s="716"/>
      <c r="I101" s="716"/>
      <c r="J101" s="716"/>
      <c r="K101" s="717"/>
      <c r="L101" s="718"/>
      <c r="M101" s="71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7"/>
      <c r="B103" s="679">
        <f>B33</f>
        <v>111</v>
      </c>
      <c r="C103" s="686"/>
      <c r="D103" s="686"/>
      <c r="E103" s="686"/>
      <c r="F103" s="686"/>
      <c r="G103" s="720"/>
      <c r="H103" s="720"/>
      <c r="I103" s="720"/>
      <c r="J103" s="720"/>
      <c r="K103" s="721"/>
      <c r="L103" s="722"/>
      <c r="M103" s="723"/>
      <c r="N103" s="2164"/>
      <c r="O103" s="2164"/>
      <c r="P103" s="2165"/>
      <c r="Q103" s="2158"/>
      <c r="R103" s="2145"/>
      <c r="S103" s="2145"/>
      <c r="T103" s="2145"/>
      <c r="U103" s="2145"/>
      <c r="V103" s="2145"/>
      <c r="W103" s="2145"/>
      <c r="X103" s="2145"/>
      <c r="Y103" s="2145"/>
      <c r="Z103" s="2145"/>
      <c r="AA103" s="2145"/>
      <c r="AB103" s="2145"/>
      <c r="AC103" s="2145"/>
    </row>
    <row r="104" spans="1:29" ht="15.75" thickBot="1">
      <c r="A104" s="667"/>
      <c r="B104" s="697"/>
      <c r="C104" s="690"/>
      <c r="D104" s="669"/>
      <c r="E104" s="669"/>
      <c r="F104" s="669"/>
      <c r="G104" s="724"/>
      <c r="H104" s="724"/>
      <c r="I104" s="724"/>
      <c r="J104" s="724"/>
      <c r="K104" s="724"/>
      <c r="L104" s="724"/>
      <c r="M104" s="725"/>
      <c r="N104" s="2166"/>
      <c r="O104" s="2166"/>
      <c r="P104" s="2165"/>
      <c r="Q104" s="2158"/>
      <c r="R104" s="2145"/>
      <c r="S104" s="2145"/>
      <c r="T104" s="2145"/>
      <c r="U104" s="2145"/>
      <c r="V104" s="2145"/>
      <c r="W104" s="2145"/>
      <c r="X104" s="2145"/>
      <c r="Y104" s="2145"/>
      <c r="Z104" s="2145"/>
      <c r="AA104" s="2145"/>
      <c r="AB104" s="2145"/>
      <c r="AC104" s="2145"/>
    </row>
    <row r="105" spans="1:29" ht="15" thickTop="1">
      <c r="A105" s="585"/>
      <c r="B105" s="671">
        <f>B34</f>
        <v>111</v>
      </c>
      <c r="C105" s="686"/>
      <c r="D105" s="686"/>
      <c r="E105" s="686"/>
      <c r="F105" s="68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90"/>
      <c r="D106" s="690"/>
      <c r="E106" s="690"/>
      <c r="F106" s="690"/>
      <c r="G106" s="669"/>
      <c r="H106" s="669"/>
      <c r="I106" s="669"/>
      <c r="J106" s="669"/>
      <c r="K106" s="669"/>
      <c r="L106" s="669"/>
      <c r="M106" s="670"/>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6"/>
      <c r="B107" s="727">
        <f>B35</f>
        <v>111</v>
      </c>
      <c r="C107" s="659"/>
      <c r="D107" s="659"/>
      <c r="E107" s="659"/>
      <c r="F107" s="659"/>
      <c r="G107" s="728"/>
      <c r="H107" s="728"/>
      <c r="I107" s="728"/>
      <c r="J107" s="729"/>
      <c r="K107" s="729"/>
      <c r="L107" s="730"/>
      <c r="M107" s="731"/>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5"/>
      <c r="B108" s="679"/>
      <c r="C108" s="698"/>
      <c r="D108" s="698"/>
      <c r="E108" s="698"/>
      <c r="F108" s="698"/>
      <c r="G108" s="590"/>
      <c r="H108" s="590"/>
      <c r="I108" s="590"/>
      <c r="J108" s="590"/>
      <c r="K108" s="590"/>
      <c r="L108" s="590"/>
      <c r="M108" s="732"/>
      <c r="N108" s="2166"/>
      <c r="O108" s="2166"/>
      <c r="P108" s="2168"/>
      <c r="Q108" s="2169"/>
      <c r="R108" s="2170"/>
      <c r="S108" s="2170"/>
      <c r="T108" s="2170"/>
      <c r="U108" s="2170"/>
      <c r="V108" s="2170"/>
      <c r="W108" s="2170"/>
      <c r="X108" s="2170"/>
      <c r="Y108" s="2170"/>
      <c r="Z108" s="2170"/>
      <c r="AA108" s="2170"/>
      <c r="AB108" s="2170"/>
      <c r="AC108" s="2170"/>
    </row>
    <row r="109" spans="1:29">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5" t="str">
        <f t="shared" si="25"/>
        <v>(含)-</v>
      </c>
      <c r="L109" s="3116" t="str">
        <f t="shared" si="25"/>
        <v>(含)-</v>
      </c>
      <c r="M109" s="311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7"/>
      <c r="B110" s="679"/>
      <c r="C110" s="728"/>
      <c r="D110" s="728"/>
      <c r="E110" s="728"/>
      <c r="F110" s="728"/>
      <c r="G110" s="728"/>
      <c r="H110" s="728"/>
      <c r="I110" s="728"/>
      <c r="J110" s="729"/>
      <c r="K110" s="729"/>
      <c r="L110" s="730"/>
      <c r="M110" s="731"/>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8"/>
      <c r="D111" s="724"/>
      <c r="E111" s="724"/>
      <c r="F111" s="724"/>
      <c r="G111" s="724"/>
      <c r="H111" s="724"/>
      <c r="I111" s="724"/>
      <c r="J111" s="724"/>
      <c r="K111" s="724"/>
      <c r="L111" s="724"/>
      <c r="M111" s="725"/>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1" t="s">
        <v>594</v>
      </c>
      <c r="C112" s="716"/>
      <c r="D112" s="716"/>
      <c r="E112" s="716"/>
      <c r="F112" s="716"/>
      <c r="G112" s="716"/>
      <c r="H112" s="716"/>
      <c r="I112" s="716"/>
      <c r="J112" s="716"/>
      <c r="K112" s="717"/>
      <c r="L112" s="718"/>
      <c r="M112" s="719"/>
      <c r="N112" s="2164"/>
      <c r="O112" s="2164"/>
      <c r="P112" s="2165"/>
      <c r="Q112" s="2158"/>
      <c r="R112" s="2145"/>
      <c r="S112" s="2145"/>
      <c r="T112" s="2145"/>
      <c r="U112" s="2145"/>
      <c r="V112" s="2145"/>
      <c r="W112" s="2145"/>
      <c r="X112" s="2145"/>
      <c r="Y112" s="2145"/>
      <c r="Z112" s="2145"/>
      <c r="AA112" s="2145"/>
      <c r="AB112" s="2145"/>
      <c r="AC112" s="2145"/>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6"/>
      <c r="B114" s="1896" t="s">
        <v>2429</v>
      </c>
      <c r="C114" s="1374"/>
      <c r="D114" s="1374"/>
      <c r="E114" s="1374"/>
      <c r="F114" s="1374"/>
      <c r="G114" s="1374"/>
      <c r="H114" s="716"/>
      <c r="I114" s="716"/>
      <c r="J114" s="716"/>
      <c r="K114" s="717"/>
      <c r="L114" s="718"/>
      <c r="M114" s="719"/>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3"/>
      <c r="B116" s="671" t="s">
        <v>596</v>
      </c>
      <c r="C116" s="686"/>
      <c r="D116" s="686"/>
      <c r="E116" s="716"/>
      <c r="F116" s="716"/>
      <c r="G116" s="71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f>B40</f>
        <v>111</v>
      </c>
      <c r="C118" s="686"/>
      <c r="D118" s="686"/>
      <c r="E118" s="686"/>
      <c r="F118" s="686"/>
      <c r="G118" s="68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ht="15" thickTop="1">
      <c r="A120" s="733"/>
      <c r="B120" s="671">
        <f>B41</f>
        <v>111</v>
      </c>
      <c r="C120" s="686"/>
      <c r="D120" s="686"/>
      <c r="E120" s="686"/>
      <c r="F120" s="686"/>
      <c r="G120" s="716"/>
      <c r="H120" s="716"/>
      <c r="I120" s="716"/>
      <c r="J120" s="716"/>
      <c r="K120" s="717"/>
      <c r="L120" s="718"/>
      <c r="M120" s="719"/>
      <c r="N120" s="2164"/>
      <c r="O120" s="2164"/>
      <c r="P120" s="2165"/>
      <c r="Q120" s="2158"/>
      <c r="R120" s="2145"/>
      <c r="S120" s="2145"/>
      <c r="T120" s="2145"/>
      <c r="U120" s="2145"/>
      <c r="V120" s="2145"/>
      <c r="W120" s="2145"/>
      <c r="X120" s="2145"/>
      <c r="Y120" s="2145"/>
      <c r="Z120" s="2145"/>
      <c r="AA120" s="2145"/>
      <c r="AB120" s="2145"/>
      <c r="AC120" s="2145"/>
    </row>
    <row r="121" spans="1:29" ht="15.75" thickBot="1">
      <c r="A121" s="667"/>
      <c r="B121" s="676"/>
      <c r="C121" s="690"/>
      <c r="D121" s="690"/>
      <c r="E121" s="690"/>
      <c r="F121" s="690"/>
      <c r="G121" s="669"/>
      <c r="H121" s="669"/>
      <c r="I121" s="669"/>
      <c r="J121" s="669"/>
      <c r="K121" s="669"/>
      <c r="L121" s="669"/>
      <c r="M121" s="670"/>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6"/>
      <c r="B122" s="671">
        <f>B42</f>
        <v>111</v>
      </c>
      <c r="C122" s="659"/>
      <c r="D122" s="659"/>
      <c r="E122" s="659"/>
      <c r="F122" s="659"/>
      <c r="G122" s="687"/>
      <c r="H122" s="687"/>
      <c r="I122" s="687"/>
      <c r="J122" s="687"/>
      <c r="K122" s="687"/>
      <c r="L122" s="688"/>
      <c r="M122" s="689"/>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6"/>
      <c r="B123" s="734"/>
      <c r="C123" s="698"/>
      <c r="D123" s="698"/>
      <c r="E123" s="698"/>
      <c r="F123" s="698"/>
      <c r="G123" s="724"/>
      <c r="H123" s="724"/>
      <c r="I123" s="724"/>
      <c r="J123" s="724"/>
      <c r="K123" s="724"/>
      <c r="L123" s="724"/>
      <c r="M123" s="725"/>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5" priority="14" stopIfTrue="1" operator="containsText" text="超过">
      <formula>NOT(ISERROR(SEARCH("超过",F48)))</formula>
    </cfRule>
  </conditionalFormatting>
  <conditionalFormatting sqref="J50">
    <cfRule type="containsText" dxfId="114" priority="13" stopIfTrue="1" operator="containsText" text="超过">
      <formula>NOT(ISERROR(SEARCH("超过",J50)))</formula>
    </cfRule>
  </conditionalFormatting>
  <conditionalFormatting sqref="H50">
    <cfRule type="containsText" dxfId="113" priority="12" stopIfTrue="1" operator="containsText" text="超过">
      <formula>NOT(ISERROR(SEARCH("超过",H50)))</formula>
    </cfRule>
  </conditionalFormatting>
  <conditionalFormatting sqref="F50">
    <cfRule type="containsText" dxfId="112" priority="11" stopIfTrue="1" operator="containsText" text="超过">
      <formula>NOT(ISERROR(SEARCH("超过",F50)))</formula>
    </cfRule>
  </conditionalFormatting>
  <conditionalFormatting sqref="F49 H49 J49">
    <cfRule type="containsText" dxfId="111" priority="10" stopIfTrue="1" operator="containsText" text="超过">
      <formula>NOT(ISERROR(SEARCH("超过",F49)))</formula>
    </cfRule>
  </conditionalFormatting>
  <conditionalFormatting sqref="E48">
    <cfRule type="expression" dxfId="110" priority="9" stopIfTrue="1">
      <formula>$F$48="超过30%"</formula>
    </cfRule>
  </conditionalFormatting>
  <conditionalFormatting sqref="G50">
    <cfRule type="expression" dxfId="109" priority="8" stopIfTrue="1">
      <formula>$H$50="超过30%"</formula>
    </cfRule>
  </conditionalFormatting>
  <conditionalFormatting sqref="E50">
    <cfRule type="expression" dxfId="108" priority="6" stopIfTrue="1">
      <formula>$F$50="超过30%"</formula>
    </cfRule>
  </conditionalFormatting>
  <conditionalFormatting sqref="G48">
    <cfRule type="expression" dxfId="107" priority="5" stopIfTrue="1">
      <formula>$H$48="超过30%"</formula>
    </cfRule>
  </conditionalFormatting>
  <conditionalFormatting sqref="G49">
    <cfRule type="expression" dxfId="106" priority="4" stopIfTrue="1">
      <formula>$H$49="超过20%"</formula>
    </cfRule>
  </conditionalFormatting>
  <conditionalFormatting sqref="I48">
    <cfRule type="expression" dxfId="105" priority="3" stopIfTrue="1">
      <formula>$J$48="超过30%"</formula>
    </cfRule>
  </conditionalFormatting>
  <conditionalFormatting sqref="I49">
    <cfRule type="expression" dxfId="104" priority="2" stopIfTrue="1">
      <formula>$J$49="超过20%"</formula>
    </cfRule>
  </conditionalFormatting>
  <conditionalFormatting sqref="I50">
    <cfRule type="expression" dxfId="103" priority="1" stopIfTrue="1">
      <formula>$J$50="超过30%"</formula>
    </cfRule>
  </conditionalFormatting>
  <conditionalFormatting sqref="E49">
    <cfRule type="expression" dxfId="10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tabColor rgb="FF92D050"/>
  </sheetPr>
  <dimension ref="A1:AN118"/>
  <sheetViews>
    <sheetView topLeftCell="A13" zoomScale="90" zoomScaleNormal="90" workbookViewId="0">
      <selection activeCell="C20" sqref="C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2430</v>
      </c>
      <c r="D1" s="1520">
        <f>SUM(D29:D30,D33:D39)</f>
        <v>10000</v>
      </c>
      <c r="E1" s="1405" t="s">
        <v>2431</v>
      </c>
      <c r="F1" s="2474">
        <f>'数据-基础表'!A3</f>
        <v>2079.0700000000002</v>
      </c>
      <c r="G1" s="1400"/>
      <c r="H1" s="1400"/>
      <c r="I1" s="1400"/>
      <c r="J1" s="1400"/>
      <c r="K1" s="1400"/>
      <c r="L1" s="1882" t="s">
        <v>2241</v>
      </c>
      <c r="M1" s="1883">
        <f>SUMPRODUCT((区片价!B5:B9=I2)*(区片价!C3:F3=E2)*(区片价!C5:F9))</f>
        <v>0</v>
      </c>
      <c r="N1" s="1884">
        <f>SUMPRODUCT((因素修正幅度!B5:B9=I2)*(因素修正幅度!C3:F3=E2)*(因素修正幅度!C5:F9))</f>
        <v>0</v>
      </c>
      <c r="O1" s="2189"/>
      <c r="P1" s="2189"/>
      <c r="Q1" s="2189"/>
      <c r="R1" s="2958" t="s">
        <v>2765</v>
      </c>
      <c r="S1" s="2958" t="s">
        <v>2766</v>
      </c>
      <c r="T1" s="2958" t="s">
        <v>2787</v>
      </c>
      <c r="U1" s="2958" t="s">
        <v>2788</v>
      </c>
      <c r="V1" s="2958" t="s">
        <v>2789</v>
      </c>
      <c r="W1" s="2189"/>
      <c r="X1" s="2189"/>
      <c r="Y1" s="2189"/>
      <c r="Z1" s="2189"/>
      <c r="AA1" s="2189"/>
      <c r="AB1" s="2189"/>
      <c r="AC1" s="2190"/>
    </row>
    <row r="2" spans="1:39" ht="15.75">
      <c r="A2" s="1405" t="s">
        <v>920</v>
      </c>
      <c r="B2" s="1036">
        <f ca="1">C26</f>
        <v>35903</v>
      </c>
      <c r="C2" s="1406" t="s">
        <v>921</v>
      </c>
      <c r="D2" s="1407" t="s">
        <v>922</v>
      </c>
      <c r="E2" s="1408" t="s">
        <v>1678</v>
      </c>
      <c r="F2" s="1407" t="s">
        <v>924</v>
      </c>
      <c r="G2" s="1651" t="str">
        <f>IF(E2="商业",项目基本情况!B43,IF(E2="办公",项目基本情况!C43,IF(E2="住宅",项目基本情况!D43,项目基本情况!E43)))</f>
        <v>二级</v>
      </c>
      <c r="H2" s="1407" t="s">
        <v>926</v>
      </c>
      <c r="I2" s="1652" t="str">
        <f>IF(E2="商业",项目基本情况!B44,IF(E2="办公",项目基本情况!C44,IF(E2="住宅",项目基本情况!D44,项目基本情况!E44)))</f>
        <v>Ⅱ—01</v>
      </c>
      <c r="J2" s="1409"/>
      <c r="K2" s="1400"/>
      <c r="L2" s="1885" t="s">
        <v>2242</v>
      </c>
      <c r="M2" s="1886">
        <f>SUMPRODUCT((区片价!B10:B28=I2)*(区片价!C3:F3=E2)*(区片价!C10:F28))</f>
        <v>26180</v>
      </c>
      <c r="N2" s="1887">
        <f>SUMPRODUCT((因素修正幅度!B10:B28=I2)*(因素修正幅度!C3:F3=E2)*(因素修正幅度!C10:F28))</f>
        <v>7.2999999999999995E-2</v>
      </c>
      <c r="O2" s="2189"/>
      <c r="P2" s="2189"/>
      <c r="Q2" s="2189"/>
      <c r="R2" s="2959">
        <v>1</v>
      </c>
      <c r="S2" s="2959">
        <f>ROUND(IF(G3&gt;1,IF(R2&lt;7,SUMPRODUCT((B93:B98=R2)*(C92:N92=G2)*(C93:N98)),SUMIF(C92:N92,G2,C100:N100)),IF(R2&lt;7,SUMPRODUCT((B102:B107=R2)*(C92:N92=G2)*(C102:N107)),SUMIF(C92:N92,G2,C109:N109))),4)</f>
        <v>1.9361999999999999</v>
      </c>
      <c r="T2" s="2959">
        <f ca="1">ROUND($C$5*$C$18*$C$19*$C$20*S2*$C$24,0)</f>
        <v>69516</v>
      </c>
      <c r="U2" s="2948"/>
      <c r="V2" s="2959">
        <f ca="1">ROUND(T2*U2/10000,0)</f>
        <v>0</v>
      </c>
      <c r="W2" s="2189"/>
      <c r="X2" s="2189"/>
      <c r="Y2" s="2189"/>
      <c r="Z2" s="2189"/>
      <c r="AA2" s="2189"/>
      <c r="AB2" s="2189"/>
      <c r="AC2" s="2190"/>
    </row>
    <row r="3" spans="1:39" ht="24">
      <c r="A3" s="1410" t="s">
        <v>1688</v>
      </c>
      <c r="B3" s="1036">
        <f ca="1">ROUND(B2*10000/D1,0)</f>
        <v>35903</v>
      </c>
      <c r="C3" s="1406" t="s">
        <v>927</v>
      </c>
      <c r="D3" s="1407" t="s">
        <v>928</v>
      </c>
      <c r="E3" s="1411" t="s">
        <v>3010</v>
      </c>
      <c r="F3" s="1412" t="s">
        <v>3011</v>
      </c>
      <c r="G3" s="1037">
        <f>IF(F3="宗地容积率",'数据-汇总表'!I4,IF(F3="估价对象容积率",'数据-汇总表'!I6,'数据-汇总表'!I7))</f>
        <v>3.5</v>
      </c>
      <c r="H3" s="1413" t="s">
        <v>929</v>
      </c>
      <c r="I3" s="1038"/>
      <c r="J3" s="1409" t="s">
        <v>930</v>
      </c>
      <c r="K3" s="1400"/>
      <c r="L3" s="1885" t="s">
        <v>2243</v>
      </c>
      <c r="M3" s="1886">
        <f>SUMPRODUCT((区片价!B29:B48=I2)*(区片价!C3:F3=E2)*(区片价!C29:F48))</f>
        <v>0</v>
      </c>
      <c r="N3" s="1887">
        <f>SUMPRODUCT((因素修正幅度!B29:B48=I2)*(因素修正幅度!C3:F3=E2)*(因素修正幅度!C29:F48))</f>
        <v>0</v>
      </c>
      <c r="O3" s="2189"/>
      <c r="P3" s="2189"/>
      <c r="Q3" s="2189"/>
      <c r="R3" s="2959">
        <v>2</v>
      </c>
      <c r="S3" s="2959">
        <f>ROUND(IF(G3&gt;1,IF(R3&lt;7,SUMPRODUCT((B93:B98=R3)*(C92:N92=G2)*(C93:N98)),SUMIF(C92:N92,G2,C100:N100)),IF(R3&lt;7,SUMPRODUCT((B102:B107=R3)*(C92:N92=G2)*(C102:N107)),SUMIF(C92:N92,G2,C109:N109))),4)</f>
        <v>1.4198</v>
      </c>
      <c r="T3" s="2959">
        <f t="shared" ref="T3:T16" ca="1" si="0">ROUND($C$5*$C$18*$C$19*$C$20*S3*$C$24,0)</f>
        <v>50975</v>
      </c>
      <c r="U3" s="2948"/>
      <c r="V3" s="2959">
        <f t="shared" ref="V3:V16" ca="1" si="1">ROUND(T3*U3/10000,0)</f>
        <v>0</v>
      </c>
      <c r="W3" s="2189"/>
      <c r="X3" s="2189"/>
      <c r="Y3" s="2189"/>
      <c r="Z3" s="2189"/>
      <c r="AA3" s="2189"/>
      <c r="AB3" s="2189"/>
      <c r="AC3" s="2190"/>
    </row>
    <row r="4" spans="1:39" ht="28.5">
      <c r="A4" s="1891" t="s">
        <v>2283</v>
      </c>
      <c r="B4" s="2475">
        <f ca="1">ROUND(B2*10000/F1,0)</f>
        <v>172688</v>
      </c>
      <c r="C4" s="1894" t="s">
        <v>2257</v>
      </c>
      <c r="D4" s="1894">
        <f ca="1">ROUND(B2/(F1/666.67),0)</f>
        <v>11513</v>
      </c>
      <c r="E4" s="1894" t="s">
        <v>2258</v>
      </c>
      <c r="F4" s="1892"/>
      <c r="G4" s="1892"/>
      <c r="H4" s="1892"/>
      <c r="I4" s="1892"/>
      <c r="J4" s="1893"/>
      <c r="K4" s="1400"/>
      <c r="L4" s="1885" t="s">
        <v>2244</v>
      </c>
      <c r="M4" s="1886">
        <f>SUMPRODUCT((区片价!B49:B75=I2)*(区片价!C3:F3=E2)*(区片价!C49:F75))</f>
        <v>0</v>
      </c>
      <c r="N4" s="1887">
        <f>SUMPRODUCT((因素修正幅度!B49:B75=I2)*(因素修正幅度!C3:F3=E2)*(因素修正幅度!C49:F75))</f>
        <v>0</v>
      </c>
      <c r="O4" s="2189"/>
      <c r="P4" s="2189"/>
      <c r="Q4" s="2189"/>
      <c r="R4" s="2959">
        <v>3</v>
      </c>
      <c r="S4" s="2959">
        <f>ROUND(IF(G3&gt;1,IF(R4&lt;7,SUMPRODUCT((B93:B98=R4)*(C92:N92=G2)*(C93:N98)),SUMIF(C92:N92,G2,C100:N100)),IF(R4&lt;7,SUMPRODUCT((B102:B107=R4)*(C92:N92=G2)*(C102:N107)),SUMIF(C92:N92,G2,C109:N109))),4)</f>
        <v>1.1594</v>
      </c>
      <c r="T4" s="2959">
        <f t="shared" ca="1" si="0"/>
        <v>41626</v>
      </c>
      <c r="U4" s="2948"/>
      <c r="V4" s="2959">
        <f t="shared" ca="1" si="1"/>
        <v>0</v>
      </c>
      <c r="W4" s="2189"/>
      <c r="X4" s="2189"/>
      <c r="Y4" s="2189"/>
      <c r="Z4" s="2189"/>
      <c r="AA4" s="2189"/>
      <c r="AB4" s="2189"/>
      <c r="AC4" s="2190"/>
    </row>
    <row r="5" spans="1:39" s="1420" customFormat="1" ht="15.75" thickBot="1">
      <c r="A5" s="1637" t="s">
        <v>1824</v>
      </c>
      <c r="B5" s="1414" t="s">
        <v>931</v>
      </c>
      <c r="C5" s="1039">
        <f>ROUND(IF(E2="商业",IF(F16="增加",C6*C7+C16,C6*C7-C16),IF(E2="住宅",IF(F16="增加",C6*C12+C16,C6*C12-C16),IF(F16="增加",C6+C16,C6-C16))),0)</f>
        <v>26180</v>
      </c>
      <c r="D5" s="3147">
        <f>ROUND(IF(E2="商业",IF(F16="增加",C6+C16,C6-C16)),0)</f>
        <v>0</v>
      </c>
      <c r="E5" s="1415"/>
      <c r="F5" s="1415"/>
      <c r="G5" s="1416"/>
      <c r="H5" s="1416"/>
      <c r="I5" s="1416"/>
      <c r="J5" s="1417"/>
      <c r="K5" s="1593"/>
      <c r="L5" s="1885" t="s">
        <v>2245</v>
      </c>
      <c r="M5" s="1886">
        <f>SUMPRODUCT((区片价!B76:B109=I2)*(区片价!C3:F3=E2)*(区片价!C76:F109))</f>
        <v>0</v>
      </c>
      <c r="N5" s="1887">
        <f>SUMPRODUCT((因素修正幅度!B76:B109=I2)*(因素修正幅度!C3:F3=E2)*(因素修正幅度!C76:F109))</f>
        <v>0</v>
      </c>
      <c r="O5" s="2189"/>
      <c r="P5" s="2189"/>
      <c r="Q5" s="2189"/>
      <c r="R5" s="2959">
        <v>4</v>
      </c>
      <c r="S5" s="2959">
        <f>ROUND(IF(G3&gt;1,IF(R5&lt;7,SUMPRODUCT((B93:B98=R5)*(C92:N92=G2)*(C93:N98)),SUMIF(C92:N92,G2,C100:N100)),IF(R5&lt;7,SUMPRODUCT((B102:B107=R5)*(C92:N92=G2)*(C102:N107)),SUMIF(C92:N92,G2,C109:N109))),4)</f>
        <v>0.96220000000000006</v>
      </c>
      <c r="T5" s="2959">
        <f t="shared" ca="1" si="0"/>
        <v>34546</v>
      </c>
      <c r="U5" s="2948"/>
      <c r="V5" s="2959">
        <f t="shared" ca="1" si="1"/>
        <v>0</v>
      </c>
      <c r="W5" s="2189"/>
      <c r="X5" s="2189"/>
      <c r="Y5" s="2189"/>
      <c r="Z5" s="2189"/>
      <c r="AA5" s="2189"/>
      <c r="AB5" s="2189"/>
      <c r="AC5" s="2191"/>
      <c r="AD5" s="1418"/>
      <c r="AE5" s="1418"/>
      <c r="AF5" s="1418"/>
      <c r="AG5" s="1418"/>
      <c r="AH5" s="1418"/>
      <c r="AI5" s="1418"/>
      <c r="AJ5" s="1419"/>
      <c r="AK5" s="1419"/>
      <c r="AL5" s="1419"/>
      <c r="AM5" s="1419"/>
    </row>
    <row r="6" spans="1:39" ht="15.75" thickBot="1">
      <c r="A6" s="1638" t="s">
        <v>1871</v>
      </c>
      <c r="B6" s="1421" t="s">
        <v>931</v>
      </c>
      <c r="C6" s="1040">
        <f>SUMIF(L1:L12,基准地价!G2,M1:M12)</f>
        <v>26180</v>
      </c>
      <c r="D6" s="1422" t="s">
        <v>1696</v>
      </c>
      <c r="E6" s="1423"/>
      <c r="F6" s="1423"/>
      <c r="G6" s="1424"/>
      <c r="H6" s="1424"/>
      <c r="I6" s="1424"/>
      <c r="J6" s="1425"/>
      <c r="K6" s="1594"/>
      <c r="L6" s="1885" t="s">
        <v>2246</v>
      </c>
      <c r="M6" s="1886">
        <f>SUMPRODUCT((区片价!B110:B157=I2)*(区片价!C3:F3=E2)*(区片价!C110:F157))</f>
        <v>0</v>
      </c>
      <c r="N6" s="1887">
        <f>SUMPRODUCT((因素修正幅度!B110:B157=I2)*(因素修正幅度!C3:F3=E2)*(因素修正幅度!C110:F157))</f>
        <v>0</v>
      </c>
      <c r="O6" s="2189"/>
      <c r="P6" s="2189"/>
      <c r="Q6" s="2189"/>
      <c r="R6" s="2959">
        <v>5</v>
      </c>
      <c r="S6" s="2959">
        <f>ROUND(IF(G3&gt;1,IF(R6&lt;7,SUMPRODUCT((B93:B98=R6)*(C92:N92=G2)*(C93:N98)),SUMIF(C92:N92,G2,C100:N100)),IF(R6&lt;7,SUMPRODUCT((B102:B107=R6)*(C92:N92=G2)*(C102:N107)),SUMIF(C92:N92,G2,C109:N109))),4)</f>
        <v>0.8417</v>
      </c>
      <c r="T6" s="2959">
        <f t="shared" ca="1" si="0"/>
        <v>30220</v>
      </c>
      <c r="U6" s="2948"/>
      <c r="V6" s="2959">
        <f t="shared" ca="1" si="1"/>
        <v>0</v>
      </c>
      <c r="W6" s="2189"/>
      <c r="X6" s="2189"/>
      <c r="Y6" s="2189"/>
      <c r="Z6" s="2189"/>
      <c r="AA6" s="2189"/>
      <c r="AB6" s="2189"/>
      <c r="AC6" s="2191"/>
      <c r="AD6" s="1418"/>
      <c r="AE6" s="1418"/>
      <c r="AF6" s="1418"/>
      <c r="AG6" s="1418"/>
      <c r="AH6" s="1418"/>
      <c r="AI6" s="1418"/>
      <c r="AJ6" s="1419"/>
    </row>
    <row r="7" spans="1:39" ht="24">
      <c r="A7" s="3555" t="str">
        <f>IF(E2="商业",IF(C8="不临58条商业街","",2),"")</f>
        <v/>
      </c>
      <c r="B7" s="1426" t="s">
        <v>932</v>
      </c>
      <c r="C7" s="1041">
        <f>IF(C8="不临58条商业街",1,ROUND(1+(1.6*E8+1.2*E9+0.8*E10+0.4*E11)*C9,4))</f>
        <v>1</v>
      </c>
      <c r="D7" s="1427" t="s">
        <v>933</v>
      </c>
      <c r="E7" s="1042">
        <v>60</v>
      </c>
      <c r="F7" s="1428"/>
      <c r="G7" s="1429"/>
      <c r="H7" s="1429"/>
      <c r="I7" s="1429"/>
      <c r="J7" s="1430"/>
      <c r="K7" s="1594"/>
      <c r="L7" s="1885" t="s">
        <v>2247</v>
      </c>
      <c r="M7" s="1886">
        <f>SUMPRODUCT((区片价!B158:B205=I2)*(区片价!C3:F3=E2)*(区片价!C158:F205))</f>
        <v>0</v>
      </c>
      <c r="N7" s="1887">
        <f>SUMPRODUCT((因素修正幅度!B158:B205=I2)*(因素修正幅度!C3:F3=E2)*(因素修正幅度!C158:F205))</f>
        <v>0</v>
      </c>
      <c r="O7" s="2189"/>
      <c r="P7" s="2189"/>
      <c r="Q7" s="2189"/>
      <c r="R7" s="2959">
        <v>6</v>
      </c>
      <c r="S7" s="2959">
        <f>ROUND(IF(G3&gt;1,IF(R7&lt;7,SUMPRODUCT((B93:B98=R7)*(C92:N92=G2)*(C93:N98)),SUMIF(C92:N92,G2,C100:N100)),IF(R7&lt;7,SUMPRODUCT((B102:B107=R7)*(C92:N92=G2)*(C102:N107)),SUMIF(C92:N92,G2,C109:N109))),4)</f>
        <v>0.76080000000000003</v>
      </c>
      <c r="T7" s="2959">
        <f t="shared" ca="1" si="0"/>
        <v>27315</v>
      </c>
      <c r="U7" s="2948"/>
      <c r="V7" s="2959">
        <f t="shared" ca="1" si="1"/>
        <v>0</v>
      </c>
      <c r="W7" s="2957" t="s">
        <v>2768</v>
      </c>
      <c r="X7" s="2949" t="str">
        <f>G2</f>
        <v>二级</v>
      </c>
      <c r="Y7" s="2949" t="s">
        <v>2769</v>
      </c>
      <c r="Z7" s="2950">
        <f>G3</f>
        <v>3.5</v>
      </c>
      <c r="AA7" s="2192"/>
      <c r="AB7" s="2192"/>
      <c r="AC7" s="2193"/>
      <c r="AD7" s="2951"/>
      <c r="AE7" s="2951"/>
      <c r="AF7" s="2951"/>
      <c r="AG7" s="2951"/>
      <c r="AH7" s="2951"/>
      <c r="AI7" s="2951"/>
      <c r="AJ7" s="2952"/>
    </row>
    <row r="8" spans="1:39" ht="15">
      <c r="A8" s="3556"/>
      <c r="B8" s="1413" t="s">
        <v>934</v>
      </c>
      <c r="C8" s="1528"/>
      <c r="D8" s="1043" t="s">
        <v>935</v>
      </c>
      <c r="E8" s="1044">
        <f>ROUND(C11/E7,4)</f>
        <v>0</v>
      </c>
      <c r="F8" s="1431" t="s">
        <v>936</v>
      </c>
      <c r="G8" s="1432"/>
      <c r="H8" s="1432"/>
      <c r="I8" s="1432"/>
      <c r="J8" s="1433"/>
      <c r="K8" s="1400"/>
      <c r="L8" s="1885" t="s">
        <v>2248</v>
      </c>
      <c r="M8" s="1886">
        <f>SUMPRODUCT((区片价!B206:B244=I2)*(区片价!C3:F3=E2)*(区片价!C206:F244))</f>
        <v>0</v>
      </c>
      <c r="N8" s="1887">
        <f>SUMPRODUCT((因素修正幅度!B206:B244=I2)*(因素修正幅度!C3:F3=E2)*(因素修正幅度!C206:F244))</f>
        <v>0</v>
      </c>
      <c r="O8" s="2189"/>
      <c r="P8" s="2189"/>
      <c r="Q8" s="2189"/>
      <c r="R8" s="2959">
        <v>7</v>
      </c>
      <c r="S8" s="2948"/>
      <c r="T8" s="2959">
        <f t="shared" ca="1" si="0"/>
        <v>0</v>
      </c>
      <c r="U8" s="2948"/>
      <c r="V8" s="2959">
        <f t="shared" ca="1" si="1"/>
        <v>0</v>
      </c>
      <c r="W8" s="3547" t="s">
        <v>2786</v>
      </c>
      <c r="X8" s="3548"/>
      <c r="Y8" s="1849" t="s">
        <v>2770</v>
      </c>
      <c r="Z8" s="1849" t="s">
        <v>2771</v>
      </c>
      <c r="AA8" s="1849" t="s">
        <v>2772</v>
      </c>
      <c r="AB8" s="1849" t="s">
        <v>2773</v>
      </c>
      <c r="AC8" s="1849" t="s">
        <v>2774</v>
      </c>
      <c r="AD8" s="1849" t="s">
        <v>2775</v>
      </c>
      <c r="AE8" s="1849" t="s">
        <v>2776</v>
      </c>
      <c r="AF8" s="1849" t="s">
        <v>2777</v>
      </c>
      <c r="AG8" s="1849" t="s">
        <v>2778</v>
      </c>
      <c r="AH8" s="1849" t="s">
        <v>2779</v>
      </c>
      <c r="AI8" s="1849" t="s">
        <v>2780</v>
      </c>
      <c r="AJ8" s="1849" t="s">
        <v>2781</v>
      </c>
    </row>
    <row r="9" spans="1:39" ht="15">
      <c r="A9" s="3556"/>
      <c r="B9" s="1413" t="s">
        <v>937</v>
      </c>
      <c r="C9" s="1045">
        <f>SUMIF(修正!C59:C119,C8,修正!E59:E119)</f>
        <v>0</v>
      </c>
      <c r="D9" s="1046" t="s">
        <v>938</v>
      </c>
      <c r="E9" s="1046">
        <f>ROUND(C11/E7,4)</f>
        <v>0</v>
      </c>
      <c r="F9" s="1431" t="s">
        <v>939</v>
      </c>
      <c r="G9" s="1432"/>
      <c r="H9" s="1432"/>
      <c r="I9" s="1432"/>
      <c r="J9" s="1433"/>
      <c r="K9" s="1400"/>
      <c r="L9" s="1885" t="s">
        <v>2249</v>
      </c>
      <c r="M9" s="1886">
        <f>SUMPRODUCT((区片价!B245:B289=I2)*(区片价!C3:F3=E2)*(区片价!C245:F289))</f>
        <v>0</v>
      </c>
      <c r="N9" s="1887">
        <f>SUMPRODUCT((因素修正幅度!B245:B289=I2)*(因素修正幅度!C3:F3=E2)*(因素修正幅度!C245:F289))</f>
        <v>0</v>
      </c>
      <c r="O9" s="2189"/>
      <c r="P9" s="2189"/>
      <c r="Q9" s="2189"/>
      <c r="R9" s="2959">
        <v>8</v>
      </c>
      <c r="S9" s="2948"/>
      <c r="T9" s="2959">
        <f t="shared" ca="1" si="0"/>
        <v>0</v>
      </c>
      <c r="U9" s="2948"/>
      <c r="V9" s="2959">
        <f t="shared" ca="1" si="1"/>
        <v>0</v>
      </c>
      <c r="W9" s="3546" t="s">
        <v>2782</v>
      </c>
      <c r="X9" s="2953" t="s">
        <v>2783</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556"/>
      <c r="B10" s="1413" t="s">
        <v>940</v>
      </c>
      <c r="C10" s="1046">
        <f>SUMIF(修正!C59:C119,C8,修正!F59:F119)</f>
        <v>0</v>
      </c>
      <c r="D10" s="1046" t="s">
        <v>941</v>
      </c>
      <c r="E10" s="1046">
        <f>ROUND(C11/E7,4)</f>
        <v>0</v>
      </c>
      <c r="F10" s="1431" t="s">
        <v>942</v>
      </c>
      <c r="G10" s="1432"/>
      <c r="H10" s="1432"/>
      <c r="I10" s="1432"/>
      <c r="J10" s="1433"/>
      <c r="K10" s="1400"/>
      <c r="L10" s="1885" t="s">
        <v>2250</v>
      </c>
      <c r="M10" s="1886">
        <f>SUMPRODUCT((区片价!B290:B316=I2)*(区片价!C3:F3=E2)*(区片价!C290:F316))</f>
        <v>0</v>
      </c>
      <c r="N10" s="1887">
        <f>SUMPRODUCT((因素修正幅度!B290:B316=I2)*(因素修正幅度!C3:F3=E2)*(因素修正幅度!C290:F316))</f>
        <v>0</v>
      </c>
      <c r="O10" s="2189"/>
      <c r="P10" s="2189"/>
      <c r="Q10" s="2189"/>
      <c r="R10" s="2959">
        <v>9</v>
      </c>
      <c r="S10" s="2948"/>
      <c r="T10" s="2959">
        <f t="shared" ca="1" si="0"/>
        <v>0</v>
      </c>
      <c r="U10" s="2948"/>
      <c r="V10" s="2959">
        <f t="shared" ca="1" si="1"/>
        <v>0</v>
      </c>
      <c r="W10" s="3546"/>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556"/>
      <c r="B11" s="1434" t="s">
        <v>943</v>
      </c>
      <c r="C11" s="1047">
        <f>C10/4</f>
        <v>0</v>
      </c>
      <c r="D11" s="1047" t="s">
        <v>944</v>
      </c>
      <c r="E11" s="1047">
        <f>ROUND(C11/E7,4)</f>
        <v>0</v>
      </c>
      <c r="F11" s="1435" t="s">
        <v>945</v>
      </c>
      <c r="G11" s="1436"/>
      <c r="H11" s="1436"/>
      <c r="I11" s="1436"/>
      <c r="J11" s="1437"/>
      <c r="K11" s="1400"/>
      <c r="L11" s="1885" t="s">
        <v>2251</v>
      </c>
      <c r="M11" s="1886">
        <f>SUMPRODUCT((区片价!B317:B337=I2)*(区片价!C3:F3=E2)*(区片价!C317:F337))</f>
        <v>0</v>
      </c>
      <c r="N11" s="1887">
        <f>SUMPRODUCT((因素修正幅度!B317:B337=I2)*(因素修正幅度!C3:F3=E2)*(因素修正幅度!C317:F337))</f>
        <v>0</v>
      </c>
      <c r="O11" s="2189"/>
      <c r="P11" s="2189"/>
      <c r="Q11" s="2189"/>
      <c r="R11" s="2959">
        <v>10</v>
      </c>
      <c r="S11" s="2948"/>
      <c r="T11" s="2959">
        <f t="shared" ca="1" si="0"/>
        <v>0</v>
      </c>
      <c r="U11" s="2948"/>
      <c r="V11" s="2959">
        <f t="shared" ca="1" si="1"/>
        <v>0</v>
      </c>
      <c r="W11" s="3546" t="s">
        <v>2784</v>
      </c>
      <c r="X11" s="1046" t="s">
        <v>2769</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555" t="s">
        <v>1872</v>
      </c>
      <c r="B12" s="1438" t="s">
        <v>946</v>
      </c>
      <c r="C12" s="1041">
        <f>ROUND(C15*D15*E15*F15*G15*H15*I15*J15,4)</f>
        <v>1</v>
      </c>
      <c r="D12" s="1439" t="s">
        <v>947</v>
      </c>
      <c r="E12" s="1440"/>
      <c r="F12" s="1440"/>
      <c r="G12" s="1441"/>
      <c r="H12" s="1441"/>
      <c r="I12" s="1441"/>
      <c r="J12" s="1442"/>
      <c r="K12" s="1400"/>
      <c r="L12" s="1888" t="s">
        <v>2252</v>
      </c>
      <c r="M12" s="1889">
        <f>SUMPRODUCT((区片价!B338:B344=I2)*(区片价!C3:F3=E2)*(区片价!C338:F344))</f>
        <v>0</v>
      </c>
      <c r="N12" s="1890">
        <f>SUMPRODUCT((因素修正幅度!B338:B344=I2)*(因素修正幅度!C3:F3=E2)*(因素修正幅度!C338:F344))</f>
        <v>0</v>
      </c>
      <c r="O12" s="2189"/>
      <c r="P12" s="2189"/>
      <c r="Q12" s="2189"/>
      <c r="R12" s="2959">
        <v>11</v>
      </c>
      <c r="S12" s="2948"/>
      <c r="T12" s="2959">
        <f t="shared" ca="1" si="0"/>
        <v>0</v>
      </c>
      <c r="U12" s="2948"/>
      <c r="V12" s="2959">
        <f t="shared" ca="1" si="1"/>
        <v>0</v>
      </c>
      <c r="W12" s="3546"/>
      <c r="X12" s="2956" t="s">
        <v>2785</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557"/>
      <c r="B13" s="1443" t="s">
        <v>1697</v>
      </c>
      <c r="C13" s="1444" t="s">
        <v>1698</v>
      </c>
      <c r="D13" s="1087" t="s">
        <v>1699</v>
      </c>
      <c r="E13" s="1087" t="s">
        <v>1700</v>
      </c>
      <c r="F13" s="1445" t="s">
        <v>948</v>
      </c>
      <c r="G13" s="1446" t="s">
        <v>1643</v>
      </c>
      <c r="H13" s="1447" t="s">
        <v>1643</v>
      </c>
      <c r="I13" s="1448" t="s">
        <v>1643</v>
      </c>
      <c r="J13" s="1449" t="s">
        <v>1643</v>
      </c>
      <c r="K13" s="1400"/>
      <c r="L13" s="2189"/>
      <c r="M13" s="2189"/>
      <c r="N13" s="2189"/>
      <c r="O13" s="2189"/>
      <c r="P13" s="2189"/>
      <c r="Q13" s="2189"/>
      <c r="R13" s="2959">
        <v>12</v>
      </c>
      <c r="S13" s="2948"/>
      <c r="T13" s="2959">
        <f t="shared" ca="1" si="0"/>
        <v>0</v>
      </c>
      <c r="U13" s="2948"/>
      <c r="V13" s="2959">
        <f t="shared" ca="1" si="1"/>
        <v>0</v>
      </c>
      <c r="W13" s="3546"/>
      <c r="X13" s="2956"/>
      <c r="Y13" s="2955">
        <f>(-0.163*(Y12^2)-0.59*Y12+7617)*(10^(-4))/Y11</f>
        <v>0.21762857142857145</v>
      </c>
      <c r="Z13" s="2955">
        <f t="shared" ref="Z13:AJ13" si="5">(-0.163*(Z12^2)-0.59*Z12+7617)*(10^(-4))/Z11</f>
        <v>0.21762857142857145</v>
      </c>
      <c r="AA13" s="2955">
        <f t="shared" si="5"/>
        <v>0.21762857142857145</v>
      </c>
      <c r="AB13" s="2955">
        <f t="shared" si="5"/>
        <v>0.21762857142857145</v>
      </c>
      <c r="AC13" s="2955">
        <f t="shared" si="5"/>
        <v>0.21762857142857145</v>
      </c>
      <c r="AD13" s="2955">
        <f t="shared" si="5"/>
        <v>0.21762857142857145</v>
      </c>
      <c r="AE13" s="2955">
        <f t="shared" si="5"/>
        <v>0.21762857142857145</v>
      </c>
      <c r="AF13" s="2955">
        <f t="shared" si="5"/>
        <v>0.21762857142857145</v>
      </c>
      <c r="AG13" s="2955">
        <f t="shared" si="5"/>
        <v>0.21762857142857145</v>
      </c>
      <c r="AH13" s="2955">
        <f t="shared" si="5"/>
        <v>0.21762857142857145</v>
      </c>
      <c r="AI13" s="2955">
        <f t="shared" si="5"/>
        <v>0.21762857142857145</v>
      </c>
      <c r="AJ13" s="2955">
        <f t="shared" si="5"/>
        <v>0.21762857142857145</v>
      </c>
    </row>
    <row r="14" spans="1:39" ht="12.75" customHeight="1" thickBot="1">
      <c r="A14" s="3557"/>
      <c r="B14" s="1450"/>
      <c r="C14" s="1451"/>
      <c r="D14" s="1452"/>
      <c r="E14" s="1452"/>
      <c r="F14" s="1453"/>
      <c r="G14" s="1454" t="s">
        <v>949</v>
      </c>
      <c r="H14" s="1455"/>
      <c r="I14" s="1456"/>
      <c r="J14" s="1457"/>
      <c r="K14" s="1400"/>
      <c r="L14" s="2189"/>
      <c r="M14" s="2189"/>
      <c r="N14" s="2189"/>
      <c r="O14" s="2189"/>
      <c r="P14" s="2189"/>
      <c r="Q14" s="2189"/>
      <c r="R14" s="2959">
        <v>13</v>
      </c>
      <c r="S14" s="2948"/>
      <c r="T14" s="2959">
        <f t="shared" ca="1" si="0"/>
        <v>0</v>
      </c>
      <c r="U14" s="2948"/>
      <c r="V14" s="2959">
        <f t="shared" ca="1" si="1"/>
        <v>0</v>
      </c>
      <c r="W14" s="2189"/>
      <c r="X14" s="2189"/>
      <c r="Y14" s="2189"/>
      <c r="Z14" s="2189"/>
      <c r="AA14" s="2189"/>
      <c r="AB14" s="2189"/>
      <c r="AC14" s="2190"/>
    </row>
    <row r="15" spans="1:39" ht="13.5" customHeight="1" thickBot="1">
      <c r="A15" s="3558"/>
      <c r="B15" s="1458" t="s">
        <v>1701</v>
      </c>
      <c r="C15" s="1049">
        <f>IF(C14="有",1.1,1)</f>
        <v>1</v>
      </c>
      <c r="D15" s="1049">
        <f>IF(D14="有",1.1,1)</f>
        <v>1</v>
      </c>
      <c r="E15" s="1049">
        <f>IF(E14="有",1.1,1)</f>
        <v>1</v>
      </c>
      <c r="F15" s="1049">
        <f>IF(F14="500米范围内",1.2,IF(F14="500-1000米",1.1,1))</f>
        <v>1</v>
      </c>
      <c r="G15" s="1050">
        <v>1</v>
      </c>
      <c r="H15" s="1050">
        <v>1</v>
      </c>
      <c r="I15" s="1050">
        <v>1</v>
      </c>
      <c r="J15" s="1051">
        <v>1</v>
      </c>
      <c r="K15" s="1400"/>
      <c r="L15" s="1597" t="s">
        <v>898</v>
      </c>
      <c r="M15" s="1427" t="s">
        <v>984</v>
      </c>
      <c r="N15" s="1427" t="s">
        <v>985</v>
      </c>
      <c r="O15" s="1427" t="s">
        <v>902</v>
      </c>
      <c r="P15" s="1475" t="s">
        <v>986</v>
      </c>
      <c r="Q15" s="2189"/>
      <c r="R15" s="2959">
        <v>14</v>
      </c>
      <c r="S15" s="2948"/>
      <c r="T15" s="2959">
        <f t="shared" ca="1" si="0"/>
        <v>0</v>
      </c>
      <c r="U15" s="2948"/>
      <c r="V15" s="2959">
        <f t="shared" ca="1" si="1"/>
        <v>0</v>
      </c>
      <c r="W15" s="2189"/>
      <c r="X15" s="2189"/>
      <c r="Y15" s="2189"/>
      <c r="Z15" s="2189"/>
      <c r="AA15" s="2189"/>
      <c r="AB15" s="2189"/>
      <c r="AC15" s="2190"/>
    </row>
    <row r="16" spans="1:39" ht="24">
      <c r="A16" s="3555" t="s">
        <v>1839</v>
      </c>
      <c r="B16" s="1426" t="s">
        <v>950</v>
      </c>
      <c r="C16" s="1052">
        <f>ROUND(SUM(G17:J17)/C17,0)</f>
        <v>0</v>
      </c>
      <c r="D16" s="1459" t="s">
        <v>951</v>
      </c>
      <c r="E16" s="1460" t="s">
        <v>3021</v>
      </c>
      <c r="F16" s="1461" t="s">
        <v>3022</v>
      </c>
      <c r="G16" s="1462"/>
      <c r="H16" s="1462"/>
      <c r="I16" s="1462"/>
      <c r="J16" s="1462"/>
      <c r="K16" s="1400"/>
      <c r="L16" s="1463" t="s">
        <v>988</v>
      </c>
      <c r="M16" s="1045">
        <v>0.25</v>
      </c>
      <c r="N16" s="1045">
        <v>0.2</v>
      </c>
      <c r="O16" s="1045">
        <v>0.15</v>
      </c>
      <c r="P16" s="1538">
        <v>0.1</v>
      </c>
      <c r="Q16" s="2192"/>
      <c r="R16" s="2959">
        <v>15</v>
      </c>
      <c r="S16" s="2948"/>
      <c r="T16" s="2959">
        <f t="shared" ca="1" si="0"/>
        <v>0</v>
      </c>
      <c r="U16" s="2948"/>
      <c r="V16" s="2959">
        <f t="shared" ca="1" si="1"/>
        <v>0</v>
      </c>
      <c r="W16" s="2192"/>
      <c r="X16" s="2192"/>
      <c r="Y16" s="2192"/>
      <c r="Z16" s="2192"/>
      <c r="AA16" s="2192"/>
      <c r="AB16" s="2192"/>
      <c r="AC16" s="2193"/>
    </row>
    <row r="17" spans="1:40" ht="13.5" thickBot="1">
      <c r="A17" s="3556"/>
      <c r="B17" s="1464" t="s">
        <v>953</v>
      </c>
      <c r="C17" s="1053">
        <f>SUMPRODUCT((修正!A2:A5=E2)*(修正!B1:M1=G2)*(修正!B2:M5))</f>
        <v>3.5</v>
      </c>
      <c r="D17" s="1466" t="s">
        <v>954</v>
      </c>
      <c r="E17" s="1467" t="str">
        <f>IF(OR(G2="八级",G2="九级",G2="十级",G2="十一级",G2="十二级"),"五通一平","七通一平")</f>
        <v>七通一平</v>
      </c>
      <c r="F17" s="1465" t="s">
        <v>955</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1830</v>
      </c>
      <c r="B18" s="2794" t="s">
        <v>956</v>
      </c>
      <c r="C18" s="2795">
        <f>SUMIF(修正!C18:C39,E3,修正!E18:E39)</f>
        <v>1</v>
      </c>
      <c r="D18" s="2796"/>
      <c r="E18" s="2797"/>
      <c r="F18" s="2798"/>
      <c r="G18" s="2792"/>
      <c r="H18" s="2792"/>
      <c r="I18" s="2792"/>
      <c r="J18" s="2799"/>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1836</v>
      </c>
      <c r="B19" s="1469" t="s">
        <v>957</v>
      </c>
      <c r="C19" s="1055">
        <f>ROUND(IF(H19="按公示增长率计算",SUMPRODUCT((地价!A3:A22=YEAR(G19)&amp;"-"&amp;ROUNDUP(MONTH(G19)/3,0))*(地价!X2:AB2=E2)*(地价!X3:AB22)),IF(H19="地价指数",M20/M19,(1+I19)^O19)),4)</f>
        <v>1.3230999999999999</v>
      </c>
      <c r="D19" s="1473" t="s">
        <v>958</v>
      </c>
      <c r="E19" s="1056">
        <v>41640</v>
      </c>
      <c r="F19" s="1473" t="s">
        <v>959</v>
      </c>
      <c r="G19" s="1057">
        <f>'数据-取费表'!B2</f>
        <v>43230</v>
      </c>
      <c r="H19" s="1474" t="s">
        <v>3020</v>
      </c>
      <c r="I19" s="2806" t="str">
        <f>IF(H19="季度增幅（自定义）",SUMIF(N21:N24,E2,O21:O24),"")</f>
        <v/>
      </c>
      <c r="J19" s="1470"/>
      <c r="K19" s="1480"/>
      <c r="L19" s="3062" t="s">
        <v>2843</v>
      </c>
      <c r="M19" s="3063">
        <f>ROUND(SUMIF(地价!B2:F2,E2,地价!B22:F22),0)</f>
        <v>258</v>
      </c>
      <c r="N19" s="2808" t="s">
        <v>1677</v>
      </c>
      <c r="O19" s="2807">
        <f>ROUNDDOWN(DATEDIF(E19,G19,"M")/3,0)</f>
        <v>17</v>
      </c>
      <c r="P19" s="1595"/>
      <c r="R19" s="2947"/>
      <c r="S19" s="2947"/>
      <c r="T19" s="2947"/>
      <c r="U19" s="2947"/>
      <c r="V19" s="2947"/>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0" t="s">
        <v>1837</v>
      </c>
      <c r="B20" s="2801" t="s">
        <v>972</v>
      </c>
      <c r="C20" s="2802">
        <f ca="1">ROUND(POWER(1+G20,J20-I20)*(POWER(1+G20,I20)-1)/(POWER(1+G20,J20)-1),4)</f>
        <v>1</v>
      </c>
      <c r="D20" s="2803" t="s">
        <v>973</v>
      </c>
      <c r="E20" s="3118">
        <f ca="1">存贷款利率!I4/100</f>
        <v>4.3499999999999997E-2</v>
      </c>
      <c r="F20" s="2803" t="s">
        <v>974</v>
      </c>
      <c r="G20" s="2804">
        <f ca="1">SUMIF(M15:P15,E2,M17:P17)</f>
        <v>5.1999999999999998E-2</v>
      </c>
      <c r="H20" s="2803" t="s">
        <v>975</v>
      </c>
      <c r="I20" s="2793">
        <f>SUMIF('数据-取费表'!C6:C15,E2,'数据-取费表'!F6:F15)/COUNTIF('数据-取费表'!C6:C15,E2)</f>
        <v>50</v>
      </c>
      <c r="J20" s="2805">
        <f>IF(E2="住宅",70,IF(E2="商业",40,50))</f>
        <v>50</v>
      </c>
      <c r="K20" s="1480"/>
      <c r="L20" s="3064" t="s">
        <v>2844</v>
      </c>
      <c r="M20" s="3065">
        <f>ROUND(SUMPRODUCT((地价!A4:A22=YEAR(G19)&amp;"-"&amp;ROUNDUP(MONTH(G19)/3,0))*(地价!B2:F2=E2)*(地价!B4:F22)),0)</f>
        <v>333</v>
      </c>
      <c r="N20" s="2811" t="s">
        <v>2649</v>
      </c>
      <c r="O20" s="2809" t="s">
        <v>2648</v>
      </c>
      <c r="P20" s="2810" t="s">
        <v>2654</v>
      </c>
      <c r="R20" s="2947"/>
      <c r="S20" s="2947"/>
      <c r="T20" s="2947"/>
      <c r="U20" s="2947"/>
      <c r="V20" s="2947"/>
      <c r="W20" s="2195"/>
      <c r="X20" s="2195"/>
      <c r="Y20" s="2195"/>
      <c r="Z20" s="2195"/>
      <c r="AA20" s="2195"/>
      <c r="AB20" s="2195"/>
      <c r="AC20" s="2195"/>
      <c r="AD20" s="1471"/>
      <c r="AE20" s="1471"/>
      <c r="AF20" s="1471"/>
      <c r="AG20" s="1471"/>
      <c r="AH20" s="1471"/>
      <c r="AI20" s="1471"/>
    </row>
    <row r="21" spans="1:40" s="1420" customFormat="1" ht="14.25">
      <c r="A21" s="1641" t="s">
        <v>1838</v>
      </c>
      <c r="B21" s="1479" t="s">
        <v>3019</v>
      </c>
      <c r="C21" s="1156">
        <f>IF(B21="容积率修正",IF(G3&lt;=10,D22,J22),C23)</f>
        <v>1</v>
      </c>
      <c r="D21" s="1480"/>
      <c r="E21" s="1480"/>
      <c r="F21" s="1480"/>
      <c r="G21" s="1480"/>
      <c r="H21" s="1480"/>
      <c r="I21" s="1480"/>
      <c r="J21" s="1481"/>
      <c r="K21" s="1480"/>
      <c r="L21" s="1480"/>
      <c r="M21" s="1480"/>
      <c r="N21" s="1477" t="s">
        <v>976</v>
      </c>
      <c r="O21" s="1541"/>
      <c r="P21" s="2791">
        <f>SUMPRODUCT((地价!A3:A22=YEAR(G19)&amp;"-"&amp;ROUNDUP(MONTH(G19)/3,0))*(地价!AD2:AH2=N21)*(地价!AD3:AH22))</f>
        <v>1.5699999999999999E-2</v>
      </c>
      <c r="R21" s="2947"/>
      <c r="S21" s="2947"/>
      <c r="T21" s="2947"/>
      <c r="U21" s="2947"/>
      <c r="V21" s="2947"/>
      <c r="W21" s="2195"/>
      <c r="X21" s="2195"/>
      <c r="Y21" s="2195"/>
      <c r="Z21" s="2195"/>
      <c r="AA21" s="2195"/>
      <c r="AB21" s="2195"/>
      <c r="AC21" s="2195"/>
      <c r="AD21" s="1402"/>
      <c r="AE21" s="1402"/>
      <c r="AF21" s="1402"/>
      <c r="AG21" s="1402"/>
      <c r="AH21" s="1471"/>
      <c r="AI21" s="1471"/>
    </row>
    <row r="22" spans="1:40" s="1420" customFormat="1" ht="14.25">
      <c r="A22" s="1642" t="s">
        <v>1871</v>
      </c>
      <c r="B22" s="1482" t="s">
        <v>977</v>
      </c>
      <c r="C22" s="1058" t="s">
        <v>1703</v>
      </c>
      <c r="D22" s="1058">
        <f>IF(E22=G22,F22,IF(G3&lt;=10,ROUND(F22+(H22-F22)*(G3-E22)/(G22-E22),4),"——"))</f>
        <v>1</v>
      </c>
      <c r="E22" s="1037">
        <f>ROUNDDOWN(G3,1)</f>
        <v>3.5</v>
      </c>
      <c r="F22" s="10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58" t="s">
        <v>978</v>
      </c>
      <c r="J22" s="1058" t="str">
        <f>IF(G3&gt;10,D113,"——")</f>
        <v>——</v>
      </c>
      <c r="K22" s="1480"/>
      <c r="L22" s="1480"/>
      <c r="M22" s="1480"/>
      <c r="N22" s="1477" t="s">
        <v>979</v>
      </c>
      <c r="O22" s="1541"/>
      <c r="P22" s="2791">
        <f>SUMPRODUCT((地价!A3:A22=YEAR(G19)&amp;"-"&amp;ROUNDUP(MONTH(G19)/3,0))*(地价!AD2:AH2=N22)*(地价!AD3:AH22))</f>
        <v>1.5699999999999999E-2</v>
      </c>
      <c r="R22" s="2947"/>
      <c r="S22" s="2947"/>
      <c r="T22" s="2947"/>
      <c r="U22" s="2947"/>
      <c r="V22" s="2947"/>
      <c r="W22" s="2195"/>
      <c r="X22" s="2195"/>
      <c r="Y22" s="2195"/>
      <c r="Z22" s="2195"/>
      <c r="AA22" s="2195"/>
      <c r="AB22" s="2195"/>
      <c r="AC22" s="2195"/>
      <c r="AD22" s="1471"/>
      <c r="AE22" s="1471"/>
      <c r="AF22" s="1471"/>
      <c r="AG22" s="1471"/>
      <c r="AH22" s="1471"/>
      <c r="AI22" s="1471"/>
    </row>
    <row r="23" spans="1:40" ht="27.75" thickBot="1">
      <c r="A23" s="1642" t="s">
        <v>1872</v>
      </c>
      <c r="B23" s="1482" t="s">
        <v>980</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91">
        <f>SUMPRODUCT((地价!A3:A22=YEAR(G19)&amp;"-"&amp;ROUNDUP(MONTH(G19)/3,0))*(地价!AD2:AH2=N23)*(地价!AD3:AH22))</f>
        <v>2.5000000000000001E-2</v>
      </c>
      <c r="R23" s="2947"/>
      <c r="S23" s="2947"/>
      <c r="T23" s="2947"/>
      <c r="U23" s="2947"/>
      <c r="V23" s="2947"/>
      <c r="W23" s="2195"/>
      <c r="X23" s="2195"/>
      <c r="Y23" s="2195"/>
      <c r="Z23" s="2195"/>
      <c r="AA23" s="2195"/>
      <c r="AB23" s="2195"/>
      <c r="AC23" s="2195"/>
      <c r="AN23" s="1403"/>
    </row>
    <row r="24" spans="1:40" s="1420" customFormat="1" ht="15.75" thickBot="1">
      <c r="A24" s="1640" t="s">
        <v>1873</v>
      </c>
      <c r="B24" s="1414" t="s">
        <v>981</v>
      </c>
      <c r="C24" s="1060">
        <f>SUMIF(A44:A87,E2,B44:B87)</f>
        <v>1.0365</v>
      </c>
      <c r="D24" s="1534"/>
      <c r="E24" s="1535"/>
      <c r="F24" s="1535"/>
      <c r="G24" s="1535"/>
      <c r="H24" s="1535"/>
      <c r="I24" s="1535"/>
      <c r="J24" s="1535"/>
      <c r="K24" s="1480"/>
      <c r="L24" s="1480"/>
      <c r="M24" s="1480"/>
      <c r="N24" s="1483" t="s">
        <v>982</v>
      </c>
      <c r="O24" s="1542"/>
      <c r="P24" s="1540">
        <f>SUMPRODUCT((地价!A3:A22=YEAR(G19)&amp;"-"&amp;ROUNDUP(MONTH(G19)/3,0))*(地价!AD2:AH2=N24)*(地价!AD3:AH22))</f>
        <v>1.35E-2</v>
      </c>
      <c r="R24" s="2947"/>
      <c r="S24" s="2947"/>
      <c r="T24" s="2947"/>
      <c r="U24" s="2947"/>
      <c r="V24" s="2947"/>
      <c r="W24" s="2195"/>
      <c r="X24" s="2195"/>
      <c r="Y24" s="2195"/>
      <c r="Z24" s="2195"/>
      <c r="AA24" s="2195"/>
      <c r="AB24" s="2195"/>
      <c r="AC24" s="2195"/>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5"/>
      <c r="M25" s="2195"/>
      <c r="N25" s="2819" t="s">
        <v>2652</v>
      </c>
      <c r="O25" s="2195"/>
      <c r="P25" s="1540">
        <f>SUMPRODUCT((地价!A3:A22=YEAR(G19)&amp;"-"&amp;ROUNDUP(MONTH(G19)/3,0))*(地价!AD2:AH2=N25)*(地价!AD3:AH22))</f>
        <v>2.2700000000000001E-2</v>
      </c>
      <c r="R25" s="2947"/>
      <c r="S25" s="2947"/>
      <c r="T25" s="2947"/>
      <c r="U25" s="2947"/>
      <c r="V25" s="2947"/>
      <c r="W25" s="2195"/>
      <c r="X25" s="2195"/>
      <c r="Y25" s="2195"/>
      <c r="Z25" s="2195"/>
      <c r="AA25" s="2195"/>
      <c r="AB25" s="2195"/>
      <c r="AC25" s="2195"/>
    </row>
    <row r="26" spans="1:40" ht="14.25">
      <c r="A26" s="1488"/>
      <c r="B26" s="1482" t="s">
        <v>987</v>
      </c>
      <c r="C26" s="1061">
        <f ca="1">E29+SUM(E33:E39)</f>
        <v>35903</v>
      </c>
      <c r="D26" s="1489"/>
      <c r="E26" s="1455"/>
      <c r="F26" s="1490"/>
      <c r="G26" s="1455"/>
      <c r="H26" s="1455"/>
      <c r="I26" s="1455"/>
      <c r="J26" s="1491"/>
      <c r="K26" s="1400"/>
      <c r="L26" s="2195"/>
      <c r="M26" s="2195"/>
      <c r="N26" s="2195"/>
      <c r="O26" s="2195"/>
      <c r="P26" s="2195"/>
      <c r="Q26" s="2195"/>
      <c r="R26" s="2947"/>
      <c r="S26" s="2947"/>
      <c r="T26" s="2947"/>
      <c r="U26" s="2947"/>
      <c r="V26" s="2947"/>
      <c r="W26" s="2195"/>
      <c r="X26" s="2195"/>
      <c r="Y26" s="2195"/>
      <c r="Z26" s="2195"/>
      <c r="AA26" s="2195"/>
      <c r="AB26" s="2195"/>
      <c r="AC26" s="2195"/>
      <c r="AD26" s="1471"/>
      <c r="AE26" s="1471"/>
      <c r="AF26" s="1471"/>
      <c r="AG26" s="1471"/>
    </row>
    <row r="27" spans="1:40" ht="15" thickBot="1">
      <c r="A27" s="1488"/>
      <c r="B27" s="1492" t="s">
        <v>989</v>
      </c>
      <c r="C27" s="1062">
        <f ca="1">E30+SUM(I33:I39)</f>
        <v>0</v>
      </c>
      <c r="D27" s="1493"/>
      <c r="E27" s="1494"/>
      <c r="F27" s="1495"/>
      <c r="G27" s="1494"/>
      <c r="H27" s="1494"/>
      <c r="I27" s="1494"/>
      <c r="J27" s="1496"/>
      <c r="K27" s="1400"/>
      <c r="L27" s="2195"/>
      <c r="M27" s="2195"/>
      <c r="N27" s="2195"/>
      <c r="O27" s="2195"/>
      <c r="P27" s="2195"/>
      <c r="Q27" s="2195"/>
      <c r="R27" s="2947"/>
      <c r="S27" s="2947"/>
      <c r="T27" s="2947"/>
      <c r="U27" s="2947"/>
      <c r="V27" s="2947"/>
      <c r="W27" s="2195"/>
      <c r="X27" s="2195"/>
      <c r="Y27" s="2195"/>
      <c r="Z27" s="2195"/>
      <c r="AA27" s="2195"/>
      <c r="AB27" s="2195"/>
      <c r="AC27" s="2195"/>
    </row>
    <row r="28" spans="1:40" ht="14.25">
      <c r="A28" s="1484"/>
      <c r="B28" s="1497" t="s">
        <v>990</v>
      </c>
      <c r="C28" s="1498" t="s">
        <v>991</v>
      </c>
      <c r="D28" s="1498" t="s">
        <v>992</v>
      </c>
      <c r="E28" s="1499" t="s">
        <v>993</v>
      </c>
      <c r="F28" s="1500"/>
      <c r="G28" s="1441"/>
      <c r="H28" s="1441"/>
      <c r="I28" s="1441"/>
      <c r="J28" s="1442"/>
      <c r="K28" s="1400"/>
      <c r="L28" s="2195"/>
      <c r="M28" s="2195"/>
      <c r="N28" s="2195"/>
      <c r="O28" s="2195"/>
      <c r="P28" s="2195"/>
      <c r="Q28" s="2195"/>
      <c r="R28" s="2947"/>
      <c r="S28" s="2947"/>
      <c r="T28" s="2947"/>
      <c r="U28" s="2947"/>
      <c r="V28" s="2947"/>
      <c r="W28" s="2195"/>
      <c r="X28" s="2195"/>
      <c r="Y28" s="2195"/>
      <c r="Z28" s="2195"/>
      <c r="AA28" s="2195"/>
      <c r="AB28" s="2195"/>
      <c r="AC28" s="2195"/>
      <c r="AD28" s="1471"/>
      <c r="AE28" s="1471"/>
      <c r="AF28" s="1471"/>
      <c r="AG28" s="1471"/>
    </row>
    <row r="29" spans="1:40" ht="24">
      <c r="A29" s="1501"/>
      <c r="B29" s="1502" t="s">
        <v>994</v>
      </c>
      <c r="C29" s="1061">
        <f ca="1">ROUND(C5*C18*C19*C20*C21*C24,0)</f>
        <v>35903</v>
      </c>
      <c r="D29" s="1503">
        <f>'数据-基础表'!B3</f>
        <v>10000</v>
      </c>
      <c r="E29" s="1849">
        <f ca="1">ROUND(C29*D29/10000,0)</f>
        <v>35903</v>
      </c>
      <c r="F29" s="1504" t="s">
        <v>1702</v>
      </c>
      <c r="G29" s="1505"/>
      <c r="H29" s="1505"/>
      <c r="I29" s="1505"/>
      <c r="J29" s="1506"/>
      <c r="K29" s="1400"/>
      <c r="L29" s="2195"/>
      <c r="M29" s="2195"/>
      <c r="N29" s="2195"/>
      <c r="O29" s="2195"/>
      <c r="P29" s="2195"/>
      <c r="Q29" s="2195"/>
      <c r="R29" s="2947"/>
      <c r="S29" s="2947"/>
      <c r="T29" s="2947"/>
      <c r="U29" s="2947"/>
      <c r="V29" s="2947"/>
      <c r="W29" s="2195"/>
      <c r="X29" s="2195"/>
      <c r="Y29" s="2195"/>
      <c r="Z29" s="2195"/>
      <c r="AA29" s="2195"/>
      <c r="AB29" s="2195"/>
      <c r="AC29" s="2195"/>
      <c r="AH29" s="1401"/>
      <c r="AI29" s="1401"/>
      <c r="AJ29" s="1404"/>
      <c r="AK29" s="1404"/>
      <c r="AL29" s="1404"/>
      <c r="AM29" s="1404"/>
    </row>
    <row r="30" spans="1:40" ht="24.75" thickBot="1">
      <c r="A30" s="1507"/>
      <c r="B30" s="1508" t="s">
        <v>995</v>
      </c>
      <c r="C30" s="1049">
        <f ca="1">ROUND(IF(E2="工业",C29*M39,C29*M38),0)</f>
        <v>8976</v>
      </c>
      <c r="D30" s="1509"/>
      <c r="E30" s="1849">
        <f ca="1">ROUND(C30*D30/10000,0)</f>
        <v>0</v>
      </c>
      <c r="F30" s="1510" t="s">
        <v>996</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561" t="s">
        <v>2963</v>
      </c>
      <c r="B33" s="1523" t="s">
        <v>1000</v>
      </c>
      <c r="C33" s="1061">
        <f ca="1">ROUND(D5*C19*C20*C24*F33,0)</f>
        <v>0</v>
      </c>
      <c r="D33" s="1536"/>
      <c r="E33" s="1046">
        <f ca="1">ROUND(C33*D33/10000,0)</f>
        <v>0</v>
      </c>
      <c r="F33" s="1046">
        <f>SUMIF(修正!A45:A56,G2,修正!B45:B56)</f>
        <v>0.8</v>
      </c>
      <c r="G33" s="1046">
        <f t="shared" ref="G33:G39" ca="1" si="6">ROUND(IF(E2="工业",C33*$M$39,C33*$M$38),0)</f>
        <v>0</v>
      </c>
      <c r="H33" s="1046">
        <f>D33</f>
        <v>0</v>
      </c>
      <c r="I33" s="1046">
        <f ca="1">ROUND(G33*H33/10000,0)</f>
        <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562"/>
      <c r="B34" s="1444" t="s">
        <v>1001</v>
      </c>
      <c r="C34" s="1061">
        <f ca="1">ROUND(D5*C19*C20*C24*F34,0)</f>
        <v>0</v>
      </c>
      <c r="D34" s="1536"/>
      <c r="E34" s="1046">
        <f t="shared" ref="E34:E39" ca="1" si="7">ROUND(C34*D34/10000,0)</f>
        <v>0</v>
      </c>
      <c r="F34" s="1046">
        <f>SUMIF(修正!A45:A56,G2,修正!C45:C56)</f>
        <v>0.5</v>
      </c>
      <c r="G34" s="1046">
        <f t="shared" ca="1" si="6"/>
        <v>0</v>
      </c>
      <c r="H34" s="1046">
        <f t="shared" ref="H34:H39" si="8">D34</f>
        <v>0</v>
      </c>
      <c r="I34" s="1046">
        <f t="shared" ref="I34:I39" ca="1" si="9">ROUND(G34*H34/10000,0)</f>
        <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562"/>
      <c r="B35" s="1444" t="s">
        <v>1002</v>
      </c>
      <c r="C35" s="1061">
        <f ca="1">ROUND(D5*C19*C20*C24*F35,0)</f>
        <v>0</v>
      </c>
      <c r="D35" s="1536"/>
      <c r="E35" s="1046">
        <f t="shared" ca="1" si="7"/>
        <v>0</v>
      </c>
      <c r="F35" s="1046">
        <f>SUMIF(修正!A45:A56,G2,修正!D45:D56)</f>
        <v>0.36</v>
      </c>
      <c r="G35" s="1046">
        <f t="shared" ca="1" si="6"/>
        <v>0</v>
      </c>
      <c r="H35" s="1046">
        <f t="shared" si="8"/>
        <v>0</v>
      </c>
      <c r="I35" s="1046">
        <f t="shared" ca="1" si="9"/>
        <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563"/>
      <c r="B36" s="1444" t="s">
        <v>1003</v>
      </c>
      <c r="C36" s="1061">
        <f ca="1">ROUND(D5*C19*C20*C24*F36,0)</f>
        <v>0</v>
      </c>
      <c r="D36" s="1536"/>
      <c r="E36" s="1046">
        <f t="shared" ca="1" si="7"/>
        <v>0</v>
      </c>
      <c r="F36" s="1046">
        <f>SUMIF(修正!A45:A56,G2,修正!E45:E56)</f>
        <v>0.3</v>
      </c>
      <c r="G36" s="1046">
        <f t="shared" ca="1" si="6"/>
        <v>0</v>
      </c>
      <c r="H36" s="1046">
        <f t="shared" si="8"/>
        <v>0</v>
      </c>
      <c r="I36" s="1046">
        <f t="shared" ca="1" si="9"/>
        <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1004</v>
      </c>
      <c r="C37" s="1046">
        <f ca="1">ROUND(C5*C19*C20*C24*F37,0)</f>
        <v>10771</v>
      </c>
      <c r="D37" s="1536"/>
      <c r="E37" s="1046">
        <f t="shared" ca="1" si="7"/>
        <v>0</v>
      </c>
      <c r="F37" s="1061">
        <f>SUMIF(修正!A45:A56,G2,修正!F45:F56)</f>
        <v>0.3</v>
      </c>
      <c r="G37" s="1046">
        <f t="shared" ca="1" si="6"/>
        <v>2693</v>
      </c>
      <c r="H37" s="1046">
        <f t="shared" si="8"/>
        <v>0</v>
      </c>
      <c r="I37" s="1046">
        <f t="shared" ca="1" si="9"/>
        <v>0</v>
      </c>
      <c r="J37" s="1524"/>
      <c r="K37" s="1400"/>
      <c r="L37" s="1543" t="s">
        <v>1704</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1005</v>
      </c>
      <c r="C38" s="1046">
        <f ca="1">ROUND(C5*C19*C20*C24*F38,0)</f>
        <v>10771</v>
      </c>
      <c r="D38" s="1536"/>
      <c r="E38" s="1046">
        <f t="shared" ca="1" si="7"/>
        <v>0</v>
      </c>
      <c r="F38" s="1061">
        <f>SUMIF(修正!A45:A56,G2,修正!G45:G56)</f>
        <v>0.3</v>
      </c>
      <c r="G38" s="1046">
        <f t="shared" ca="1" si="6"/>
        <v>2693</v>
      </c>
      <c r="H38" s="1046">
        <f t="shared" si="8"/>
        <v>0</v>
      </c>
      <c r="I38" s="1046">
        <f t="shared" ca="1" si="9"/>
        <v>0</v>
      </c>
      <c r="J38" s="1524"/>
      <c r="K38" s="1400"/>
      <c r="L38" s="1545" t="s">
        <v>1706</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1006</v>
      </c>
      <c r="C39" s="1049">
        <f ca="1">ROUND(C5*C19*C20*C24*F39,0)</f>
        <v>8976</v>
      </c>
      <c r="D39" s="1537"/>
      <c r="E39" s="1049">
        <f t="shared" ca="1" si="7"/>
        <v>0</v>
      </c>
      <c r="F39" s="1063">
        <f>SUMIF(修正!A45:A56,G2,修正!H45:H56)</f>
        <v>0.25</v>
      </c>
      <c r="G39" s="1049">
        <f t="shared" ca="1" si="6"/>
        <v>2244</v>
      </c>
      <c r="H39" s="1049">
        <f t="shared" si="8"/>
        <v>0</v>
      </c>
      <c r="I39" s="1049">
        <f t="shared" ca="1" si="9"/>
        <v>0</v>
      </c>
      <c r="J39" s="1526"/>
      <c r="K39" s="1400"/>
      <c r="L39" s="1547" t="s">
        <v>1705</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1" t="s">
        <v>1007</v>
      </c>
      <c r="B44" s="2442"/>
      <c r="C44" s="2443"/>
      <c r="D44" s="2444"/>
      <c r="E44" s="2444"/>
      <c r="F44" s="2445"/>
      <c r="G44" s="1064"/>
      <c r="H44" s="2445"/>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hidden="1">
      <c r="A45" s="2446" t="s">
        <v>1008</v>
      </c>
      <c r="B45" s="2447">
        <f>1+E47</f>
        <v>1</v>
      </c>
      <c r="C45" s="2448"/>
      <c r="D45" s="2449"/>
      <c r="E45" s="2450"/>
      <c r="F45" s="2451"/>
      <c r="G45" s="2445"/>
      <c r="H45" s="2445"/>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hidden="1">
      <c r="A46" s="1065" t="s">
        <v>1009</v>
      </c>
      <c r="B46" s="2432" t="s">
        <v>1010</v>
      </c>
      <c r="C46" s="2452" t="s">
        <v>1011</v>
      </c>
      <c r="D46" s="2453" t="s">
        <v>1012</v>
      </c>
      <c r="E46" s="2454" t="s">
        <v>1014</v>
      </c>
      <c r="F46" s="2455" t="s">
        <v>2253</v>
      </c>
      <c r="G46" s="2453" t="s">
        <v>1015</v>
      </c>
      <c r="H46" s="2437" t="s">
        <v>2422</v>
      </c>
      <c r="I46" s="2453" t="s">
        <v>1013</v>
      </c>
      <c r="J46" s="2456" t="s">
        <v>1016</v>
      </c>
      <c r="K46" s="2456" t="s">
        <v>1017</v>
      </c>
      <c r="L46" s="2456" t="s">
        <v>1018</v>
      </c>
      <c r="M46" s="2456" t="s">
        <v>1019</v>
      </c>
      <c r="N46" s="2456" t="s">
        <v>1020</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hidden="1">
      <c r="A47" s="1065" t="s">
        <v>1021</v>
      </c>
      <c r="B47" s="2435" t="str">
        <f>估价对象房地状况!C16</f>
        <v>估价对象位于XX商圈，周边商业氛围成熟，人流量大，商业繁华度好</v>
      </c>
      <c r="C47" s="1048"/>
      <c r="D47" s="2439">
        <f t="shared" ref="D47:D55" si="10">SUMIF($J$46:$N$46,C47,J47:N47)</f>
        <v>0</v>
      </c>
      <c r="E47" s="2458">
        <f>ROUND(SUM(D47:D55),4)</f>
        <v>0</v>
      </c>
      <c r="F47" s="2459" t="str">
        <f>IF(E2="商业",SUMIF(L1:L12,G2,N1:N12),"——")</f>
        <v>——</v>
      </c>
      <c r="G47" s="2438"/>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32" hidden="1">
      <c r="A48" s="1065" t="s">
        <v>1022</v>
      </c>
      <c r="B48" s="2432"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48" s="1048"/>
      <c r="D48" s="2439">
        <f t="shared" si="10"/>
        <v>0</v>
      </c>
      <c r="E48" s="2461"/>
      <c r="F48" s="2459"/>
      <c r="G48" s="2438"/>
      <c r="H48" s="2483" t="str">
        <f t="shared" si="11"/>
        <v>——</v>
      </c>
      <c r="I48" s="2457">
        <v>0.25</v>
      </c>
      <c r="J48" s="2460">
        <f t="shared" si="12"/>
        <v>0</v>
      </c>
      <c r="K48" s="2460">
        <f t="shared" si="13"/>
        <v>0</v>
      </c>
      <c r="L48" s="2460">
        <v>0</v>
      </c>
      <c r="M48" s="2460">
        <f t="shared" si="14"/>
        <v>0</v>
      </c>
      <c r="N48" s="2460">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hidden="1">
      <c r="A49" s="1065" t="s">
        <v>1023</v>
      </c>
      <c r="B49" s="2432">
        <f>估价对象房地状况!C19</f>
        <v>0</v>
      </c>
      <c r="C49" s="1048"/>
      <c r="D49" s="2439">
        <f t="shared" si="10"/>
        <v>0</v>
      </c>
      <c r="E49" s="2461"/>
      <c r="F49" s="2459"/>
      <c r="G49" s="2438"/>
      <c r="H49" s="2483" t="str">
        <f t="shared" si="11"/>
        <v>——</v>
      </c>
      <c r="I49" s="2457">
        <v>0.05</v>
      </c>
      <c r="J49" s="2460">
        <f t="shared" si="12"/>
        <v>0</v>
      </c>
      <c r="K49" s="2460">
        <f t="shared" si="13"/>
        <v>0</v>
      </c>
      <c r="L49" s="2460">
        <v>0</v>
      </c>
      <c r="M49" s="2460">
        <f t="shared" si="14"/>
        <v>0</v>
      </c>
      <c r="N49" s="2460">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hidden="1">
      <c r="A50" s="1065" t="s">
        <v>1024</v>
      </c>
      <c r="B50" s="3120" t="s">
        <v>2938</v>
      </c>
      <c r="C50" s="1048"/>
      <c r="D50" s="2439">
        <f t="shared" si="10"/>
        <v>0</v>
      </c>
      <c r="E50" s="2461"/>
      <c r="F50" s="2459"/>
      <c r="G50" s="2438"/>
      <c r="H50" s="2483" t="str">
        <f t="shared" si="11"/>
        <v>——</v>
      </c>
      <c r="I50" s="2457">
        <v>0.05</v>
      </c>
      <c r="J50" s="2460">
        <f t="shared" si="12"/>
        <v>0</v>
      </c>
      <c r="K50" s="2460">
        <f t="shared" si="13"/>
        <v>0</v>
      </c>
      <c r="L50" s="2460">
        <v>0</v>
      </c>
      <c r="M50" s="2460">
        <f t="shared" si="14"/>
        <v>0</v>
      </c>
      <c r="N50" s="2460">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hidden="1">
      <c r="A51" s="1065" t="s">
        <v>1025</v>
      </c>
      <c r="B51" s="2432">
        <f>估价对象房地状况!C24</f>
        <v>0</v>
      </c>
      <c r="C51" s="1048"/>
      <c r="D51" s="2439">
        <f t="shared" si="10"/>
        <v>0</v>
      </c>
      <c r="E51" s="2461"/>
      <c r="F51" s="2459"/>
      <c r="G51" s="2438"/>
      <c r="H51" s="2483" t="str">
        <f t="shared" si="11"/>
        <v>——</v>
      </c>
      <c r="I51" s="2457">
        <v>0.08</v>
      </c>
      <c r="J51" s="2460">
        <f t="shared" si="12"/>
        <v>0</v>
      </c>
      <c r="K51" s="2460">
        <f t="shared" si="13"/>
        <v>0</v>
      </c>
      <c r="L51" s="2460">
        <v>0</v>
      </c>
      <c r="M51" s="2460">
        <f t="shared" si="14"/>
        <v>0</v>
      </c>
      <c r="N51" s="2460">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hidden="1">
      <c r="A52" s="1065" t="s">
        <v>1026</v>
      </c>
      <c r="B52" s="3119" t="s">
        <v>2937</v>
      </c>
      <c r="C52" s="1048"/>
      <c r="D52" s="2439">
        <f t="shared" si="10"/>
        <v>0</v>
      </c>
      <c r="E52" s="2461"/>
      <c r="F52" s="2459"/>
      <c r="G52" s="2438"/>
      <c r="H52" s="2483" t="str">
        <f t="shared" si="11"/>
        <v>——</v>
      </c>
      <c r="I52" s="2457">
        <v>0.03</v>
      </c>
      <c r="J52" s="2460">
        <f t="shared" si="12"/>
        <v>0</v>
      </c>
      <c r="K52" s="2460">
        <f t="shared" si="13"/>
        <v>0</v>
      </c>
      <c r="L52" s="2460">
        <v>0</v>
      </c>
      <c r="M52" s="2460">
        <f t="shared" si="14"/>
        <v>0</v>
      </c>
      <c r="N52" s="2460">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hidden="1">
      <c r="A53" s="2462" t="s">
        <v>1027</v>
      </c>
      <c r="B53" s="2433" t="str">
        <f>估价对象房地状况!C21</f>
        <v>估价对象所在区域公共配套设施齐备</v>
      </c>
      <c r="C53" s="1048"/>
      <c r="D53" s="2439">
        <f t="shared" si="10"/>
        <v>0</v>
      </c>
      <c r="E53" s="2461"/>
      <c r="F53" s="2459"/>
      <c r="G53" s="2438"/>
      <c r="H53" s="2483" t="str">
        <f t="shared" si="11"/>
        <v>——</v>
      </c>
      <c r="I53" s="2457">
        <v>0.05</v>
      </c>
      <c r="J53" s="2460">
        <f t="shared" si="12"/>
        <v>0</v>
      </c>
      <c r="K53" s="2460">
        <f t="shared" si="13"/>
        <v>0</v>
      </c>
      <c r="L53" s="2460">
        <v>0</v>
      </c>
      <c r="M53" s="2460">
        <f t="shared" si="14"/>
        <v>0</v>
      </c>
      <c r="N53" s="2460">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hidden="1">
      <c r="A54" s="2462" t="s">
        <v>1028</v>
      </c>
      <c r="B54" s="2432" t="str">
        <f>估价对象房地状况!C22</f>
        <v>估价对象所在区域基础设施水平达到七通</v>
      </c>
      <c r="C54" s="1048"/>
      <c r="D54" s="2439">
        <f t="shared" si="10"/>
        <v>0</v>
      </c>
      <c r="E54" s="2461"/>
      <c r="F54" s="2459"/>
      <c r="G54" s="2438"/>
      <c r="H54" s="2483" t="str">
        <f t="shared" si="11"/>
        <v>——</v>
      </c>
      <c r="I54" s="2457">
        <v>0.1</v>
      </c>
      <c r="J54" s="2460">
        <f t="shared" si="12"/>
        <v>0</v>
      </c>
      <c r="K54" s="2460">
        <f t="shared" si="13"/>
        <v>0</v>
      </c>
      <c r="L54" s="2460">
        <v>0</v>
      </c>
      <c r="M54" s="2460">
        <f t="shared" si="14"/>
        <v>0</v>
      </c>
      <c r="N54" s="2460">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96.75" hidden="1" thickBot="1">
      <c r="A55" s="2463" t="s">
        <v>1029</v>
      </c>
      <c r="B55" s="2436" t="str">
        <f>估价对象房地状况!C20</f>
        <v>区域自然环境：官园公园、什刹海公园、北海公园；人文环境：妙应寺白塔、恭王府、历代帝王庙、梅兰芳纪念馆、西直门天主教堂、西城区图书馆；综合评价环境状况好。</v>
      </c>
      <c r="C55" s="1048"/>
      <c r="D55" s="2439">
        <f t="shared" si="10"/>
        <v>0</v>
      </c>
      <c r="E55" s="2465"/>
      <c r="F55" s="2459"/>
      <c r="G55" s="2438"/>
      <c r="H55" s="2483" t="str">
        <f t="shared" si="11"/>
        <v>——</v>
      </c>
      <c r="I55" s="2464">
        <v>0.06</v>
      </c>
      <c r="J55" s="2460">
        <f t="shared" si="12"/>
        <v>0</v>
      </c>
      <c r="K55" s="2460">
        <f t="shared" si="13"/>
        <v>0</v>
      </c>
      <c r="L55" s="2460">
        <v>0</v>
      </c>
      <c r="M55" s="2460">
        <f t="shared" si="14"/>
        <v>0</v>
      </c>
      <c r="N55" s="2460">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6" t="s">
        <v>1030</v>
      </c>
      <c r="B56" s="2447">
        <f>1+E58</f>
        <v>1.0365</v>
      </c>
      <c r="C56" s="2466"/>
      <c r="D56" s="2449"/>
      <c r="E56" s="2450"/>
      <c r="F56" s="2451"/>
      <c r="G56" s="2445"/>
      <c r="H56" s="2445"/>
      <c r="I56" s="2445"/>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1009</v>
      </c>
      <c r="B57" s="2432"/>
      <c r="C57" s="2452" t="s">
        <v>1011</v>
      </c>
      <c r="D57" s="2453" t="s">
        <v>1012</v>
      </c>
      <c r="E57" s="2454" t="s">
        <v>1014</v>
      </c>
      <c r="F57" s="2455" t="s">
        <v>2254</v>
      </c>
      <c r="G57" s="2453" t="s">
        <v>1015</v>
      </c>
      <c r="H57" s="2437" t="s">
        <v>2422</v>
      </c>
      <c r="I57" s="2453" t="s">
        <v>1013</v>
      </c>
      <c r="J57" s="2456" t="s">
        <v>1016</v>
      </c>
      <c r="K57" s="2456" t="s">
        <v>1017</v>
      </c>
      <c r="L57" s="2456" t="s">
        <v>1018</v>
      </c>
      <c r="M57" s="2456" t="s">
        <v>1019</v>
      </c>
      <c r="N57" s="2456" t="s">
        <v>1020</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48">
      <c r="A58" s="1065" t="s">
        <v>1031</v>
      </c>
      <c r="B58" s="3252" t="str">
        <f>估价对象房地状况!C17</f>
        <v>估价对象位于西直门商圈，估价对象周边主要以居住为主，办公楼项目较少，办公集聚程度一般。</v>
      </c>
      <c r="C58" s="3255" t="s">
        <v>3052</v>
      </c>
      <c r="D58" s="3251">
        <f t="shared" ref="D58:D66" si="15">SUMIF($J$57:$N$57,C58,J58:N58)</f>
        <v>0</v>
      </c>
      <c r="E58" s="2458">
        <f>ROUND(SUM(D58:D66),4)</f>
        <v>3.6499999999999998E-2</v>
      </c>
      <c r="F58" s="2459">
        <f>IF(E2="办公",SUMIF(L1:L12,G2,N1:N12),"——")</f>
        <v>7.2999999999999995E-2</v>
      </c>
      <c r="G58" s="2438">
        <v>8.6999999999999994E-3</v>
      </c>
      <c r="H58" s="3246">
        <f>IFERROR(ROUNDDOWN($F$58*I58/2,4),"——")</f>
        <v>8.6999999999999994E-3</v>
      </c>
      <c r="I58" s="3247">
        <v>0.24</v>
      </c>
      <c r="J58" s="3248">
        <f t="shared" ref="J58:J66" si="16">K58+$G58</f>
        <v>1.7399999999999999E-2</v>
      </c>
      <c r="K58" s="3248">
        <f t="shared" ref="K58:K66" si="17">$L58+$G58</f>
        <v>8.6999999999999994E-3</v>
      </c>
      <c r="L58" s="3248">
        <v>0</v>
      </c>
      <c r="M58" s="3248">
        <f t="shared" ref="M58:N66" si="18">L58-$G58</f>
        <v>-8.6999999999999994E-3</v>
      </c>
      <c r="N58" s="3248">
        <f t="shared" si="18"/>
        <v>-1.7399999999999999E-2</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32">
      <c r="A59" s="1065" t="s">
        <v>1022</v>
      </c>
      <c r="B59" s="3253"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59" s="3255" t="s">
        <v>3027</v>
      </c>
      <c r="D59" s="3251">
        <f t="shared" si="15"/>
        <v>1.095E-2</v>
      </c>
      <c r="E59" s="2461"/>
      <c r="F59" s="2459"/>
      <c r="G59" s="2438">
        <v>1.095E-2</v>
      </c>
      <c r="H59" s="3249">
        <f t="shared" ref="H59:H66" si="19">IFERROR($F$58*I59/2,"——")</f>
        <v>1.095E-2</v>
      </c>
      <c r="I59" s="3247">
        <v>0.3</v>
      </c>
      <c r="J59" s="3248">
        <f t="shared" si="16"/>
        <v>2.1899999999999999E-2</v>
      </c>
      <c r="K59" s="3248">
        <f t="shared" si="17"/>
        <v>1.095E-2</v>
      </c>
      <c r="L59" s="3248">
        <v>0</v>
      </c>
      <c r="M59" s="3248">
        <f t="shared" si="18"/>
        <v>-1.095E-2</v>
      </c>
      <c r="N59" s="3248">
        <f t="shared" si="18"/>
        <v>-2.1899999999999999E-2</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1023</v>
      </c>
      <c r="B60" s="2432">
        <f>估价对象房地状况!C19</f>
        <v>0</v>
      </c>
      <c r="C60" s="3255" t="s">
        <v>3027</v>
      </c>
      <c r="D60" s="3251">
        <f t="shared" si="15"/>
        <v>2.9199999999999999E-3</v>
      </c>
      <c r="E60" s="2461"/>
      <c r="F60" s="2459"/>
      <c r="G60" s="2438">
        <v>2.9199999999999999E-3</v>
      </c>
      <c r="H60" s="3249">
        <f t="shared" si="19"/>
        <v>2.9199999999999999E-3</v>
      </c>
      <c r="I60" s="3247">
        <v>0.08</v>
      </c>
      <c r="J60" s="3248">
        <f t="shared" si="16"/>
        <v>5.8399999999999997E-3</v>
      </c>
      <c r="K60" s="3248">
        <f t="shared" si="17"/>
        <v>2.9199999999999999E-3</v>
      </c>
      <c r="L60" s="3248">
        <v>0</v>
      </c>
      <c r="M60" s="3248">
        <f t="shared" si="18"/>
        <v>-2.9199999999999999E-3</v>
      </c>
      <c r="N60" s="3248">
        <f t="shared" si="18"/>
        <v>-5.8399999999999997E-3</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1024</v>
      </c>
      <c r="B61" s="3120" t="s">
        <v>2939</v>
      </c>
      <c r="C61" s="3255" t="s">
        <v>3027</v>
      </c>
      <c r="D61" s="3251">
        <f t="shared" si="15"/>
        <v>1.4599999999999999E-3</v>
      </c>
      <c r="E61" s="2461"/>
      <c r="F61" s="2459"/>
      <c r="G61" s="2438">
        <v>1.4599999999999999E-3</v>
      </c>
      <c r="H61" s="3249">
        <f t="shared" si="19"/>
        <v>1.4599999999999999E-3</v>
      </c>
      <c r="I61" s="3247">
        <v>0.04</v>
      </c>
      <c r="J61" s="3248">
        <f t="shared" si="16"/>
        <v>2.9199999999999999E-3</v>
      </c>
      <c r="K61" s="3248">
        <f t="shared" si="17"/>
        <v>1.4599999999999999E-3</v>
      </c>
      <c r="L61" s="3248">
        <v>0</v>
      </c>
      <c r="M61" s="3248">
        <f t="shared" si="18"/>
        <v>-1.4599999999999999E-3</v>
      </c>
      <c r="N61" s="3248">
        <f t="shared" si="18"/>
        <v>-2.9199999999999999E-3</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1025</v>
      </c>
      <c r="B62" s="2432">
        <f>估价对象房地状况!C24</f>
        <v>0</v>
      </c>
      <c r="C62" s="3255" t="s">
        <v>3027</v>
      </c>
      <c r="D62" s="3251">
        <f t="shared" si="15"/>
        <v>1.83E-3</v>
      </c>
      <c r="E62" s="2461"/>
      <c r="F62" s="2459"/>
      <c r="G62" s="2438">
        <v>1.83E-3</v>
      </c>
      <c r="H62" s="3249">
        <f t="shared" si="19"/>
        <v>1.825E-3</v>
      </c>
      <c r="I62" s="3247">
        <v>0.05</v>
      </c>
      <c r="J62" s="3248">
        <f t="shared" si="16"/>
        <v>3.6600000000000001E-3</v>
      </c>
      <c r="K62" s="3248">
        <f t="shared" si="17"/>
        <v>1.83E-3</v>
      </c>
      <c r="L62" s="3248">
        <v>0</v>
      </c>
      <c r="M62" s="3248">
        <f t="shared" si="18"/>
        <v>-1.83E-3</v>
      </c>
      <c r="N62" s="3248">
        <f t="shared" si="18"/>
        <v>-3.6600000000000001E-3</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1026</v>
      </c>
      <c r="B63" s="3119" t="s">
        <v>2937</v>
      </c>
      <c r="C63" s="3255" t="s">
        <v>3027</v>
      </c>
      <c r="D63" s="3251">
        <f t="shared" si="15"/>
        <v>1.83E-3</v>
      </c>
      <c r="E63" s="2461"/>
      <c r="F63" s="2459"/>
      <c r="G63" s="2438">
        <v>1.83E-3</v>
      </c>
      <c r="H63" s="3249">
        <f t="shared" si="19"/>
        <v>1.825E-3</v>
      </c>
      <c r="I63" s="3247">
        <v>0.05</v>
      </c>
      <c r="J63" s="3248">
        <f t="shared" si="16"/>
        <v>3.6600000000000001E-3</v>
      </c>
      <c r="K63" s="3248">
        <f t="shared" si="17"/>
        <v>1.83E-3</v>
      </c>
      <c r="L63" s="3248">
        <v>0</v>
      </c>
      <c r="M63" s="3248">
        <f t="shared" si="18"/>
        <v>-1.83E-3</v>
      </c>
      <c r="N63" s="3248">
        <f t="shared" si="18"/>
        <v>-3.6600000000000001E-3</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1027</v>
      </c>
      <c r="B64" s="2433" t="str">
        <f>估价对象房地状况!C21</f>
        <v>估价对象所在区域公共配套设施齐备</v>
      </c>
      <c r="C64" s="3255" t="s">
        <v>3028</v>
      </c>
      <c r="D64" s="3251">
        <f t="shared" si="15"/>
        <v>4.3800000000000002E-3</v>
      </c>
      <c r="E64" s="2461"/>
      <c r="F64" s="2459"/>
      <c r="G64" s="2438">
        <v>2.1900000000000001E-3</v>
      </c>
      <c r="H64" s="3249">
        <f t="shared" si="19"/>
        <v>2.1899999999999997E-3</v>
      </c>
      <c r="I64" s="3247">
        <v>0.06</v>
      </c>
      <c r="J64" s="3248">
        <f t="shared" si="16"/>
        <v>4.3800000000000002E-3</v>
      </c>
      <c r="K64" s="3248">
        <f t="shared" si="17"/>
        <v>2.1900000000000001E-3</v>
      </c>
      <c r="L64" s="3248">
        <v>0</v>
      </c>
      <c r="M64" s="3248">
        <f t="shared" si="18"/>
        <v>-2.1900000000000001E-3</v>
      </c>
      <c r="N64" s="3248">
        <f t="shared" si="18"/>
        <v>-4.3800000000000002E-3</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1028</v>
      </c>
      <c r="B65" s="2433" t="str">
        <f>估价对象房地状况!C22</f>
        <v>估价对象所在区域基础设施水平达到七通</v>
      </c>
      <c r="C65" s="3255" t="s">
        <v>3028</v>
      </c>
      <c r="D65" s="3251">
        <f t="shared" si="15"/>
        <v>8.7600000000000004E-3</v>
      </c>
      <c r="E65" s="2461"/>
      <c r="F65" s="2459"/>
      <c r="G65" s="2438">
        <v>4.3800000000000002E-3</v>
      </c>
      <c r="H65" s="3249">
        <f t="shared" si="19"/>
        <v>4.3799999999999993E-3</v>
      </c>
      <c r="I65" s="3247">
        <v>0.12</v>
      </c>
      <c r="J65" s="3248">
        <f t="shared" si="16"/>
        <v>8.7600000000000004E-3</v>
      </c>
      <c r="K65" s="3248">
        <f t="shared" si="17"/>
        <v>4.3800000000000002E-3</v>
      </c>
      <c r="L65" s="3248">
        <v>0</v>
      </c>
      <c r="M65" s="3248">
        <f t="shared" si="18"/>
        <v>-4.3800000000000002E-3</v>
      </c>
      <c r="N65" s="3248">
        <f t="shared" si="18"/>
        <v>-8.7600000000000004E-3</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96.75" thickBot="1">
      <c r="A66" s="2463" t="s">
        <v>1029</v>
      </c>
      <c r="B66" s="3254" t="str">
        <f>估价对象房地状况!C20</f>
        <v>区域自然环境：官园公园、什刹海公园、北海公园；人文环境：妙应寺白塔、恭王府、历代帝王庙、梅兰芳纪念馆、西直门天主教堂、西城区图书馆；综合评价环境状况好。</v>
      </c>
      <c r="C66" s="3255" t="s">
        <v>3028</v>
      </c>
      <c r="D66" s="3251">
        <f t="shared" si="15"/>
        <v>4.3800000000000002E-3</v>
      </c>
      <c r="E66" s="2465"/>
      <c r="F66" s="2459"/>
      <c r="G66" s="2438">
        <v>2.1900000000000001E-3</v>
      </c>
      <c r="H66" s="3249">
        <f t="shared" si="19"/>
        <v>2.1899999999999997E-3</v>
      </c>
      <c r="I66" s="3250">
        <v>0.06</v>
      </c>
      <c r="J66" s="3248">
        <f t="shared" si="16"/>
        <v>4.3800000000000002E-3</v>
      </c>
      <c r="K66" s="3248">
        <f t="shared" si="17"/>
        <v>2.1900000000000001E-3</v>
      </c>
      <c r="L66" s="3248">
        <v>0</v>
      </c>
      <c r="M66" s="3248">
        <f t="shared" si="18"/>
        <v>-2.1900000000000001E-3</v>
      </c>
      <c r="N66" s="3248">
        <f t="shared" si="18"/>
        <v>-4.3800000000000002E-3</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6" t="s">
        <v>1032</v>
      </c>
      <c r="B67" s="2447">
        <f>1+E69</f>
        <v>1</v>
      </c>
      <c r="C67" s="2466"/>
      <c r="D67" s="2449"/>
      <c r="E67" s="2450"/>
      <c r="F67" s="2451"/>
      <c r="G67" s="2445"/>
      <c r="H67" s="2445"/>
      <c r="I67" s="2445"/>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1009</v>
      </c>
      <c r="B68" s="2432"/>
      <c r="C68" s="2452" t="s">
        <v>1011</v>
      </c>
      <c r="D68" s="2453" t="s">
        <v>1012</v>
      </c>
      <c r="E68" s="2454" t="s">
        <v>1014</v>
      </c>
      <c r="F68" s="2455" t="s">
        <v>2255</v>
      </c>
      <c r="G68" s="2453" t="s">
        <v>1015</v>
      </c>
      <c r="H68" s="2437" t="s">
        <v>2422</v>
      </c>
      <c r="I68" s="2453" t="s">
        <v>1013</v>
      </c>
      <c r="J68" s="2456" t="s">
        <v>1016</v>
      </c>
      <c r="K68" s="2456" t="s">
        <v>1017</v>
      </c>
      <c r="L68" s="2456" t="s">
        <v>1018</v>
      </c>
      <c r="M68" s="2456" t="s">
        <v>1019</v>
      </c>
      <c r="N68" s="2456" t="s">
        <v>1020</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5" t="s">
        <v>1033</v>
      </c>
      <c r="B69" s="2435" t="str">
        <f>估价对象房地状况!C15</f>
        <v>估价对象周边居住用地比例、居住小区规模和社区发展完善程度，综合评价居住社区成熟度一般</v>
      </c>
      <c r="C69" s="1157"/>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32">
      <c r="A70" s="1065" t="s">
        <v>1034</v>
      </c>
      <c r="B70" s="2432" t="str">
        <f>估价对象房地状况!C18</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C70" s="1157"/>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1023</v>
      </c>
      <c r="B71" s="2432">
        <f>估价对象房地状况!C19</f>
        <v>0</v>
      </c>
      <c r="C71" s="1157"/>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1035</v>
      </c>
      <c r="B72" s="2432">
        <f>估价对象房地状况!C24</f>
        <v>0</v>
      </c>
      <c r="C72" s="1157"/>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1027</v>
      </c>
      <c r="B73" s="2433" t="str">
        <f>估价对象房地状况!C21</f>
        <v>估价对象所在区域公共配套设施齐备</v>
      </c>
      <c r="C73" s="1157"/>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1028</v>
      </c>
      <c r="B74" s="2433" t="str">
        <f>估价对象房地状况!C22</f>
        <v>估价对象所在区域基础设施水平达到七通</v>
      </c>
      <c r="C74" s="1157"/>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1026</v>
      </c>
      <c r="B75" s="3119" t="s">
        <v>2937</v>
      </c>
      <c r="C75" s="1157"/>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96">
      <c r="A76" s="1065" t="s">
        <v>1029</v>
      </c>
      <c r="B76" s="2435" t="str">
        <f>估价对象房地状况!C20</f>
        <v>区域自然环境：官园公园、什刹海公园、北海公园；人文环境：妙应寺白塔、恭王府、历代帝王庙、梅兰芳纪念馆、西直门天主教堂、西城区图书馆；综合评价环境状况好。</v>
      </c>
      <c r="C76" s="1157"/>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3" t="s">
        <v>1036</v>
      </c>
      <c r="B77" s="1850"/>
      <c r="C77" s="1157"/>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1037</v>
      </c>
      <c r="B78" s="2447">
        <f>1+E80</f>
        <v>1</v>
      </c>
      <c r="C78" s="2466"/>
      <c r="D78" s="2449"/>
      <c r="E78" s="2450"/>
      <c r="F78" s="2451"/>
      <c r="G78" s="2445"/>
      <c r="H78" s="2445"/>
      <c r="I78" s="2445"/>
      <c r="J78" s="1064"/>
      <c r="K78" s="1064"/>
      <c r="L78" s="1064"/>
      <c r="M78" s="1064"/>
      <c r="N78" s="1064"/>
      <c r="AC78" s="1404"/>
      <c r="AD78" s="1403"/>
      <c r="AJ78" s="1402"/>
      <c r="AN78" s="1403"/>
    </row>
    <row r="79" spans="1:40" ht="24">
      <c r="A79" s="1065" t="s">
        <v>1009</v>
      </c>
      <c r="B79" s="2432"/>
      <c r="C79" s="2452" t="s">
        <v>1011</v>
      </c>
      <c r="D79" s="2453" t="s">
        <v>1012</v>
      </c>
      <c r="E79" s="2454" t="s">
        <v>1014</v>
      </c>
      <c r="F79" s="2455" t="s">
        <v>2256</v>
      </c>
      <c r="G79" s="2453" t="s">
        <v>1015</v>
      </c>
      <c r="H79" s="2437" t="s">
        <v>2422</v>
      </c>
      <c r="I79" s="2453" t="s">
        <v>1013</v>
      </c>
      <c r="J79" s="2456" t="s">
        <v>1016</v>
      </c>
      <c r="K79" s="2456" t="s">
        <v>1017</v>
      </c>
      <c r="L79" s="2456" t="s">
        <v>1018</v>
      </c>
      <c r="M79" s="2456" t="s">
        <v>1019</v>
      </c>
      <c r="N79" s="2456" t="s">
        <v>1020</v>
      </c>
      <c r="AC79" s="1404"/>
      <c r="AD79" s="1403"/>
      <c r="AJ79" s="1402"/>
      <c r="AN79" s="1403"/>
    </row>
    <row r="80" spans="1:40" ht="36">
      <c r="A80" s="1065" t="s">
        <v>1038</v>
      </c>
      <c r="B80" s="2432" t="str">
        <f>估价对象房地状况!G15</f>
        <v>估价对象位于XX开发区，园区建设成熟度XX，产业集聚程度XX</v>
      </c>
      <c r="C80" s="1048"/>
      <c r="D80" s="2439">
        <f t="shared" ref="D80:D87" si="25">SUMIF($J$79:$N$79,C80,J80:N80)</f>
        <v>0</v>
      </c>
      <c r="E80" s="2458">
        <f>ROUND(SUM(D80:D87),4)</f>
        <v>0</v>
      </c>
      <c r="F80" s="2459" t="str">
        <f>IF(E2="工业",SUMIF(L1:L12,G2,N1:N12),"——")</f>
        <v>——</v>
      </c>
      <c r="G80" s="2438"/>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48">
      <c r="A81" s="1065" t="s">
        <v>1034</v>
      </c>
      <c r="B81" s="2432" t="str">
        <f>估价对象房地状况!G16</f>
        <v>估价对象周边道路状况、公共交通通达情况、停车便捷程度，综合评价交通便捷度较好</v>
      </c>
      <c r="C81" s="1048"/>
      <c r="D81" s="2439">
        <f t="shared" si="25"/>
        <v>0</v>
      </c>
      <c r="E81" s="2467"/>
      <c r="F81" s="2468"/>
      <c r="G81" s="2438"/>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5" t="s">
        <v>1023</v>
      </c>
      <c r="B82" s="2432">
        <f>估价对象房地状况!G17</f>
        <v>0</v>
      </c>
      <c r="C82" s="1048"/>
      <c r="D82" s="2439">
        <f t="shared" si="25"/>
        <v>0</v>
      </c>
      <c r="E82" s="2467"/>
      <c r="F82" s="2468"/>
      <c r="G82" s="2438"/>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5" t="s">
        <v>1035</v>
      </c>
      <c r="B83" s="2432">
        <f>估价对象房地状况!G22</f>
        <v>0</v>
      </c>
      <c r="C83" s="1048"/>
      <c r="D83" s="2439">
        <f t="shared" si="25"/>
        <v>0</v>
      </c>
      <c r="E83" s="2467"/>
      <c r="F83" s="2468"/>
      <c r="G83" s="2438"/>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5" t="s">
        <v>1027</v>
      </c>
      <c r="B84" s="2433" t="str">
        <f>估价对象房地状况!G19</f>
        <v>估价对象所在区域公共配套设施齐备情况</v>
      </c>
      <c r="C84" s="1048"/>
      <c r="D84" s="2439">
        <f t="shared" si="25"/>
        <v>0</v>
      </c>
      <c r="E84" s="2467"/>
      <c r="F84" s="2468"/>
      <c r="G84" s="2438"/>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5" t="s">
        <v>1028</v>
      </c>
      <c r="B85" s="2433" t="str">
        <f>估价对象房地状况!G20</f>
        <v>估价对象所在区域基础设施水平</v>
      </c>
      <c r="C85" s="1048"/>
      <c r="D85" s="2439">
        <f t="shared" si="25"/>
        <v>0</v>
      </c>
      <c r="E85" s="2467"/>
      <c r="F85" s="2468"/>
      <c r="G85" s="2438"/>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5" t="s">
        <v>1026</v>
      </c>
      <c r="B86" s="3119" t="s">
        <v>2937</v>
      </c>
      <c r="C86" s="1048"/>
      <c r="D86" s="2439">
        <f t="shared" si="25"/>
        <v>0</v>
      </c>
      <c r="E86" s="2467"/>
      <c r="F86" s="2468"/>
      <c r="G86" s="2438"/>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36.75" thickBot="1">
      <c r="A87" s="2463" t="s">
        <v>1039</v>
      </c>
      <c r="B87" s="2434" t="str">
        <f>估价对象房地状况!G18</f>
        <v>该园区内是否有污染型企业，绿化情况，卫生条件，整体环境状况判断</v>
      </c>
      <c r="C87" s="1048"/>
      <c r="D87" s="2439">
        <f t="shared" si="25"/>
        <v>0</v>
      </c>
      <c r="E87" s="2469"/>
      <c r="F87" s="2468"/>
      <c r="G87" s="2438"/>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559" t="s">
        <v>1634</v>
      </c>
      <c r="B90" s="3559"/>
      <c r="C90" s="3559"/>
      <c r="D90" s="3559"/>
      <c r="E90" s="3559"/>
      <c r="F90" s="3559"/>
      <c r="G90" s="3559"/>
      <c r="H90" s="3559"/>
      <c r="I90" s="3559"/>
      <c r="J90" s="3559"/>
      <c r="K90" s="2472"/>
      <c r="L90" s="2472"/>
      <c r="M90" s="2472"/>
      <c r="N90" s="2472"/>
    </row>
    <row r="91" spans="1:40">
      <c r="A91" s="3560" t="s">
        <v>1444</v>
      </c>
      <c r="B91" s="3560" t="s">
        <v>1635</v>
      </c>
      <c r="C91" s="1138" t="s">
        <v>1636</v>
      </c>
      <c r="D91" s="1139"/>
      <c r="E91" s="1139"/>
      <c r="F91" s="1139"/>
      <c r="G91" s="1139"/>
      <c r="H91" s="1139"/>
      <c r="I91" s="1139"/>
      <c r="J91" s="1140"/>
      <c r="K91" s="1132"/>
      <c r="L91" s="1132"/>
      <c r="M91" s="1132"/>
      <c r="N91" s="1132"/>
    </row>
    <row r="92" spans="1:40">
      <c r="A92" s="3560"/>
      <c r="B92" s="3560"/>
      <c r="C92" s="2471" t="s">
        <v>907</v>
      </c>
      <c r="D92" s="2471" t="s">
        <v>885</v>
      </c>
      <c r="E92" s="2471" t="s">
        <v>886</v>
      </c>
      <c r="F92" s="2471" t="s">
        <v>910</v>
      </c>
      <c r="G92" s="2471" t="s">
        <v>888</v>
      </c>
      <c r="H92" s="2471" t="s">
        <v>889</v>
      </c>
      <c r="I92" s="2471" t="s">
        <v>890</v>
      </c>
      <c r="J92" s="2471" t="s">
        <v>891</v>
      </c>
      <c r="K92" s="2471" t="s">
        <v>915</v>
      </c>
      <c r="L92" s="2471" t="s">
        <v>893</v>
      </c>
      <c r="M92" s="2471" t="s">
        <v>894</v>
      </c>
      <c r="N92" s="2471" t="s">
        <v>918</v>
      </c>
    </row>
    <row r="93" spans="1:40">
      <c r="A93" s="3549" t="s">
        <v>2767</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55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55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55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55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55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550"/>
      <c r="B99" s="1141" t="s">
        <v>1637</v>
      </c>
      <c r="C99" s="1143">
        <f>$I$3</f>
        <v>0</v>
      </c>
      <c r="D99" s="1143">
        <f t="shared" ref="D99:N99" si="30">$I$3</f>
        <v>0</v>
      </c>
      <c r="E99" s="1143">
        <f t="shared" si="30"/>
        <v>0</v>
      </c>
      <c r="F99" s="1143">
        <f t="shared" si="30"/>
        <v>0</v>
      </c>
      <c r="G99" s="1143">
        <f t="shared" si="30"/>
        <v>0</v>
      </c>
      <c r="H99" s="1143">
        <f t="shared" si="30"/>
        <v>0</v>
      </c>
      <c r="I99" s="1143">
        <f t="shared" si="30"/>
        <v>0</v>
      </c>
      <c r="J99" s="1143">
        <f t="shared" si="30"/>
        <v>0</v>
      </c>
      <c r="K99" s="1143">
        <f t="shared" si="30"/>
        <v>0</v>
      </c>
      <c r="L99" s="1143">
        <f t="shared" si="30"/>
        <v>0</v>
      </c>
      <c r="M99" s="1143">
        <f t="shared" si="30"/>
        <v>0</v>
      </c>
      <c r="N99" s="1143">
        <f t="shared" si="30"/>
        <v>0</v>
      </c>
    </row>
    <row r="100" spans="1:14">
      <c r="A100" s="3551"/>
      <c r="B100" s="1141">
        <v>7</v>
      </c>
      <c r="C100" s="1144">
        <f>(-0.163*(C99^2)-0.59*C99+7617)*(10^(-4))</f>
        <v>0.76170000000000004</v>
      </c>
      <c r="D100" s="1144">
        <f>(-0.163*(D99^2)-0.59*D99+7617)*(10^(-4))</f>
        <v>0.76170000000000004</v>
      </c>
      <c r="E100" s="1144">
        <f>(-0.161*(E99^2)-7.509*E99+6533)*(10^(-4))</f>
        <v>0.65329999999999999</v>
      </c>
      <c r="F100" s="1144">
        <f>(-0.161*(F99^2)-7.509*F99+6533)*(10^(-4))</f>
        <v>0.65329999999999999</v>
      </c>
      <c r="G100" s="1144">
        <f>(-0.161*(G99^2)-7.509*G99+6533)*(10^(-4))</f>
        <v>0.65329999999999999</v>
      </c>
      <c r="H100" s="1144">
        <f>(-0.161*(H99^2)-7.509*H99+6533)*(10^(-4))</f>
        <v>0.65329999999999999</v>
      </c>
      <c r="I100" s="1144">
        <f>(-0.161*(I99^2)-7.509*I99+6533)*(10^(-4))</f>
        <v>0.65329999999999999</v>
      </c>
      <c r="J100" s="1144">
        <f>(-0.214*(J99^2)-21.991*J99+4665)*(10^(-4))</f>
        <v>0.46650000000000003</v>
      </c>
      <c r="K100" s="1144">
        <f>(-0.214*(K99^2)-21.991*K99+4665)*(10^(-4))</f>
        <v>0.46650000000000003</v>
      </c>
      <c r="L100" s="1144">
        <f>(-0.214*(L99^2)-21.991*L99+4665)*(10^(-4))</f>
        <v>0.46650000000000003</v>
      </c>
      <c r="M100" s="1144">
        <f>(-0.214*(M99^2)-21.991*M99+4665)*(10^(-4))</f>
        <v>0.46650000000000003</v>
      </c>
      <c r="N100" s="1144">
        <f>(-0.214*(N99^2)-21.991*N99+4665)*(10^(-4))</f>
        <v>0.46650000000000003</v>
      </c>
    </row>
    <row r="101" spans="1:14">
      <c r="A101" s="3549" t="s">
        <v>1638</v>
      </c>
      <c r="B101" s="1145" t="s">
        <v>906</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550"/>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550"/>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550"/>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550"/>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550"/>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550"/>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550"/>
      <c r="B108" s="3552" t="s">
        <v>1639</v>
      </c>
      <c r="C108" s="1143">
        <f>C99</f>
        <v>0</v>
      </c>
      <c r="D108" s="1143">
        <f t="shared" ref="D108:N108" si="32">D99</f>
        <v>0</v>
      </c>
      <c r="E108" s="1143">
        <f t="shared" si="32"/>
        <v>0</v>
      </c>
      <c r="F108" s="1143">
        <f t="shared" si="32"/>
        <v>0</v>
      </c>
      <c r="G108" s="1143">
        <f t="shared" si="32"/>
        <v>0</v>
      </c>
      <c r="H108" s="1143">
        <f t="shared" si="32"/>
        <v>0</v>
      </c>
      <c r="I108" s="1143">
        <f t="shared" si="32"/>
        <v>0</v>
      </c>
      <c r="J108" s="1143">
        <f t="shared" si="32"/>
        <v>0</v>
      </c>
      <c r="K108" s="1143">
        <f t="shared" si="32"/>
        <v>0</v>
      </c>
      <c r="L108" s="1143">
        <f t="shared" si="32"/>
        <v>0</v>
      </c>
      <c r="M108" s="1143">
        <f t="shared" si="32"/>
        <v>0</v>
      </c>
      <c r="N108" s="1143">
        <f t="shared" si="32"/>
        <v>0</v>
      </c>
    </row>
    <row r="109" spans="1:14">
      <c r="A109" s="3551"/>
      <c r="B109" s="3553"/>
      <c r="C109" s="1144">
        <f>(-0.163*(C108^2)-0.59*C108+7617)*(10^(-4))/C101</f>
        <v>0.21762857142857145</v>
      </c>
      <c r="D109" s="1144">
        <f>(-0.163*(D108^2)-0.59*D108+7617)*(10^(-4))/D101</f>
        <v>0.21762857142857145</v>
      </c>
      <c r="E109" s="1144">
        <f>(-0.161*(E108^2)-7.509*E108+6533)*(10^(-4))/E101</f>
        <v>0.18665714285714285</v>
      </c>
      <c r="F109" s="1144">
        <f>(-0.161*(F108^2)-7.509*F108+6533)*(10^(-4))/F101</f>
        <v>0.18665714285714285</v>
      </c>
      <c r="G109" s="1144">
        <f>(-0.161*(G108^2)-7.509*G108+6533)*(10^(-4))/G101</f>
        <v>0.18665714285714285</v>
      </c>
      <c r="H109" s="1144">
        <f>(-0.161*(H108^2)-7.509*H108+6533)*(10^(-4))/H101</f>
        <v>0.18665714285714285</v>
      </c>
      <c r="I109" s="1144">
        <f>(-0.161*(I108^2)-7.509*I108+6533)*(10^(-4))/I101</f>
        <v>0.18665714285714285</v>
      </c>
      <c r="J109" s="1144">
        <f>(-0.214*(J108^2)-21.991*J108+4665)*(10^(-4))/J101</f>
        <v>0.13328571428571429</v>
      </c>
      <c r="K109" s="1144">
        <f>(-0.214*(K108^2)-21.991*K108+4665)*(10^(-4))/K101</f>
        <v>0.13328571428571429</v>
      </c>
      <c r="L109" s="1144">
        <f>(-0.214*(L108^2)-21.991*L108+4665)*(10^(-4))/L101</f>
        <v>0.13328571428571429</v>
      </c>
      <c r="M109" s="1144">
        <f>(-0.214*(M108^2)-21.991*M108+4665)*(10^(-4))/M101</f>
        <v>0.13328571428571429</v>
      </c>
      <c r="N109" s="1144">
        <f>(-0.214*(N108^2)-21.991*N108+4665)*(10^(-4))/N101</f>
        <v>0.13328571428571429</v>
      </c>
    </row>
    <row r="110" spans="1:14">
      <c r="A110" s="3554" t="s">
        <v>1640</v>
      </c>
      <c r="B110" s="3554"/>
      <c r="C110" s="3554"/>
      <c r="D110" s="3554"/>
      <c r="E110" s="3554"/>
      <c r="F110" s="3554"/>
      <c r="G110" s="3554"/>
      <c r="H110" s="3554"/>
      <c r="I110" s="3554"/>
      <c r="J110" s="3554"/>
      <c r="K110" s="2470"/>
      <c r="L110" s="2470"/>
      <c r="M110" s="2470"/>
      <c r="N110" s="2470"/>
    </row>
    <row r="112" spans="1:14" ht="12.75" thickBot="1"/>
    <row r="113" spans="1:13" ht="25.5" thickBot="1">
      <c r="A113" s="1014" t="s">
        <v>896</v>
      </c>
      <c r="B113" s="2473">
        <f>G3</f>
        <v>3.5</v>
      </c>
      <c r="C113" s="1015" t="s">
        <v>897</v>
      </c>
      <c r="D113" s="1016">
        <f>SUMPRODUCT((A115:A118=F113)*(B114:M114=H113)*B115:M118)</f>
        <v>0.90700000000000003</v>
      </c>
      <c r="E113" s="1017" t="s">
        <v>898</v>
      </c>
      <c r="F113" s="1018" t="str">
        <f>E2</f>
        <v>办公</v>
      </c>
      <c r="G113" s="1017" t="s">
        <v>899</v>
      </c>
      <c r="H113" s="1018" t="str">
        <f>G2</f>
        <v>二级</v>
      </c>
      <c r="I113" s="1017"/>
      <c r="J113" s="1009"/>
      <c r="K113" s="1009"/>
      <c r="L113" s="1009"/>
      <c r="M113" s="1009"/>
    </row>
    <row r="114" spans="1:13" ht="12.75">
      <c r="A114" s="1021"/>
      <c r="B114" s="1022" t="s">
        <v>884</v>
      </c>
      <c r="C114" s="1022" t="s">
        <v>885</v>
      </c>
      <c r="D114" s="1022" t="s">
        <v>886</v>
      </c>
      <c r="E114" s="1023" t="s">
        <v>887</v>
      </c>
      <c r="F114" s="1023" t="s">
        <v>888</v>
      </c>
      <c r="G114" s="1023" t="s">
        <v>889</v>
      </c>
      <c r="H114" s="1024" t="s">
        <v>890</v>
      </c>
      <c r="I114" s="1024" t="s">
        <v>891</v>
      </c>
      <c r="J114" s="1025" t="s">
        <v>892</v>
      </c>
      <c r="K114" s="1025" t="s">
        <v>893</v>
      </c>
      <c r="L114" s="1025" t="s">
        <v>894</v>
      </c>
      <c r="M114" s="1026" t="s">
        <v>895</v>
      </c>
    </row>
    <row r="115" spans="1:13" ht="12.75">
      <c r="A115" s="1027" t="s">
        <v>900</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901</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902</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903</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1" priority="5" stopIfTrue="1" operator="notEqual">
      <formula>"——"</formula>
    </cfRule>
  </conditionalFormatting>
  <conditionalFormatting sqref="F58">
    <cfRule type="cellIs" dxfId="100" priority="4" stopIfTrue="1" operator="notEqual">
      <formula>"——"</formula>
    </cfRule>
  </conditionalFormatting>
  <conditionalFormatting sqref="F69">
    <cfRule type="cellIs" dxfId="99" priority="3" stopIfTrue="1" operator="notEqual">
      <formula>"——"</formula>
    </cfRule>
  </conditionalFormatting>
  <conditionalFormatting sqref="F80">
    <cfRule type="cellIs" dxfId="98" priority="2" stopIfTrue="1" operator="notEqual">
      <formula>"——"</formula>
    </cfRule>
  </conditionalFormatting>
  <conditionalFormatting sqref="H58:H66 H47:H55 H69:H77 H80:H87">
    <cfRule type="cellIs" dxfId="9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1432</v>
      </c>
      <c r="B1" s="1070" t="s">
        <v>907</v>
      </c>
      <c r="C1" s="1070" t="s">
        <v>908</v>
      </c>
      <c r="D1" s="1070" t="s">
        <v>909</v>
      </c>
      <c r="E1" s="1070" t="s">
        <v>910</v>
      </c>
      <c r="F1" s="1070" t="s">
        <v>911</v>
      </c>
      <c r="G1" s="1070" t="s">
        <v>912</v>
      </c>
      <c r="H1" s="1070" t="s">
        <v>913</v>
      </c>
      <c r="I1" s="1070" t="s">
        <v>914</v>
      </c>
      <c r="J1" s="1070" t="s">
        <v>915</v>
      </c>
      <c r="K1" s="1070" t="s">
        <v>916</v>
      </c>
      <c r="L1" s="1070" t="s">
        <v>917</v>
      </c>
      <c r="M1" s="1071" t="s">
        <v>918</v>
      </c>
    </row>
    <row r="2" spans="1:13" ht="19.5" customHeight="1">
      <c r="A2" s="1105" t="s">
        <v>1008</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1030</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1032</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1433</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1434</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1435</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1436</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1437</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1438</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1439</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1440</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1441</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1442</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1443</v>
      </c>
      <c r="B16" s="1124"/>
      <c r="C16" s="1125"/>
      <c r="D16" s="1125"/>
      <c r="E16" s="1124"/>
      <c r="F16" s="1125"/>
      <c r="G16" s="1125"/>
    </row>
    <row r="17" spans="1:9" ht="19.5" customHeight="1">
      <c r="A17" s="1066" t="s">
        <v>1444</v>
      </c>
      <c r="B17" s="1126" t="s">
        <v>1445</v>
      </c>
      <c r="C17" s="1126" t="s">
        <v>1644</v>
      </c>
      <c r="D17" s="1127"/>
      <c r="E17" s="1066" t="s">
        <v>1446</v>
      </c>
      <c r="F17" s="1128"/>
      <c r="G17" s="1128"/>
    </row>
    <row r="18" spans="1:9" s="1598" customFormat="1" ht="19.5" customHeight="1">
      <c r="A18" s="3560" t="s">
        <v>1008</v>
      </c>
      <c r="B18" s="1152" t="s">
        <v>1447</v>
      </c>
      <c r="C18" s="1129" t="s">
        <v>1448</v>
      </c>
      <c r="D18" s="1130"/>
      <c r="E18" s="1152">
        <v>1</v>
      </c>
      <c r="F18" s="1131" t="s">
        <v>1449</v>
      </c>
      <c r="G18" s="1132"/>
      <c r="H18" s="1103"/>
      <c r="I18" s="1103"/>
    </row>
    <row r="19" spans="1:9" s="1598" customFormat="1" ht="19.5" customHeight="1">
      <c r="A19" s="3560"/>
      <c r="B19" s="3560" t="s">
        <v>1450</v>
      </c>
      <c r="C19" s="1129" t="s">
        <v>1451</v>
      </c>
      <c r="D19" s="1130"/>
      <c r="E19" s="1152">
        <v>0.9</v>
      </c>
      <c r="F19" s="1131" t="s">
        <v>1452</v>
      </c>
      <c r="G19" s="1132"/>
      <c r="H19" s="1103"/>
      <c r="I19" s="1103"/>
    </row>
    <row r="20" spans="1:9" s="1598" customFormat="1" ht="19.5" customHeight="1">
      <c r="A20" s="3560"/>
      <c r="B20" s="3560"/>
      <c r="C20" s="1129" t="s">
        <v>1453</v>
      </c>
      <c r="D20" s="1130"/>
      <c r="E20" s="1152">
        <v>1.1000000000000001</v>
      </c>
      <c r="F20" s="1131" t="s">
        <v>1454</v>
      </c>
      <c r="G20" s="1132"/>
      <c r="H20" s="1103"/>
      <c r="I20" s="1103"/>
    </row>
    <row r="21" spans="1:9" s="1598" customFormat="1" ht="19.5" customHeight="1">
      <c r="A21" s="3560"/>
      <c r="B21" s="3560"/>
      <c r="C21" s="1129" t="s">
        <v>1455</v>
      </c>
      <c r="D21" s="1130"/>
      <c r="E21" s="1152">
        <v>0.8</v>
      </c>
      <c r="F21" s="1131" t="s">
        <v>1456</v>
      </c>
      <c r="G21" s="1132"/>
      <c r="H21" s="1103"/>
      <c r="I21" s="1103"/>
    </row>
    <row r="22" spans="1:9" s="1598" customFormat="1" ht="19.5" customHeight="1">
      <c r="A22" s="3560"/>
      <c r="B22" s="3560"/>
      <c r="C22" s="1129" t="s">
        <v>1457</v>
      </c>
      <c r="D22" s="1130"/>
      <c r="E22" s="1152">
        <v>0.5</v>
      </c>
      <c r="F22" s="1131"/>
      <c r="G22" s="1132"/>
      <c r="H22" s="1103"/>
      <c r="I22" s="1103"/>
    </row>
    <row r="23" spans="1:9" s="1598" customFormat="1" ht="19.5" customHeight="1">
      <c r="A23" s="3560" t="s">
        <v>1030</v>
      </c>
      <c r="B23" s="1152" t="s">
        <v>1447</v>
      </c>
      <c r="C23" s="1129" t="s">
        <v>1458</v>
      </c>
      <c r="D23" s="1130"/>
      <c r="E23" s="1152">
        <v>1</v>
      </c>
      <c r="F23" s="1131" t="s">
        <v>1459</v>
      </c>
      <c r="G23" s="1132"/>
      <c r="H23" s="1103"/>
      <c r="I23" s="1103"/>
    </row>
    <row r="24" spans="1:9" s="1598" customFormat="1" ht="19.5" customHeight="1">
      <c r="A24" s="3560"/>
      <c r="B24" s="3560" t="s">
        <v>1450</v>
      </c>
      <c r="C24" s="1129" t="s">
        <v>1460</v>
      </c>
      <c r="D24" s="1130"/>
      <c r="E24" s="1152">
        <v>0.5</v>
      </c>
      <c r="F24" s="1131"/>
      <c r="G24" s="1132"/>
      <c r="H24" s="1103"/>
      <c r="I24" s="1103"/>
    </row>
    <row r="25" spans="1:9" s="1598" customFormat="1" ht="19.5" customHeight="1">
      <c r="A25" s="3560"/>
      <c r="B25" s="3560"/>
      <c r="C25" s="1129" t="s">
        <v>1461</v>
      </c>
      <c r="D25" s="1130"/>
      <c r="E25" s="1152">
        <v>1.1000000000000001</v>
      </c>
      <c r="F25" s="1131"/>
      <c r="G25" s="1132"/>
      <c r="H25" s="1103"/>
      <c r="I25" s="1103"/>
    </row>
    <row r="26" spans="1:9" s="1598" customFormat="1" ht="19.5" customHeight="1">
      <c r="A26" s="3560"/>
      <c r="B26" s="3560"/>
      <c r="C26" s="1129" t="s">
        <v>1462</v>
      </c>
      <c r="D26" s="1130"/>
      <c r="E26" s="1152">
        <v>1.1000000000000001</v>
      </c>
      <c r="F26" s="1131"/>
      <c r="G26" s="1132"/>
      <c r="H26" s="1103"/>
      <c r="I26" s="1103"/>
    </row>
    <row r="27" spans="1:9" s="1598" customFormat="1" ht="19.5" customHeight="1">
      <c r="A27" s="3560"/>
      <c r="B27" s="3560"/>
      <c r="C27" s="1129" t="s">
        <v>1463</v>
      </c>
      <c r="D27" s="1130"/>
      <c r="E27" s="1152">
        <v>0.9</v>
      </c>
      <c r="F27" s="1131" t="s">
        <v>1464</v>
      </c>
      <c r="G27" s="1132"/>
      <c r="H27" s="1103"/>
      <c r="I27" s="1103"/>
    </row>
    <row r="28" spans="1:9" s="1598" customFormat="1" ht="19.5" customHeight="1">
      <c r="A28" s="3560"/>
      <c r="B28" s="3560"/>
      <c r="C28" s="1129" t="s">
        <v>1465</v>
      </c>
      <c r="D28" s="1130"/>
      <c r="E28" s="1152">
        <v>0.9</v>
      </c>
      <c r="F28" s="1131" t="s">
        <v>1466</v>
      </c>
      <c r="G28" s="1132"/>
      <c r="H28" s="1103"/>
      <c r="I28" s="1103"/>
    </row>
    <row r="29" spans="1:9" s="1598" customFormat="1" ht="19.5" customHeight="1">
      <c r="A29" s="3560"/>
      <c r="B29" s="3560"/>
      <c r="C29" s="1129" t="s">
        <v>1467</v>
      </c>
      <c r="D29" s="1130"/>
      <c r="E29" s="1152">
        <v>0.9</v>
      </c>
      <c r="F29" s="1131" t="s">
        <v>1468</v>
      </c>
      <c r="G29" s="1132"/>
      <c r="H29" s="1103"/>
      <c r="I29" s="1103"/>
    </row>
    <row r="30" spans="1:9" s="1598" customFormat="1" ht="19.5" customHeight="1">
      <c r="A30" s="3560"/>
      <c r="B30" s="3560"/>
      <c r="C30" s="1129" t="s">
        <v>1469</v>
      </c>
      <c r="D30" s="1130"/>
      <c r="E30" s="1152">
        <v>0.9</v>
      </c>
      <c r="F30" s="1131" t="s">
        <v>1470</v>
      </c>
      <c r="G30" s="1132"/>
      <c r="H30" s="1103"/>
      <c r="I30" s="1103"/>
    </row>
    <row r="31" spans="1:9" s="1598" customFormat="1" ht="19.5" customHeight="1">
      <c r="A31" s="3560"/>
      <c r="B31" s="3560"/>
      <c r="C31" s="1129" t="s">
        <v>1471</v>
      </c>
      <c r="D31" s="1130"/>
      <c r="E31" s="1152">
        <v>0.8</v>
      </c>
      <c r="F31" s="1131" t="s">
        <v>1472</v>
      </c>
      <c r="G31" s="1132"/>
      <c r="H31" s="1103"/>
      <c r="I31" s="1103"/>
    </row>
    <row r="32" spans="1:9" s="1598" customFormat="1" ht="19.5" customHeight="1">
      <c r="A32" s="3560"/>
      <c r="B32" s="3560"/>
      <c r="C32" s="1129" t="s">
        <v>1473</v>
      </c>
      <c r="D32" s="1130"/>
      <c r="E32" s="1152">
        <v>0.8</v>
      </c>
      <c r="F32" s="1131" t="s">
        <v>1474</v>
      </c>
      <c r="G32" s="1132"/>
      <c r="H32" s="1103"/>
      <c r="I32" s="1103"/>
    </row>
    <row r="33" spans="1:9" s="1598" customFormat="1" ht="19.5" customHeight="1">
      <c r="A33" s="3560" t="s">
        <v>1475</v>
      </c>
      <c r="B33" s="1152" t="s">
        <v>1447</v>
      </c>
      <c r="C33" s="1129" t="s">
        <v>1476</v>
      </c>
      <c r="D33" s="1130"/>
      <c r="E33" s="1152">
        <v>1</v>
      </c>
      <c r="F33" s="1131" t="s">
        <v>1477</v>
      </c>
      <c r="G33" s="1132"/>
      <c r="H33" s="1103"/>
      <c r="I33" s="1103"/>
    </row>
    <row r="34" spans="1:9" s="1598" customFormat="1" ht="19.5" customHeight="1">
      <c r="A34" s="3560"/>
      <c r="B34" s="1152" t="s">
        <v>1450</v>
      </c>
      <c r="C34" s="1129" t="s">
        <v>1478</v>
      </c>
      <c r="D34" s="1130"/>
      <c r="E34" s="1152">
        <v>1.5</v>
      </c>
      <c r="F34" s="1131" t="s">
        <v>1479</v>
      </c>
      <c r="G34" s="1132"/>
      <c r="H34" s="1103"/>
      <c r="I34" s="1103"/>
    </row>
    <row r="35" spans="1:9" s="1598" customFormat="1" ht="19.5" customHeight="1">
      <c r="A35" s="3560" t="s">
        <v>1433</v>
      </c>
      <c r="B35" s="1152" t="s">
        <v>1447</v>
      </c>
      <c r="C35" s="1129" t="s">
        <v>1480</v>
      </c>
      <c r="D35" s="1130"/>
      <c r="E35" s="1152">
        <v>1</v>
      </c>
      <c r="F35" s="1131" t="s">
        <v>1481</v>
      </c>
      <c r="G35" s="1132"/>
      <c r="H35" s="1103"/>
      <c r="I35" s="1103"/>
    </row>
    <row r="36" spans="1:9" s="1598" customFormat="1" ht="19.5" customHeight="1">
      <c r="A36" s="3560"/>
      <c r="B36" s="3560" t="s">
        <v>1450</v>
      </c>
      <c r="C36" s="1129" t="s">
        <v>1482</v>
      </c>
      <c r="D36" s="1130"/>
      <c r="E36" s="1152">
        <v>1</v>
      </c>
      <c r="F36" s="1131" t="s">
        <v>1483</v>
      </c>
      <c r="G36" s="1132"/>
      <c r="H36" s="1103"/>
      <c r="I36" s="1103"/>
    </row>
    <row r="37" spans="1:9" s="1598" customFormat="1" ht="19.5" customHeight="1">
      <c r="A37" s="3560"/>
      <c r="B37" s="3560"/>
      <c r="C37" s="1129" t="s">
        <v>1484</v>
      </c>
      <c r="D37" s="1130"/>
      <c r="E37" s="1152">
        <v>1.5</v>
      </c>
      <c r="F37" s="1131" t="s">
        <v>1485</v>
      </c>
      <c r="G37" s="1132"/>
      <c r="H37" s="1103"/>
      <c r="I37" s="1103"/>
    </row>
    <row r="38" spans="1:9" s="1598" customFormat="1" ht="19.5" customHeight="1">
      <c r="A38" s="3560"/>
      <c r="B38" s="3560"/>
      <c r="C38" s="1129" t="s">
        <v>1486</v>
      </c>
      <c r="D38" s="1130"/>
      <c r="E38" s="1152">
        <v>1</v>
      </c>
      <c r="F38" s="1131" t="s">
        <v>1487</v>
      </c>
      <c r="G38" s="1132"/>
      <c r="H38" s="1103"/>
      <c r="I38" s="1103"/>
    </row>
    <row r="39" spans="1:9" s="1598" customFormat="1" ht="19.5" customHeight="1">
      <c r="A39" s="3560"/>
      <c r="B39" s="3560"/>
      <c r="C39" s="1129" t="s">
        <v>1488</v>
      </c>
      <c r="D39" s="1130"/>
      <c r="E39" s="1152">
        <v>1</v>
      </c>
      <c r="F39" s="1131" t="s">
        <v>1489</v>
      </c>
      <c r="G39" s="1132"/>
      <c r="H39" s="1103"/>
      <c r="I39" s="1103"/>
    </row>
    <row r="40" spans="1:9" s="1598" customFormat="1" ht="19.5" customHeight="1">
      <c r="A40" s="1599" t="s">
        <v>1490</v>
      </c>
      <c r="B40" s="1599"/>
      <c r="C40" s="1599"/>
      <c r="D40" s="1599"/>
      <c r="E40" s="1599"/>
      <c r="F40" s="1131"/>
      <c r="G40" s="1131"/>
      <c r="H40" s="1103"/>
      <c r="I40" s="1103"/>
    </row>
    <row r="42" spans="1:9" ht="19.5" customHeight="1">
      <c r="A42" s="1133"/>
      <c r="B42" s="1066" t="s">
        <v>1491</v>
      </c>
      <c r="C42" s="1066" t="s">
        <v>1491</v>
      </c>
      <c r="D42" s="1066" t="s">
        <v>1491</v>
      </c>
      <c r="E42" s="1151" t="s">
        <v>1491</v>
      </c>
      <c r="F42" s="1151" t="s">
        <v>1491</v>
      </c>
      <c r="G42" s="1151" t="s">
        <v>1492</v>
      </c>
      <c r="H42" s="1151" t="s">
        <v>1491</v>
      </c>
    </row>
    <row r="43" spans="1:9" ht="19.5" customHeight="1">
      <c r="A43" s="1134"/>
      <c r="B43" s="1151" t="s">
        <v>1008</v>
      </c>
      <c r="C43" s="1151" t="s">
        <v>1008</v>
      </c>
      <c r="D43" s="1151" t="s">
        <v>1008</v>
      </c>
      <c r="E43" s="1151" t="s">
        <v>1008</v>
      </c>
      <c r="F43" s="1066" t="s">
        <v>1030</v>
      </c>
      <c r="G43" s="1066" t="s">
        <v>1433</v>
      </c>
      <c r="H43" s="1066" t="s">
        <v>1493</v>
      </c>
    </row>
    <row r="44" spans="1:9" ht="19.5" customHeight="1">
      <c r="A44" s="1135"/>
      <c r="B44" s="1066">
        <v>1</v>
      </c>
      <c r="C44" s="1066">
        <v>2</v>
      </c>
      <c r="D44" s="1066">
        <v>3</v>
      </c>
      <c r="E44" s="1151">
        <v>4</v>
      </c>
      <c r="F44" s="1127" t="s">
        <v>1494</v>
      </c>
      <c r="G44" s="1127" t="s">
        <v>1494</v>
      </c>
      <c r="H44" s="1127" t="s">
        <v>1494</v>
      </c>
    </row>
    <row r="45" spans="1:9" ht="19.5" customHeight="1">
      <c r="A45" s="1150" t="s">
        <v>907</v>
      </c>
      <c r="B45" s="1066">
        <v>0.8</v>
      </c>
      <c r="C45" s="1066">
        <v>0.5</v>
      </c>
      <c r="D45" s="1066">
        <v>0.36</v>
      </c>
      <c r="E45" s="1066">
        <v>0.3</v>
      </c>
      <c r="F45" s="1127">
        <v>0.3</v>
      </c>
      <c r="G45" s="1066">
        <v>0.3</v>
      </c>
      <c r="H45" s="1066">
        <v>0.25</v>
      </c>
    </row>
    <row r="46" spans="1:9" ht="19.5" customHeight="1">
      <c r="A46" s="1150" t="s">
        <v>908</v>
      </c>
      <c r="B46" s="1066">
        <v>0.8</v>
      </c>
      <c r="C46" s="1066">
        <v>0.5</v>
      </c>
      <c r="D46" s="1066">
        <v>0.36</v>
      </c>
      <c r="E46" s="1066">
        <v>0.3</v>
      </c>
      <c r="F46" s="1066">
        <v>0.3</v>
      </c>
      <c r="G46" s="1066">
        <v>0.3</v>
      </c>
      <c r="H46" s="1066">
        <v>0.25</v>
      </c>
    </row>
    <row r="47" spans="1:9" ht="19.5" customHeight="1">
      <c r="A47" s="1150" t="s">
        <v>909</v>
      </c>
      <c r="B47" s="1066">
        <v>0.7</v>
      </c>
      <c r="C47" s="1066">
        <v>0.4</v>
      </c>
      <c r="D47" s="1066">
        <v>0.28000000000000003</v>
      </c>
      <c r="E47" s="1066">
        <v>0.25</v>
      </c>
      <c r="F47" s="1066">
        <v>0.25</v>
      </c>
      <c r="G47" s="1066">
        <v>0.25</v>
      </c>
      <c r="H47" s="1066">
        <v>0.2</v>
      </c>
    </row>
    <row r="48" spans="1:9" ht="19.5" customHeight="1">
      <c r="A48" s="1150" t="s">
        <v>910</v>
      </c>
      <c r="B48" s="1066">
        <v>0.7</v>
      </c>
      <c r="C48" s="1066">
        <v>0.4</v>
      </c>
      <c r="D48" s="1066">
        <v>0.28000000000000003</v>
      </c>
      <c r="E48" s="1066">
        <v>0.25</v>
      </c>
      <c r="F48" s="1066">
        <v>0.25</v>
      </c>
      <c r="G48" s="1066">
        <v>0.25</v>
      </c>
      <c r="H48" s="1066">
        <v>0.2</v>
      </c>
    </row>
    <row r="49" spans="1:8" s="1103" customFormat="1" ht="19.5" customHeight="1">
      <c r="A49" s="1150" t="s">
        <v>911</v>
      </c>
      <c r="B49" s="1066">
        <v>0.7</v>
      </c>
      <c r="C49" s="1066">
        <v>0.4</v>
      </c>
      <c r="D49" s="1066">
        <v>0.28000000000000003</v>
      </c>
      <c r="E49" s="1066">
        <v>0.25</v>
      </c>
      <c r="F49" s="1066">
        <v>0.25</v>
      </c>
      <c r="G49" s="1066">
        <v>0.25</v>
      </c>
      <c r="H49" s="1066">
        <v>0.2</v>
      </c>
    </row>
    <row r="50" spans="1:8" s="1103" customFormat="1" ht="19.5" customHeight="1">
      <c r="A50" s="1150" t="s">
        <v>912</v>
      </c>
      <c r="B50" s="1066">
        <v>0.7</v>
      </c>
      <c r="C50" s="1066">
        <v>0.4</v>
      </c>
      <c r="D50" s="1066">
        <v>0.28000000000000003</v>
      </c>
      <c r="E50" s="1066">
        <v>0.25</v>
      </c>
      <c r="F50" s="1066">
        <v>0.25</v>
      </c>
      <c r="G50" s="1066">
        <v>0.25</v>
      </c>
      <c r="H50" s="1066">
        <v>0.2</v>
      </c>
    </row>
    <row r="51" spans="1:8" s="1103" customFormat="1" ht="19.5" customHeight="1">
      <c r="A51" s="1150" t="s">
        <v>913</v>
      </c>
      <c r="B51" s="1066">
        <v>0.7</v>
      </c>
      <c r="C51" s="1066">
        <v>0.4</v>
      </c>
      <c r="D51" s="1066">
        <v>0.28000000000000003</v>
      </c>
      <c r="E51" s="1066">
        <v>0.25</v>
      </c>
      <c r="F51" s="1066">
        <v>0.25</v>
      </c>
      <c r="G51" s="1066">
        <v>0.25</v>
      </c>
      <c r="H51" s="1066">
        <v>0.2</v>
      </c>
    </row>
    <row r="52" spans="1:8" s="1103" customFormat="1" ht="19.5" customHeight="1">
      <c r="A52" s="1150" t="s">
        <v>914</v>
      </c>
      <c r="B52" s="1066">
        <v>0.6</v>
      </c>
      <c r="C52" s="1066">
        <v>0.3</v>
      </c>
      <c r="D52" s="1066">
        <v>0.2</v>
      </c>
      <c r="E52" s="1066">
        <v>0.2</v>
      </c>
      <c r="F52" s="1066">
        <v>0.2</v>
      </c>
      <c r="G52" s="1066">
        <v>0.2</v>
      </c>
      <c r="H52" s="1066">
        <v>0.15</v>
      </c>
    </row>
    <row r="53" spans="1:8" s="1103" customFormat="1" ht="19.5" customHeight="1">
      <c r="A53" s="1150" t="s">
        <v>915</v>
      </c>
      <c r="B53" s="1066">
        <v>0.6</v>
      </c>
      <c r="C53" s="1066">
        <v>0.3</v>
      </c>
      <c r="D53" s="1066">
        <v>0.2</v>
      </c>
      <c r="E53" s="1066">
        <v>0.2</v>
      </c>
      <c r="F53" s="1066">
        <v>0.2</v>
      </c>
      <c r="G53" s="1066">
        <v>0.2</v>
      </c>
      <c r="H53" s="1066">
        <v>0.15</v>
      </c>
    </row>
    <row r="54" spans="1:8" s="1103" customFormat="1" ht="19.5" customHeight="1">
      <c r="A54" s="1150" t="s">
        <v>916</v>
      </c>
      <c r="B54" s="1066">
        <v>0.6</v>
      </c>
      <c r="C54" s="1066">
        <v>0.3</v>
      </c>
      <c r="D54" s="1066">
        <v>0.2</v>
      </c>
      <c r="E54" s="1066">
        <v>0.2</v>
      </c>
      <c r="F54" s="1066">
        <v>0.2</v>
      </c>
      <c r="G54" s="1066">
        <v>0.2</v>
      </c>
      <c r="H54" s="1066">
        <v>0.15</v>
      </c>
    </row>
    <row r="55" spans="1:8" s="1103" customFormat="1" ht="19.5" customHeight="1">
      <c r="A55" s="1150" t="s">
        <v>917</v>
      </c>
      <c r="B55" s="1066">
        <v>0.6</v>
      </c>
      <c r="C55" s="1066">
        <v>0.3</v>
      </c>
      <c r="D55" s="1066">
        <v>0.2</v>
      </c>
      <c r="E55" s="1066">
        <v>0.2</v>
      </c>
      <c r="F55" s="1066">
        <v>0.2</v>
      </c>
      <c r="G55" s="1066">
        <v>0.2</v>
      </c>
      <c r="H55" s="1066">
        <v>0.15</v>
      </c>
    </row>
    <row r="56" spans="1:8" s="1103" customFormat="1" ht="19.5" customHeight="1">
      <c r="A56" s="1150" t="s">
        <v>918</v>
      </c>
      <c r="B56" s="1066">
        <v>0.6</v>
      </c>
      <c r="C56" s="1066">
        <v>0.3</v>
      </c>
      <c r="D56" s="1066">
        <v>0.2</v>
      </c>
      <c r="E56" s="1066">
        <v>0.2</v>
      </c>
      <c r="F56" s="1066">
        <v>0.2</v>
      </c>
      <c r="G56" s="1066">
        <v>0.2</v>
      </c>
      <c r="H56" s="1066">
        <v>0.15</v>
      </c>
    </row>
    <row r="58" spans="1:8" s="1103" customFormat="1" ht="19.5" customHeight="1">
      <c r="A58" s="1136"/>
      <c r="B58" s="1124"/>
      <c r="C58" s="1124"/>
      <c r="D58" s="1124" t="s">
        <v>1495</v>
      </c>
      <c r="E58" s="1124"/>
      <c r="F58" s="1124"/>
    </row>
    <row r="59" spans="1:8" s="1103" customFormat="1" ht="19.5" customHeight="1">
      <c r="A59" s="1152" t="s">
        <v>1496</v>
      </c>
      <c r="B59" s="1152" t="s">
        <v>1497</v>
      </c>
      <c r="C59" s="1152" t="s">
        <v>1498</v>
      </c>
      <c r="D59" s="1152" t="s">
        <v>1499</v>
      </c>
      <c r="E59" s="1152" t="s">
        <v>1500</v>
      </c>
      <c r="F59" s="1152" t="s">
        <v>1501</v>
      </c>
    </row>
    <row r="60" spans="1:8" s="1103" customFormat="1" ht="19.5" customHeight="1">
      <c r="A60" s="1152"/>
      <c r="B60" s="1152"/>
      <c r="C60" s="1152" t="s">
        <v>1633</v>
      </c>
      <c r="D60" s="1152"/>
      <c r="E60" s="1137" t="s">
        <v>1442</v>
      </c>
      <c r="F60" s="1152" t="s">
        <v>1442</v>
      </c>
    </row>
    <row r="61" spans="1:8" s="1103" customFormat="1" ht="24">
      <c r="A61" s="1152">
        <v>1</v>
      </c>
      <c r="B61" s="3560" t="s">
        <v>1502</v>
      </c>
      <c r="C61" s="1066" t="s">
        <v>1503</v>
      </c>
      <c r="D61" s="1066" t="s">
        <v>1504</v>
      </c>
      <c r="E61" s="1137">
        <v>0.5</v>
      </c>
      <c r="F61" s="1152">
        <v>80</v>
      </c>
      <c r="H61" s="1103">
        <f>SUMIF(C59:C119,基准地价!C8,E59:E119)</f>
        <v>0</v>
      </c>
    </row>
    <row r="62" spans="1:8" s="1103" customFormat="1" ht="24">
      <c r="A62" s="1152">
        <v>2</v>
      </c>
      <c r="B62" s="3560"/>
      <c r="C62" s="1066" t="s">
        <v>1505</v>
      </c>
      <c r="D62" s="1066" t="s">
        <v>1506</v>
      </c>
      <c r="E62" s="1137">
        <v>0.5</v>
      </c>
      <c r="F62" s="1152">
        <v>80</v>
      </c>
    </row>
    <row r="63" spans="1:8" s="1103" customFormat="1" ht="36">
      <c r="A63" s="1152">
        <v>3</v>
      </c>
      <c r="B63" s="3560"/>
      <c r="C63" s="1066" t="s">
        <v>1507</v>
      </c>
      <c r="D63" s="1066" t="s">
        <v>1508</v>
      </c>
      <c r="E63" s="1137">
        <v>0.5</v>
      </c>
      <c r="F63" s="1152">
        <v>80</v>
      </c>
    </row>
    <row r="64" spans="1:8" s="1103" customFormat="1" ht="36">
      <c r="A64" s="1152">
        <v>4</v>
      </c>
      <c r="B64" s="3560"/>
      <c r="C64" s="1066" t="s">
        <v>1509</v>
      </c>
      <c r="D64" s="1066" t="s">
        <v>1510</v>
      </c>
      <c r="E64" s="1137">
        <v>0.4</v>
      </c>
      <c r="F64" s="1152">
        <v>60</v>
      </c>
    </row>
    <row r="65" spans="1:6" s="1103" customFormat="1" ht="36">
      <c r="A65" s="1152">
        <v>5</v>
      </c>
      <c r="B65" s="3560"/>
      <c r="C65" s="1066" t="s">
        <v>1511</v>
      </c>
      <c r="D65" s="1066" t="s">
        <v>1512</v>
      </c>
      <c r="E65" s="1137">
        <v>0.2</v>
      </c>
      <c r="F65" s="1152">
        <v>30</v>
      </c>
    </row>
    <row r="66" spans="1:6" s="1103" customFormat="1" ht="36">
      <c r="A66" s="1152">
        <v>6</v>
      </c>
      <c r="B66" s="3560"/>
      <c r="C66" s="1066" t="s">
        <v>1513</v>
      </c>
      <c r="D66" s="1066" t="s">
        <v>1514</v>
      </c>
      <c r="E66" s="1137">
        <v>0.3</v>
      </c>
      <c r="F66" s="1152">
        <v>50</v>
      </c>
    </row>
    <row r="67" spans="1:6" s="1103" customFormat="1" ht="36">
      <c r="A67" s="1152">
        <v>7</v>
      </c>
      <c r="B67" s="3560"/>
      <c r="C67" s="1066" t="s">
        <v>1515</v>
      </c>
      <c r="D67" s="1066" t="s">
        <v>1516</v>
      </c>
      <c r="E67" s="1137">
        <v>0.2</v>
      </c>
      <c r="F67" s="1152">
        <v>30</v>
      </c>
    </row>
    <row r="68" spans="1:6" s="1103" customFormat="1" ht="36">
      <c r="A68" s="1152">
        <v>8</v>
      </c>
      <c r="B68" s="3560"/>
      <c r="C68" s="1066" t="s">
        <v>1517</v>
      </c>
      <c r="D68" s="1066" t="s">
        <v>1518</v>
      </c>
      <c r="E68" s="1137">
        <v>0.2</v>
      </c>
      <c r="F68" s="1152">
        <v>30</v>
      </c>
    </row>
    <row r="69" spans="1:6" s="1103" customFormat="1" ht="36">
      <c r="A69" s="1152">
        <v>9</v>
      </c>
      <c r="B69" s="3560"/>
      <c r="C69" s="1066" t="s">
        <v>1519</v>
      </c>
      <c r="D69" s="1066" t="s">
        <v>1520</v>
      </c>
      <c r="E69" s="1137">
        <v>0.2</v>
      </c>
      <c r="F69" s="1152">
        <v>30</v>
      </c>
    </row>
    <row r="70" spans="1:6" s="1103" customFormat="1" ht="48">
      <c r="A70" s="1152">
        <v>10</v>
      </c>
      <c r="B70" s="3560"/>
      <c r="C70" s="1066" t="s">
        <v>1521</v>
      </c>
      <c r="D70" s="1066" t="s">
        <v>1522</v>
      </c>
      <c r="E70" s="1137">
        <v>0.2</v>
      </c>
      <c r="F70" s="1152">
        <v>30</v>
      </c>
    </row>
    <row r="71" spans="1:6" s="1103" customFormat="1" ht="48">
      <c r="A71" s="1152">
        <v>11</v>
      </c>
      <c r="B71" s="3560"/>
      <c r="C71" s="1066" t="s">
        <v>1523</v>
      </c>
      <c r="D71" s="1066" t="s">
        <v>1524</v>
      </c>
      <c r="E71" s="1137">
        <v>0.2</v>
      </c>
      <c r="F71" s="1152">
        <v>30</v>
      </c>
    </row>
    <row r="72" spans="1:6" s="1103" customFormat="1" ht="36">
      <c r="A72" s="1152">
        <v>12</v>
      </c>
      <c r="B72" s="3560"/>
      <c r="C72" s="1066" t="s">
        <v>1525</v>
      </c>
      <c r="D72" s="1066" t="s">
        <v>1526</v>
      </c>
      <c r="E72" s="1137">
        <v>0.5</v>
      </c>
      <c r="F72" s="1152">
        <v>80</v>
      </c>
    </row>
    <row r="73" spans="1:6" s="1103" customFormat="1" ht="24">
      <c r="A73" s="1152">
        <v>13</v>
      </c>
      <c r="B73" s="3560"/>
      <c r="C73" s="1066" t="s">
        <v>1527</v>
      </c>
      <c r="D73" s="1066" t="s">
        <v>1528</v>
      </c>
      <c r="E73" s="1137">
        <v>0.4</v>
      </c>
      <c r="F73" s="1152">
        <v>60</v>
      </c>
    </row>
    <row r="74" spans="1:6" s="1103" customFormat="1" ht="24">
      <c r="A74" s="1152">
        <v>14</v>
      </c>
      <c r="B74" s="3560"/>
      <c r="C74" s="1066" t="s">
        <v>1529</v>
      </c>
      <c r="D74" s="1066" t="s">
        <v>1530</v>
      </c>
      <c r="E74" s="1137">
        <v>0.2</v>
      </c>
      <c r="F74" s="1152">
        <v>30</v>
      </c>
    </row>
    <row r="75" spans="1:6" s="1103" customFormat="1" ht="24">
      <c r="A75" s="1152">
        <v>15</v>
      </c>
      <c r="B75" s="3560"/>
      <c r="C75" s="1066" t="s">
        <v>1531</v>
      </c>
      <c r="D75" s="1066" t="s">
        <v>1532</v>
      </c>
      <c r="E75" s="1137">
        <v>0.2</v>
      </c>
      <c r="F75" s="1152">
        <v>30</v>
      </c>
    </row>
    <row r="76" spans="1:6" s="1103" customFormat="1" ht="24">
      <c r="A76" s="1152">
        <v>16</v>
      </c>
      <c r="B76" s="3560" t="s">
        <v>1533</v>
      </c>
      <c r="C76" s="1066" t="s">
        <v>1534</v>
      </c>
      <c r="D76" s="1066" t="s">
        <v>1535</v>
      </c>
      <c r="E76" s="1137">
        <v>0.5</v>
      </c>
      <c r="F76" s="1152">
        <v>80</v>
      </c>
    </row>
    <row r="77" spans="1:6" s="1103" customFormat="1" ht="24">
      <c r="A77" s="1152">
        <v>17</v>
      </c>
      <c r="B77" s="3560"/>
      <c r="C77" s="1066" t="s">
        <v>1536</v>
      </c>
      <c r="D77" s="1066" t="s">
        <v>1537</v>
      </c>
      <c r="E77" s="1137">
        <v>0.5</v>
      </c>
      <c r="F77" s="1152">
        <v>80</v>
      </c>
    </row>
    <row r="78" spans="1:6" s="1103" customFormat="1" ht="24">
      <c r="A78" s="1152">
        <v>18</v>
      </c>
      <c r="B78" s="3560"/>
      <c r="C78" s="1066" t="s">
        <v>1538</v>
      </c>
      <c r="D78" s="1066" t="s">
        <v>1539</v>
      </c>
      <c r="E78" s="1137">
        <v>0.2</v>
      </c>
      <c r="F78" s="1152">
        <v>30</v>
      </c>
    </row>
    <row r="79" spans="1:6" s="1103" customFormat="1" ht="24">
      <c r="A79" s="1152">
        <v>19</v>
      </c>
      <c r="B79" s="3560"/>
      <c r="C79" s="1066" t="s">
        <v>1540</v>
      </c>
      <c r="D79" s="1066" t="s">
        <v>1541</v>
      </c>
      <c r="E79" s="1137">
        <v>0.5</v>
      </c>
      <c r="F79" s="1152">
        <v>80</v>
      </c>
    </row>
    <row r="80" spans="1:6" s="1103" customFormat="1" ht="36">
      <c r="A80" s="1152">
        <v>20</v>
      </c>
      <c r="B80" s="3560"/>
      <c r="C80" s="1066" t="s">
        <v>1542</v>
      </c>
      <c r="D80" s="1066" t="s">
        <v>1543</v>
      </c>
      <c r="E80" s="1137">
        <v>0.2</v>
      </c>
      <c r="F80" s="1152">
        <v>30</v>
      </c>
    </row>
    <row r="81" spans="1:6" s="1103" customFormat="1" ht="36">
      <c r="A81" s="1152">
        <v>21</v>
      </c>
      <c r="B81" s="3560"/>
      <c r="C81" s="1066" t="s">
        <v>1544</v>
      </c>
      <c r="D81" s="1066" t="s">
        <v>1545</v>
      </c>
      <c r="E81" s="1137">
        <v>0.2</v>
      </c>
      <c r="F81" s="1152">
        <v>30</v>
      </c>
    </row>
    <row r="82" spans="1:6" s="1103" customFormat="1" ht="48">
      <c r="A82" s="1152">
        <v>22</v>
      </c>
      <c r="B82" s="3560"/>
      <c r="C82" s="1066" t="s">
        <v>1546</v>
      </c>
      <c r="D82" s="1066" t="s">
        <v>1547</v>
      </c>
      <c r="E82" s="1137">
        <v>0.2</v>
      </c>
      <c r="F82" s="1152">
        <v>30</v>
      </c>
    </row>
    <row r="83" spans="1:6" s="1103" customFormat="1" ht="48">
      <c r="A83" s="1152">
        <v>23</v>
      </c>
      <c r="B83" s="3560"/>
      <c r="C83" s="1066" t="s">
        <v>1548</v>
      </c>
      <c r="D83" s="1066" t="s">
        <v>1549</v>
      </c>
      <c r="E83" s="1137">
        <v>0.2</v>
      </c>
      <c r="F83" s="1152">
        <v>30</v>
      </c>
    </row>
    <row r="84" spans="1:6" s="1103" customFormat="1" ht="36">
      <c r="A84" s="1152">
        <v>24</v>
      </c>
      <c r="B84" s="3560"/>
      <c r="C84" s="1066" t="s">
        <v>1550</v>
      </c>
      <c r="D84" s="1066" t="s">
        <v>1551</v>
      </c>
      <c r="E84" s="1137">
        <v>0.2</v>
      </c>
      <c r="F84" s="1152">
        <v>30</v>
      </c>
    </row>
    <row r="85" spans="1:6" s="1103" customFormat="1" ht="36">
      <c r="A85" s="1152">
        <v>25</v>
      </c>
      <c r="B85" s="3560"/>
      <c r="C85" s="1066" t="s">
        <v>1552</v>
      </c>
      <c r="D85" s="1066" t="s">
        <v>1553</v>
      </c>
      <c r="E85" s="1137">
        <v>0.5</v>
      </c>
      <c r="F85" s="1152">
        <v>80</v>
      </c>
    </row>
    <row r="86" spans="1:6" s="1103" customFormat="1" ht="36">
      <c r="A86" s="1152">
        <v>26</v>
      </c>
      <c r="B86" s="3560"/>
      <c r="C86" s="1066" t="s">
        <v>1554</v>
      </c>
      <c r="D86" s="1066" t="s">
        <v>1555</v>
      </c>
      <c r="E86" s="1137">
        <v>0.2</v>
      </c>
      <c r="F86" s="1152">
        <v>30</v>
      </c>
    </row>
    <row r="87" spans="1:6" s="1103" customFormat="1" ht="36">
      <c r="A87" s="1152">
        <v>27</v>
      </c>
      <c r="B87" s="3560"/>
      <c r="C87" s="1066" t="s">
        <v>1556</v>
      </c>
      <c r="D87" s="1066" t="s">
        <v>1557</v>
      </c>
      <c r="E87" s="1137">
        <v>0.2</v>
      </c>
      <c r="F87" s="1152">
        <v>30</v>
      </c>
    </row>
    <row r="88" spans="1:6" s="1103" customFormat="1" ht="36">
      <c r="A88" s="1152">
        <v>28</v>
      </c>
      <c r="B88" s="3560"/>
      <c r="C88" s="1066" t="s">
        <v>1558</v>
      </c>
      <c r="D88" s="1066" t="s">
        <v>1559</v>
      </c>
      <c r="E88" s="1137">
        <v>0.2</v>
      </c>
      <c r="F88" s="1152">
        <v>30</v>
      </c>
    </row>
    <row r="89" spans="1:6" s="1103" customFormat="1" ht="24">
      <c r="A89" s="1152">
        <v>29</v>
      </c>
      <c r="B89" s="3560"/>
      <c r="C89" s="1066" t="s">
        <v>1560</v>
      </c>
      <c r="D89" s="1066" t="s">
        <v>1561</v>
      </c>
      <c r="E89" s="1137">
        <v>0.2</v>
      </c>
      <c r="F89" s="1152">
        <v>30</v>
      </c>
    </row>
    <row r="90" spans="1:6" s="1103" customFormat="1" ht="24">
      <c r="A90" s="1152">
        <v>30</v>
      </c>
      <c r="B90" s="3560"/>
      <c r="C90" s="1066" t="s">
        <v>1562</v>
      </c>
      <c r="D90" s="1066" t="s">
        <v>1563</v>
      </c>
      <c r="E90" s="1137">
        <v>0.2</v>
      </c>
      <c r="F90" s="1152">
        <v>30</v>
      </c>
    </row>
    <row r="91" spans="1:6" s="1103" customFormat="1" ht="36">
      <c r="A91" s="1152">
        <v>31</v>
      </c>
      <c r="B91" s="3560"/>
      <c r="C91" s="1066" t="s">
        <v>1564</v>
      </c>
      <c r="D91" s="1066" t="s">
        <v>1565</v>
      </c>
      <c r="E91" s="1137">
        <v>0.2</v>
      </c>
      <c r="F91" s="1152">
        <v>30</v>
      </c>
    </row>
    <row r="92" spans="1:6" s="1103" customFormat="1" ht="24">
      <c r="A92" s="1152">
        <v>32</v>
      </c>
      <c r="B92" s="3560" t="s">
        <v>1566</v>
      </c>
      <c r="C92" s="1152" t="s">
        <v>1567</v>
      </c>
      <c r="D92" s="1066" t="s">
        <v>1568</v>
      </c>
      <c r="E92" s="1137">
        <v>0.2</v>
      </c>
      <c r="F92" s="1152">
        <v>30</v>
      </c>
    </row>
    <row r="93" spans="1:6" s="1103" customFormat="1" ht="36">
      <c r="A93" s="1152">
        <v>33</v>
      </c>
      <c r="B93" s="3560"/>
      <c r="C93" s="1152" t="s">
        <v>1569</v>
      </c>
      <c r="D93" s="1066" t="s">
        <v>1570</v>
      </c>
      <c r="E93" s="1137">
        <v>0.2</v>
      </c>
      <c r="F93" s="1152">
        <v>30</v>
      </c>
    </row>
    <row r="94" spans="1:6" s="1103" customFormat="1" ht="48">
      <c r="A94" s="1152">
        <v>34</v>
      </c>
      <c r="B94" s="3560"/>
      <c r="C94" s="1152" t="s">
        <v>1571</v>
      </c>
      <c r="D94" s="1066" t="s">
        <v>1572</v>
      </c>
      <c r="E94" s="1137">
        <v>0.2</v>
      </c>
      <c r="F94" s="1152">
        <v>30</v>
      </c>
    </row>
    <row r="95" spans="1:6" s="1103" customFormat="1" ht="36">
      <c r="A95" s="1152">
        <v>35</v>
      </c>
      <c r="B95" s="3560"/>
      <c r="C95" s="1152" t="s">
        <v>1573</v>
      </c>
      <c r="D95" s="1066" t="s">
        <v>1574</v>
      </c>
      <c r="E95" s="1137">
        <v>0.2</v>
      </c>
      <c r="F95" s="1152">
        <v>30</v>
      </c>
    </row>
    <row r="96" spans="1:6" s="1103" customFormat="1" ht="48">
      <c r="A96" s="1152">
        <v>36</v>
      </c>
      <c r="B96" s="3560"/>
      <c r="C96" s="1066" t="s">
        <v>1575</v>
      </c>
      <c r="D96" s="1066" t="s">
        <v>1576</v>
      </c>
      <c r="E96" s="1137">
        <v>0.2</v>
      </c>
      <c r="F96" s="1152">
        <v>30</v>
      </c>
    </row>
    <row r="97" spans="1:6" s="1103" customFormat="1" ht="36">
      <c r="A97" s="1152">
        <v>37</v>
      </c>
      <c r="B97" s="3560"/>
      <c r="C97" s="1152" t="s">
        <v>1577</v>
      </c>
      <c r="D97" s="1066" t="s">
        <v>1578</v>
      </c>
      <c r="E97" s="1137">
        <v>0.2</v>
      </c>
      <c r="F97" s="1152">
        <v>30</v>
      </c>
    </row>
    <row r="98" spans="1:6" s="1103" customFormat="1" ht="36">
      <c r="A98" s="1152">
        <v>38</v>
      </c>
      <c r="B98" s="3560"/>
      <c r="C98" s="1152" t="s">
        <v>1579</v>
      </c>
      <c r="D98" s="1066" t="s">
        <v>1580</v>
      </c>
      <c r="E98" s="1137">
        <v>0.2</v>
      </c>
      <c r="F98" s="1152">
        <v>30</v>
      </c>
    </row>
    <row r="99" spans="1:6" s="1103" customFormat="1" ht="36">
      <c r="A99" s="1152">
        <v>39</v>
      </c>
      <c r="B99" s="3560" t="s">
        <v>1581</v>
      </c>
      <c r="C99" s="1152" t="s">
        <v>1582</v>
      </c>
      <c r="D99" s="1066" t="s">
        <v>1583</v>
      </c>
      <c r="E99" s="1137">
        <v>0.3</v>
      </c>
      <c r="F99" s="1152">
        <v>50</v>
      </c>
    </row>
    <row r="100" spans="1:6" s="1103" customFormat="1" ht="24">
      <c r="A100" s="1152">
        <v>40</v>
      </c>
      <c r="B100" s="3560"/>
      <c r="C100" s="1152" t="s">
        <v>1584</v>
      </c>
      <c r="D100" s="1066" t="s">
        <v>1585</v>
      </c>
      <c r="E100" s="1137">
        <v>0.2</v>
      </c>
      <c r="F100" s="1152">
        <v>30</v>
      </c>
    </row>
    <row r="101" spans="1:6" s="1103" customFormat="1" ht="36">
      <c r="A101" s="1152">
        <v>41</v>
      </c>
      <c r="B101" s="3560"/>
      <c r="C101" s="1152" t="s">
        <v>1586</v>
      </c>
      <c r="D101" s="1066" t="s">
        <v>1583</v>
      </c>
      <c r="E101" s="1137">
        <v>0.2</v>
      </c>
      <c r="F101" s="1152">
        <v>30</v>
      </c>
    </row>
    <row r="102" spans="1:6" s="1103" customFormat="1" ht="48">
      <c r="A102" s="1152">
        <v>42</v>
      </c>
      <c r="B102" s="1152" t="s">
        <v>1587</v>
      </c>
      <c r="C102" s="1066" t="s">
        <v>1588</v>
      </c>
      <c r="D102" s="1066" t="s">
        <v>1589</v>
      </c>
      <c r="E102" s="1137">
        <v>0.2</v>
      </c>
      <c r="F102" s="1152">
        <v>30</v>
      </c>
    </row>
    <row r="103" spans="1:6" s="1103" customFormat="1" ht="24">
      <c r="A103" s="1152">
        <v>43</v>
      </c>
      <c r="B103" s="1152" t="s">
        <v>1590</v>
      </c>
      <c r="C103" s="1152" t="s">
        <v>1591</v>
      </c>
      <c r="D103" s="1066" t="s">
        <v>1592</v>
      </c>
      <c r="E103" s="1137">
        <v>0.2</v>
      </c>
      <c r="F103" s="1152">
        <v>30</v>
      </c>
    </row>
    <row r="104" spans="1:6" s="1103" customFormat="1" ht="36">
      <c r="A104" s="1152">
        <v>44</v>
      </c>
      <c r="B104" s="1152" t="s">
        <v>1593</v>
      </c>
      <c r="C104" s="1152" t="s">
        <v>1594</v>
      </c>
      <c r="D104" s="1066" t="s">
        <v>1595</v>
      </c>
      <c r="E104" s="1137">
        <v>0.2</v>
      </c>
      <c r="F104" s="1152">
        <v>30</v>
      </c>
    </row>
    <row r="105" spans="1:6" s="1103" customFormat="1" ht="36">
      <c r="A105" s="1152">
        <v>45</v>
      </c>
      <c r="B105" s="3560" t="s">
        <v>1596</v>
      </c>
      <c r="C105" s="1152" t="s">
        <v>1597</v>
      </c>
      <c r="D105" s="1066" t="s">
        <v>1598</v>
      </c>
      <c r="E105" s="1137">
        <v>0.2</v>
      </c>
      <c r="F105" s="1152">
        <v>30</v>
      </c>
    </row>
    <row r="106" spans="1:6" s="1103" customFormat="1" ht="36">
      <c r="A106" s="1152">
        <v>46</v>
      </c>
      <c r="B106" s="3560"/>
      <c r="C106" s="1152" t="s">
        <v>1599</v>
      </c>
      <c r="D106" s="1066" t="s">
        <v>1600</v>
      </c>
      <c r="E106" s="1137">
        <v>0.2</v>
      </c>
      <c r="F106" s="1152">
        <v>30</v>
      </c>
    </row>
    <row r="107" spans="1:6" s="1103" customFormat="1" ht="36">
      <c r="A107" s="1152">
        <v>47</v>
      </c>
      <c r="B107" s="3560" t="s">
        <v>1601</v>
      </c>
      <c r="C107" s="1152" t="s">
        <v>1602</v>
      </c>
      <c r="D107" s="1066" t="s">
        <v>1603</v>
      </c>
      <c r="E107" s="1137">
        <v>0.3</v>
      </c>
      <c r="F107" s="1152">
        <v>50</v>
      </c>
    </row>
    <row r="108" spans="1:6" s="1103" customFormat="1" ht="36">
      <c r="A108" s="1152">
        <v>48</v>
      </c>
      <c r="B108" s="3560"/>
      <c r="C108" s="1152" t="s">
        <v>1604</v>
      </c>
      <c r="D108" s="1066" t="s">
        <v>1605</v>
      </c>
      <c r="E108" s="1137">
        <v>0.2</v>
      </c>
      <c r="F108" s="1152">
        <v>30</v>
      </c>
    </row>
    <row r="109" spans="1:6" s="1103" customFormat="1" ht="36">
      <c r="A109" s="1152">
        <v>49</v>
      </c>
      <c r="B109" s="1152" t="s">
        <v>1606</v>
      </c>
      <c r="C109" s="1152" t="s">
        <v>1607</v>
      </c>
      <c r="D109" s="1066" t="s">
        <v>1608</v>
      </c>
      <c r="E109" s="1137">
        <v>0.2</v>
      </c>
      <c r="F109" s="1152">
        <v>30</v>
      </c>
    </row>
    <row r="110" spans="1:6" s="1103" customFormat="1" ht="36">
      <c r="A110" s="1152">
        <v>50</v>
      </c>
      <c r="B110" s="1152" t="s">
        <v>1609</v>
      </c>
      <c r="C110" s="1152" t="s">
        <v>1610</v>
      </c>
      <c r="D110" s="1066" t="s">
        <v>1611</v>
      </c>
      <c r="E110" s="1137">
        <v>0.2</v>
      </c>
      <c r="F110" s="1152">
        <v>30</v>
      </c>
    </row>
    <row r="111" spans="1:6" s="1103" customFormat="1" ht="36">
      <c r="A111" s="1152">
        <v>51</v>
      </c>
      <c r="B111" s="3560" t="s">
        <v>1612</v>
      </c>
      <c r="C111" s="1152" t="s">
        <v>1613</v>
      </c>
      <c r="D111" s="1066" t="s">
        <v>1614</v>
      </c>
      <c r="E111" s="1137">
        <v>0.2</v>
      </c>
      <c r="F111" s="1152">
        <v>30</v>
      </c>
    </row>
    <row r="112" spans="1:6" s="1103" customFormat="1" ht="24">
      <c r="A112" s="1152">
        <v>52</v>
      </c>
      <c r="B112" s="3560"/>
      <c r="C112" s="1152" t="s">
        <v>1615</v>
      </c>
      <c r="D112" s="1066" t="s">
        <v>1616</v>
      </c>
      <c r="E112" s="1137">
        <v>0.2</v>
      </c>
      <c r="F112" s="1152">
        <v>30</v>
      </c>
    </row>
    <row r="113" spans="1:14" s="1103" customFormat="1" ht="24">
      <c r="A113" s="1152">
        <v>53</v>
      </c>
      <c r="B113" s="3560"/>
      <c r="C113" s="1152" t="s">
        <v>1617</v>
      </c>
      <c r="D113" s="1066" t="s">
        <v>1618</v>
      </c>
      <c r="E113" s="1137">
        <v>0.2</v>
      </c>
      <c r="F113" s="1152">
        <v>30</v>
      </c>
    </row>
    <row r="114" spans="1:14" ht="36">
      <c r="A114" s="1152">
        <v>54</v>
      </c>
      <c r="B114" s="1152" t="s">
        <v>1619</v>
      </c>
      <c r="C114" s="1152" t="s">
        <v>1620</v>
      </c>
      <c r="D114" s="1066" t="s">
        <v>1621</v>
      </c>
      <c r="E114" s="1137">
        <v>0.2</v>
      </c>
      <c r="F114" s="1152">
        <v>30</v>
      </c>
    </row>
    <row r="115" spans="1:14" ht="24">
      <c r="A115" s="1152">
        <v>55</v>
      </c>
      <c r="B115" s="1152" t="s">
        <v>1622</v>
      </c>
      <c r="C115" s="1152" t="s">
        <v>1623</v>
      </c>
      <c r="D115" s="1066" t="s">
        <v>1624</v>
      </c>
      <c r="E115" s="1137">
        <v>0.2</v>
      </c>
      <c r="F115" s="1152">
        <v>30</v>
      </c>
    </row>
    <row r="116" spans="1:14" ht="24">
      <c r="A116" s="1152">
        <v>56</v>
      </c>
      <c r="B116" s="3560" t="s">
        <v>1625</v>
      </c>
      <c r="C116" s="1152" t="s">
        <v>1626</v>
      </c>
      <c r="D116" s="1066" t="s">
        <v>1627</v>
      </c>
      <c r="E116" s="1137">
        <v>0.2</v>
      </c>
      <c r="F116" s="1152">
        <v>30</v>
      </c>
    </row>
    <row r="117" spans="1:14" ht="36">
      <c r="A117" s="1152">
        <v>57</v>
      </c>
      <c r="B117" s="3560"/>
      <c r="C117" s="1152" t="s">
        <v>1628</v>
      </c>
      <c r="D117" s="1066" t="s">
        <v>1629</v>
      </c>
      <c r="E117" s="1137">
        <v>0.2</v>
      </c>
      <c r="F117" s="1152">
        <v>30</v>
      </c>
    </row>
    <row r="118" spans="1:14" ht="36">
      <c r="A118" s="1152">
        <v>58</v>
      </c>
      <c r="B118" s="1152" t="s">
        <v>1630</v>
      </c>
      <c r="C118" s="1152" t="s">
        <v>1631</v>
      </c>
      <c r="D118" s="1066" t="s">
        <v>1632</v>
      </c>
      <c r="E118" s="1137">
        <v>0.2</v>
      </c>
      <c r="F118" s="1152">
        <v>30</v>
      </c>
    </row>
    <row r="119" spans="1:14" ht="13.5">
      <c r="A119" s="1152"/>
      <c r="B119" s="1152"/>
      <c r="C119" s="1152"/>
      <c r="D119" s="1152"/>
      <c r="E119" s="1137"/>
      <c r="F119" s="1152"/>
    </row>
    <row r="121" spans="1:14" ht="19.5" customHeight="1">
      <c r="A121" s="3559" t="s">
        <v>1634</v>
      </c>
      <c r="B121" s="3559"/>
      <c r="C121" s="3559"/>
      <c r="D121" s="3559"/>
      <c r="E121" s="3559"/>
      <c r="F121" s="3559"/>
      <c r="G121" s="3559"/>
      <c r="H121" s="3559"/>
      <c r="I121" s="3559"/>
      <c r="J121" s="355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564" t="s">
        <v>1040</v>
      </c>
      <c r="B1" s="3564"/>
      <c r="C1" s="3564"/>
      <c r="D1" s="3564"/>
      <c r="E1" s="3564"/>
      <c r="F1" s="3564"/>
      <c r="H1" s="1068"/>
      <c r="I1" s="1069" t="s">
        <v>1041</v>
      </c>
      <c r="J1" s="1070" t="s">
        <v>1042</v>
      </c>
      <c r="K1" s="1070" t="s">
        <v>1043</v>
      </c>
      <c r="L1" s="1070" t="s">
        <v>1044</v>
      </c>
      <c r="M1" s="1070" t="s">
        <v>1045</v>
      </c>
      <c r="N1" s="1070" t="s">
        <v>1046</v>
      </c>
      <c r="O1" s="1070" t="s">
        <v>1047</v>
      </c>
      <c r="P1" s="1070" t="s">
        <v>1048</v>
      </c>
      <c r="Q1" s="1070" t="s">
        <v>1049</v>
      </c>
      <c r="R1" s="1070" t="s">
        <v>1050</v>
      </c>
      <c r="S1" s="1070" t="s">
        <v>1051</v>
      </c>
      <c r="T1" s="1071" t="s">
        <v>1052</v>
      </c>
    </row>
    <row r="2" spans="1:20" ht="14.25" thickBot="1">
      <c r="A2" s="3565" t="s">
        <v>1053</v>
      </c>
      <c r="B2" s="3565"/>
      <c r="C2" s="3565"/>
      <c r="D2" s="3565"/>
      <c r="E2" s="3565"/>
      <c r="F2" s="3565"/>
      <c r="I2" s="1072" t="s">
        <v>1054</v>
      </c>
      <c r="J2" s="1073" t="s">
        <v>1055</v>
      </c>
      <c r="K2" s="1073" t="s">
        <v>1056</v>
      </c>
      <c r="L2" s="1073" t="s">
        <v>1057</v>
      </c>
      <c r="M2" s="1073" t="s">
        <v>1058</v>
      </c>
      <c r="N2" s="1073" t="s">
        <v>1059</v>
      </c>
      <c r="O2" s="1073" t="s">
        <v>1060</v>
      </c>
      <c r="P2" s="1073" t="s">
        <v>1061</v>
      </c>
      <c r="Q2" s="1073" t="s">
        <v>1062</v>
      </c>
      <c r="R2" s="1073" t="s">
        <v>1063</v>
      </c>
      <c r="S2" s="1073" t="s">
        <v>1064</v>
      </c>
      <c r="T2" s="1073" t="s">
        <v>1065</v>
      </c>
    </row>
    <row r="3" spans="1:20" s="1068" customFormat="1" ht="19.5" customHeight="1">
      <c r="A3" s="3566" t="s">
        <v>1066</v>
      </c>
      <c r="B3" s="1074"/>
      <c r="C3" s="1075" t="s">
        <v>1067</v>
      </c>
      <c r="D3" s="1075" t="s">
        <v>1068</v>
      </c>
      <c r="E3" s="1075" t="s">
        <v>1069</v>
      </c>
      <c r="F3" s="1075" t="s">
        <v>1070</v>
      </c>
      <c r="G3" s="1076"/>
      <c r="I3" s="1072" t="s">
        <v>1071</v>
      </c>
      <c r="J3" s="1073" t="s">
        <v>1072</v>
      </c>
      <c r="K3" s="1073" t="s">
        <v>1073</v>
      </c>
      <c r="L3" s="1073" t="s">
        <v>1074</v>
      </c>
      <c r="M3" s="1073" t="s">
        <v>1075</v>
      </c>
      <c r="N3" s="1073" t="s">
        <v>1076</v>
      </c>
      <c r="O3" s="1073" t="s">
        <v>1077</v>
      </c>
      <c r="P3" s="1073" t="s">
        <v>1078</v>
      </c>
      <c r="Q3" s="1073" t="s">
        <v>1079</v>
      </c>
      <c r="R3" s="1073" t="s">
        <v>1080</v>
      </c>
      <c r="S3" s="1073" t="s">
        <v>1081</v>
      </c>
      <c r="T3" s="1073" t="s">
        <v>1082</v>
      </c>
    </row>
    <row r="4" spans="1:20" s="1068" customFormat="1" ht="19.5" customHeight="1" thickBot="1">
      <c r="A4" s="3567"/>
      <c r="B4" s="1077" t="s">
        <v>1083</v>
      </c>
      <c r="C4" s="1077" t="s">
        <v>1084</v>
      </c>
      <c r="D4" s="1077" t="s">
        <v>1084</v>
      </c>
      <c r="E4" s="1077" t="s">
        <v>1084</v>
      </c>
      <c r="F4" s="1078" t="s">
        <v>1084</v>
      </c>
      <c r="G4" s="1076"/>
      <c r="I4" s="1072" t="s">
        <v>1085</v>
      </c>
      <c r="J4" s="1073" t="s">
        <v>1086</v>
      </c>
      <c r="K4" s="1073" t="s">
        <v>1087</v>
      </c>
      <c r="L4" s="1073" t="s">
        <v>1088</v>
      </c>
      <c r="M4" s="1073" t="s">
        <v>1089</v>
      </c>
      <c r="N4" s="1073" t="s">
        <v>1090</v>
      </c>
      <c r="O4" s="1073" t="s">
        <v>1091</v>
      </c>
      <c r="P4" s="1073" t="s">
        <v>1092</v>
      </c>
      <c r="Q4" s="1073" t="s">
        <v>1093</v>
      </c>
      <c r="R4" s="1073" t="s">
        <v>1094</v>
      </c>
      <c r="S4" s="1073" t="s">
        <v>1095</v>
      </c>
      <c r="T4" s="1073" t="s">
        <v>1096</v>
      </c>
    </row>
    <row r="5" spans="1:20" ht="14.25" customHeight="1" thickBot="1">
      <c r="A5" s="1079" t="s">
        <v>1097</v>
      </c>
      <c r="B5" s="1080" t="s">
        <v>1054</v>
      </c>
      <c r="C5" s="1080">
        <v>29530</v>
      </c>
      <c r="D5" s="1080">
        <v>28130</v>
      </c>
      <c r="E5" s="1080">
        <v>27930</v>
      </c>
      <c r="F5" s="1081">
        <v>11300</v>
      </c>
      <c r="G5" s="1082" t="s">
        <v>1041</v>
      </c>
      <c r="H5" s="1083">
        <f>SUMPRODUCT((B5:B9=基准地价!I2)*(C3:F3=基准地价!E2)*(C5:F9))</f>
        <v>0</v>
      </c>
      <c r="I5" s="1072" t="s">
        <v>1098</v>
      </c>
      <c r="J5" s="1073" t="s">
        <v>1099</v>
      </c>
      <c r="K5" s="1073" t="s">
        <v>1100</v>
      </c>
      <c r="L5" s="1073" t="s">
        <v>1101</v>
      </c>
      <c r="M5" s="1073" t="s">
        <v>1102</v>
      </c>
      <c r="N5" s="1073" t="s">
        <v>1103</v>
      </c>
      <c r="O5" s="1073" t="s">
        <v>1104</v>
      </c>
      <c r="P5" s="1073" t="s">
        <v>1105</v>
      </c>
      <c r="Q5" s="1073" t="s">
        <v>1106</v>
      </c>
      <c r="R5" s="1073" t="s">
        <v>1107</v>
      </c>
      <c r="S5" s="1073" t="s">
        <v>1108</v>
      </c>
      <c r="T5" s="1073" t="s">
        <v>1109</v>
      </c>
    </row>
    <row r="6" spans="1:20" ht="14.25" customHeight="1" thickBot="1">
      <c r="A6" s="1079" t="s">
        <v>1097</v>
      </c>
      <c r="B6" s="1073" t="s">
        <v>1110</v>
      </c>
      <c r="C6" s="1073">
        <v>30290</v>
      </c>
      <c r="D6" s="1073">
        <v>29210</v>
      </c>
      <c r="E6" s="1073">
        <v>28860</v>
      </c>
      <c r="F6" s="1084">
        <v>12600</v>
      </c>
      <c r="G6" s="1085" t="s">
        <v>1111</v>
      </c>
      <c r="H6" s="1086">
        <f>SUMPRODUCT((B10:B28=基准地价!I2)*(C3:F3=基准地价!E2)*(C10:F28))</f>
        <v>26180</v>
      </c>
      <c r="I6" s="1072" t="s">
        <v>1112</v>
      </c>
      <c r="J6" s="1073" t="s">
        <v>1113</v>
      </c>
      <c r="K6" s="1073" t="s">
        <v>1114</v>
      </c>
      <c r="L6" s="1073" t="s">
        <v>1115</v>
      </c>
      <c r="M6" s="1073" t="s">
        <v>1116</v>
      </c>
      <c r="N6" s="1073" t="s">
        <v>1117</v>
      </c>
      <c r="O6" s="1073" t="s">
        <v>1118</v>
      </c>
      <c r="P6" s="1073" t="s">
        <v>1119</v>
      </c>
      <c r="Q6" s="1073" t="s">
        <v>1120</v>
      </c>
      <c r="R6" s="1073" t="s">
        <v>1121</v>
      </c>
      <c r="S6" s="1073" t="s">
        <v>1122</v>
      </c>
      <c r="T6" s="1073" t="s">
        <v>1123</v>
      </c>
    </row>
    <row r="7" spans="1:20" ht="14.25" customHeight="1" thickBot="1">
      <c r="A7" s="1079" t="s">
        <v>1097</v>
      </c>
      <c r="B7" s="1087" t="s">
        <v>1085</v>
      </c>
      <c r="C7" s="1073">
        <v>29350</v>
      </c>
      <c r="D7" s="1073">
        <v>28410</v>
      </c>
      <c r="E7" s="1073">
        <v>27990</v>
      </c>
      <c r="F7" s="1084">
        <v>12300</v>
      </c>
      <c r="G7" s="1085" t="s">
        <v>909</v>
      </c>
      <c r="H7" s="1086">
        <f>SUMPRODUCT((B29:B48=基准地价!I2)*(C3:F3=基准地价!E2)*(C29:F48))</f>
        <v>0</v>
      </c>
      <c r="J7" s="1073" t="s">
        <v>1124</v>
      </c>
      <c r="K7" s="1073" t="s">
        <v>1125</v>
      </c>
      <c r="L7" s="1073" t="s">
        <v>1126</v>
      </c>
      <c r="M7" s="1073" t="s">
        <v>1127</v>
      </c>
      <c r="N7" s="1073" t="s">
        <v>1128</v>
      </c>
      <c r="O7" s="1073" t="s">
        <v>1129</v>
      </c>
      <c r="P7" s="1073" t="s">
        <v>1130</v>
      </c>
      <c r="Q7" s="1073" t="s">
        <v>1131</v>
      </c>
      <c r="R7" s="1073" t="s">
        <v>1132</v>
      </c>
      <c r="S7" s="1073" t="s">
        <v>1133</v>
      </c>
      <c r="T7" s="1087" t="s">
        <v>1134</v>
      </c>
    </row>
    <row r="8" spans="1:20" ht="14.25" customHeight="1" thickBot="1">
      <c r="A8" s="1079" t="s">
        <v>1097</v>
      </c>
      <c r="B8" s="1073" t="s">
        <v>1098</v>
      </c>
      <c r="C8" s="1073">
        <v>30890</v>
      </c>
      <c r="D8" s="1073">
        <v>29780</v>
      </c>
      <c r="E8" s="1073">
        <v>29270</v>
      </c>
      <c r="F8" s="1084">
        <v>11600</v>
      </c>
      <c r="G8" s="1085" t="s">
        <v>910</v>
      </c>
      <c r="H8" s="1086">
        <f>SUMPRODUCT((B49:B75=基准地价!I2)*(C3:F3=基准地价!E2)*(C49:F75))</f>
        <v>0</v>
      </c>
      <c r="J8" s="1073" t="s">
        <v>1135</v>
      </c>
      <c r="K8" s="1073" t="s">
        <v>1136</v>
      </c>
      <c r="L8" s="1073" t="s">
        <v>1137</v>
      </c>
      <c r="M8" s="1073" t="s">
        <v>1138</v>
      </c>
      <c r="N8" s="1073" t="s">
        <v>1139</v>
      </c>
      <c r="O8" s="1073" t="s">
        <v>1140</v>
      </c>
      <c r="P8" s="1073" t="s">
        <v>1141</v>
      </c>
      <c r="Q8" s="1073" t="s">
        <v>1142</v>
      </c>
      <c r="R8" s="1073" t="s">
        <v>1143</v>
      </c>
      <c r="S8" s="1073" t="s">
        <v>1144</v>
      </c>
      <c r="T8" s="1073" t="s">
        <v>1145</v>
      </c>
    </row>
    <row r="9" spans="1:20" ht="14.25" customHeight="1" thickBot="1">
      <c r="A9" s="1079" t="s">
        <v>1097</v>
      </c>
      <c r="B9" s="1088" t="s">
        <v>1112</v>
      </c>
      <c r="C9" s="1089">
        <v>28140</v>
      </c>
      <c r="D9" s="1089"/>
      <c r="E9" s="1089"/>
      <c r="F9" s="1090"/>
      <c r="G9" s="1085" t="s">
        <v>911</v>
      </c>
      <c r="H9" s="1086">
        <f>SUMPRODUCT((B76:B109=基准地价!I2)*(C3:F3=基准地价!E2)*(C76:F109))</f>
        <v>0</v>
      </c>
      <c r="J9" s="1073" t="s">
        <v>1146</v>
      </c>
      <c r="K9" s="1073" t="s">
        <v>1147</v>
      </c>
      <c r="L9" s="1073" t="s">
        <v>1148</v>
      </c>
      <c r="M9" s="1073" t="s">
        <v>1149</v>
      </c>
      <c r="N9" s="1073" t="s">
        <v>1150</v>
      </c>
      <c r="O9" s="1073" t="s">
        <v>1151</v>
      </c>
      <c r="P9" s="1073" t="s">
        <v>1152</v>
      </c>
      <c r="Q9" s="1073" t="s">
        <v>1153</v>
      </c>
      <c r="R9" s="1073" t="s">
        <v>1154</v>
      </c>
      <c r="S9" s="1073" t="s">
        <v>1155</v>
      </c>
    </row>
    <row r="10" spans="1:20" ht="14.25" customHeight="1" thickBot="1">
      <c r="A10" s="1079" t="s">
        <v>1156</v>
      </c>
      <c r="B10" s="1080" t="s">
        <v>1157</v>
      </c>
      <c r="C10" s="1080">
        <v>27450</v>
      </c>
      <c r="D10" s="1080">
        <v>26180</v>
      </c>
      <c r="E10" s="1080">
        <v>25980</v>
      </c>
      <c r="F10" s="1081">
        <v>8910</v>
      </c>
      <c r="G10" s="1085" t="s">
        <v>912</v>
      </c>
      <c r="H10" s="1086">
        <f>SUMPRODUCT((B110:B157=基准地价!I2)*(C3:F3=基准地价!E2)*(C110:F157))</f>
        <v>0</v>
      </c>
      <c r="J10" s="1073" t="s">
        <v>1158</v>
      </c>
      <c r="K10" s="1073" t="s">
        <v>1159</v>
      </c>
      <c r="L10" s="1073" t="s">
        <v>1160</v>
      </c>
      <c r="M10" s="1073" t="s">
        <v>1161</v>
      </c>
      <c r="N10" s="1073" t="s">
        <v>1162</v>
      </c>
      <c r="O10" s="1073" t="s">
        <v>1163</v>
      </c>
      <c r="P10" s="1073" t="s">
        <v>1164</v>
      </c>
      <c r="Q10" s="1073" t="s">
        <v>1165</v>
      </c>
      <c r="R10" s="1073" t="s">
        <v>1166</v>
      </c>
      <c r="S10" s="1073" t="s">
        <v>1167</v>
      </c>
    </row>
    <row r="11" spans="1:20" ht="14.25" customHeight="1" thickBot="1">
      <c r="A11" s="1079" t="s">
        <v>1156</v>
      </c>
      <c r="B11" s="1087" t="s">
        <v>1072</v>
      </c>
      <c r="C11" s="1073">
        <v>22950</v>
      </c>
      <c r="D11" s="1073">
        <v>22630</v>
      </c>
      <c r="E11" s="1073">
        <v>22030</v>
      </c>
      <c r="F11" s="1091">
        <v>8330</v>
      </c>
      <c r="G11" s="1085" t="s">
        <v>913</v>
      </c>
      <c r="H11" s="1086">
        <f>SUMPRODUCT((B158:B205=基准地价!I2)*(C3:F3=基准地价!E2)*(C158:F205))</f>
        <v>0</v>
      </c>
      <c r="J11" s="1073" t="s">
        <v>1168</v>
      </c>
      <c r="K11" s="1073" t="s">
        <v>1169</v>
      </c>
      <c r="L11" s="1073" t="s">
        <v>1170</v>
      </c>
      <c r="M11" s="1073" t="s">
        <v>1171</v>
      </c>
      <c r="N11" s="1073" t="s">
        <v>1172</v>
      </c>
      <c r="O11" s="1073" t="s">
        <v>1173</v>
      </c>
      <c r="P11" s="1073" t="s">
        <v>1174</v>
      </c>
      <c r="Q11" s="1073" t="s">
        <v>1175</v>
      </c>
      <c r="R11" s="1073" t="s">
        <v>1176</v>
      </c>
      <c r="S11" s="1073" t="s">
        <v>1177</v>
      </c>
    </row>
    <row r="12" spans="1:20" ht="14.25" customHeight="1" thickBot="1">
      <c r="A12" s="1079" t="s">
        <v>1156</v>
      </c>
      <c r="B12" s="1087" t="s">
        <v>1086</v>
      </c>
      <c r="C12" s="1073">
        <v>24940</v>
      </c>
      <c r="D12" s="1073">
        <v>23180</v>
      </c>
      <c r="E12" s="1073">
        <v>22910</v>
      </c>
      <c r="F12" s="1091">
        <v>7180</v>
      </c>
      <c r="G12" s="1085" t="s">
        <v>914</v>
      </c>
      <c r="H12" s="1086">
        <f>SUMPRODUCT((B206:B244=基准地价!I2)*(C3:F3=基准地价!E2)*(C206:F244))</f>
        <v>0</v>
      </c>
      <c r="J12" s="1073" t="s">
        <v>1178</v>
      </c>
      <c r="K12" s="1073" t="s">
        <v>1179</v>
      </c>
      <c r="L12" s="1073" t="s">
        <v>1180</v>
      </c>
      <c r="M12" s="1073" t="s">
        <v>1181</v>
      </c>
      <c r="N12" s="1073" t="s">
        <v>1182</v>
      </c>
      <c r="O12" s="1073" t="s">
        <v>1183</v>
      </c>
      <c r="P12" s="1073" t="s">
        <v>1184</v>
      </c>
      <c r="Q12" s="1073" t="s">
        <v>1185</v>
      </c>
      <c r="R12" s="1073" t="s">
        <v>1186</v>
      </c>
      <c r="S12" s="1073" t="s">
        <v>1187</v>
      </c>
    </row>
    <row r="13" spans="1:20" ht="14.25" customHeight="1" thickBot="1">
      <c r="A13" s="1079" t="s">
        <v>1156</v>
      </c>
      <c r="B13" s="1087" t="s">
        <v>1099</v>
      </c>
      <c r="C13" s="1073">
        <v>24140</v>
      </c>
      <c r="D13" s="1073">
        <v>22270</v>
      </c>
      <c r="E13" s="1073">
        <v>21950</v>
      </c>
      <c r="F13" s="1091">
        <v>7600</v>
      </c>
      <c r="G13" s="1085" t="s">
        <v>915</v>
      </c>
      <c r="H13" s="1086">
        <f>SUMPRODUCT((B245:B289=基准地价!I2)*(C3:F3=基准地价!E2)*(C245:F289))</f>
        <v>0</v>
      </c>
      <c r="J13" s="1073" t="s">
        <v>1188</v>
      </c>
      <c r="K13" s="1073" t="s">
        <v>1189</v>
      </c>
      <c r="L13" s="1073" t="s">
        <v>1190</v>
      </c>
      <c r="M13" s="1073" t="s">
        <v>1191</v>
      </c>
      <c r="N13" s="1073" t="s">
        <v>1192</v>
      </c>
      <c r="O13" s="1073" t="s">
        <v>1193</v>
      </c>
      <c r="P13" s="1073" t="s">
        <v>1194</v>
      </c>
      <c r="Q13" s="1073" t="s">
        <v>1195</v>
      </c>
      <c r="R13" s="1073" t="s">
        <v>1196</v>
      </c>
      <c r="S13" s="1073" t="s">
        <v>1197</v>
      </c>
    </row>
    <row r="14" spans="1:20" ht="14.25" customHeight="1" thickBot="1">
      <c r="A14" s="1079" t="s">
        <v>1156</v>
      </c>
      <c r="B14" s="1087" t="s">
        <v>1113</v>
      </c>
      <c r="C14" s="1073">
        <v>25600</v>
      </c>
      <c r="D14" s="1073">
        <v>22260</v>
      </c>
      <c r="E14" s="1073">
        <v>22110</v>
      </c>
      <c r="F14" s="1091">
        <v>7630</v>
      </c>
      <c r="G14" s="1085" t="s">
        <v>916</v>
      </c>
      <c r="H14" s="1086">
        <f>SUMPRODUCT((B290:B316=基准地价!I2)*(C3:F3=基准地价!E2)*(C290:F316))</f>
        <v>0</v>
      </c>
      <c r="J14" s="1073" t="s">
        <v>1198</v>
      </c>
      <c r="K14" s="1073" t="s">
        <v>1199</v>
      </c>
      <c r="L14" s="1073" t="s">
        <v>1200</v>
      </c>
      <c r="M14" s="1073" t="s">
        <v>1201</v>
      </c>
      <c r="N14" s="1073" t="s">
        <v>1202</v>
      </c>
      <c r="O14" s="1073" t="s">
        <v>1203</v>
      </c>
      <c r="P14" s="1073" t="s">
        <v>1204</v>
      </c>
      <c r="Q14" s="1073" t="s">
        <v>1205</v>
      </c>
      <c r="R14" s="1073" t="s">
        <v>1206</v>
      </c>
      <c r="S14" s="1073" t="s">
        <v>1207</v>
      </c>
    </row>
    <row r="15" spans="1:20" ht="14.25" customHeight="1" thickBot="1">
      <c r="A15" s="1079" t="s">
        <v>1156</v>
      </c>
      <c r="B15" s="1087" t="s">
        <v>1124</v>
      </c>
      <c r="C15" s="1073">
        <v>24760</v>
      </c>
      <c r="D15" s="1073">
        <v>24440</v>
      </c>
      <c r="E15" s="1073">
        <v>24130</v>
      </c>
      <c r="F15" s="1091">
        <v>9480</v>
      </c>
      <c r="G15" s="1085" t="s">
        <v>917</v>
      </c>
      <c r="H15" s="1086">
        <f>SUMPRODUCT((B317:B337=基准地价!I2)*(C3:F3=基准地价!E2)*(C317:F337))</f>
        <v>0</v>
      </c>
      <c r="J15" s="1073" t="s">
        <v>1208</v>
      </c>
      <c r="K15" s="1073" t="s">
        <v>1209</v>
      </c>
      <c r="L15" s="1073" t="s">
        <v>1210</v>
      </c>
      <c r="M15" s="1073" t="s">
        <v>1211</v>
      </c>
      <c r="N15" s="1073" t="s">
        <v>1212</v>
      </c>
      <c r="O15" s="1073" t="s">
        <v>1213</v>
      </c>
      <c r="P15" s="1073" t="s">
        <v>1214</v>
      </c>
      <c r="Q15" s="1073" t="s">
        <v>1215</v>
      </c>
      <c r="R15" s="1073" t="s">
        <v>1216</v>
      </c>
      <c r="S15" s="1073" t="s">
        <v>1217</v>
      </c>
    </row>
    <row r="16" spans="1:20" ht="14.25" customHeight="1" thickBot="1">
      <c r="A16" s="1079" t="s">
        <v>1156</v>
      </c>
      <c r="B16" s="1087" t="s">
        <v>1135</v>
      </c>
      <c r="C16" s="1073">
        <v>22220</v>
      </c>
      <c r="D16" s="1073">
        <v>22310</v>
      </c>
      <c r="E16" s="1073">
        <v>22000</v>
      </c>
      <c r="F16" s="1091">
        <v>8900</v>
      </c>
      <c r="G16" s="1092" t="s">
        <v>918</v>
      </c>
      <c r="H16" s="1093">
        <f>SUMPRODUCT((B338:B344=基准地价!I2)*(C3:F3=基准地价!E2)*(C338:F344))</f>
        <v>0</v>
      </c>
      <c r="J16" s="1073" t="s">
        <v>1218</v>
      </c>
      <c r="K16" s="1073" t="s">
        <v>1219</v>
      </c>
      <c r="L16" s="1073" t="s">
        <v>1220</v>
      </c>
      <c r="M16" s="1073" t="s">
        <v>1221</v>
      </c>
      <c r="N16" s="1073" t="s">
        <v>1222</v>
      </c>
      <c r="O16" s="1073" t="s">
        <v>1223</v>
      </c>
      <c r="P16" s="1073" t="s">
        <v>1224</v>
      </c>
      <c r="Q16" s="1073" t="s">
        <v>1225</v>
      </c>
      <c r="R16" s="1073" t="s">
        <v>1226</v>
      </c>
      <c r="S16" s="1073" t="s">
        <v>1227</v>
      </c>
    </row>
    <row r="17" spans="1:19" ht="14.25" customHeight="1" thickBot="1">
      <c r="A17" s="1079" t="s">
        <v>1156</v>
      </c>
      <c r="B17" s="1087" t="s">
        <v>1146</v>
      </c>
      <c r="C17" s="1073">
        <v>24700</v>
      </c>
      <c r="D17" s="1073">
        <v>25150</v>
      </c>
      <c r="E17" s="1073">
        <v>24700</v>
      </c>
      <c r="F17" s="1094"/>
      <c r="H17" s="1095"/>
      <c r="J17" s="1073" t="s">
        <v>1228</v>
      </c>
      <c r="K17" s="1073" t="s">
        <v>1229</v>
      </c>
      <c r="L17" s="1073" t="s">
        <v>1230</v>
      </c>
      <c r="M17" s="1073" t="s">
        <v>1231</v>
      </c>
      <c r="N17" s="1073" t="s">
        <v>1232</v>
      </c>
      <c r="O17" s="1073" t="s">
        <v>1233</v>
      </c>
      <c r="P17" s="1073" t="s">
        <v>1234</v>
      </c>
      <c r="Q17" s="1073" t="s">
        <v>1235</v>
      </c>
      <c r="R17" s="1073" t="s">
        <v>1236</v>
      </c>
      <c r="S17" s="1073" t="s">
        <v>1237</v>
      </c>
    </row>
    <row r="18" spans="1:19" ht="14.25" customHeight="1" thickBot="1">
      <c r="A18" s="1079" t="s">
        <v>1156</v>
      </c>
      <c r="B18" s="1087" t="s">
        <v>1158</v>
      </c>
      <c r="C18" s="1073">
        <v>22350</v>
      </c>
      <c r="D18" s="1073">
        <v>24340</v>
      </c>
      <c r="E18" s="1073">
        <v>24100</v>
      </c>
      <c r="F18" s="1094"/>
      <c r="H18" s="1095"/>
      <c r="J18" s="1073" t="s">
        <v>1238</v>
      </c>
      <c r="K18" s="1073" t="s">
        <v>1239</v>
      </c>
      <c r="L18" s="1073" t="s">
        <v>1240</v>
      </c>
      <c r="M18" s="1073" t="s">
        <v>1241</v>
      </c>
      <c r="N18" s="1073" t="s">
        <v>1242</v>
      </c>
      <c r="O18" s="1073" t="s">
        <v>1243</v>
      </c>
      <c r="P18" s="1073" t="s">
        <v>1244</v>
      </c>
      <c r="Q18" s="1073" t="s">
        <v>1245</v>
      </c>
      <c r="R18" s="1073" t="s">
        <v>1246</v>
      </c>
      <c r="S18" s="1073" t="s">
        <v>1247</v>
      </c>
    </row>
    <row r="19" spans="1:19" ht="14.25" customHeight="1" thickBot="1">
      <c r="A19" s="1079" t="s">
        <v>1156</v>
      </c>
      <c r="B19" s="1087" t="s">
        <v>1168</v>
      </c>
      <c r="C19" s="1073">
        <v>23430</v>
      </c>
      <c r="D19" s="1073">
        <v>21580</v>
      </c>
      <c r="E19" s="1073">
        <v>21350</v>
      </c>
      <c r="F19" s="1094"/>
      <c r="H19" s="1095"/>
      <c r="J19" s="1073" t="s">
        <v>1248</v>
      </c>
      <c r="K19" s="1073" t="s">
        <v>1249</v>
      </c>
      <c r="L19" s="1073" t="s">
        <v>1250</v>
      </c>
      <c r="M19" s="1073" t="s">
        <v>1251</v>
      </c>
      <c r="N19" s="1073" t="s">
        <v>1252</v>
      </c>
      <c r="O19" s="1073" t="s">
        <v>1253</v>
      </c>
      <c r="P19" s="1073" t="s">
        <v>1254</v>
      </c>
      <c r="Q19" s="1073" t="s">
        <v>1255</v>
      </c>
      <c r="R19" s="1073" t="s">
        <v>1256</v>
      </c>
      <c r="S19" s="1073" t="s">
        <v>1257</v>
      </c>
    </row>
    <row r="20" spans="1:19" ht="14.25" customHeight="1" thickBot="1">
      <c r="A20" s="1079" t="s">
        <v>1156</v>
      </c>
      <c r="B20" s="1087" t="s">
        <v>1178</v>
      </c>
      <c r="C20" s="1073">
        <v>27660</v>
      </c>
      <c r="D20" s="1073">
        <v>24240</v>
      </c>
      <c r="E20" s="1073">
        <v>24020</v>
      </c>
      <c r="F20" s="1094"/>
      <c r="J20" s="1073" t="s">
        <v>1258</v>
      </c>
      <c r="K20" s="1073" t="s">
        <v>1259</v>
      </c>
      <c r="L20" s="1073" t="s">
        <v>1260</v>
      </c>
      <c r="M20" s="1073" t="s">
        <v>1261</v>
      </c>
      <c r="N20" s="1073" t="s">
        <v>1262</v>
      </c>
      <c r="O20" s="1073" t="s">
        <v>1263</v>
      </c>
      <c r="P20" s="1073" t="s">
        <v>1264</v>
      </c>
      <c r="Q20" s="1073" t="s">
        <v>1265</v>
      </c>
      <c r="R20" s="1073" t="s">
        <v>1266</v>
      </c>
      <c r="S20" s="1073" t="s">
        <v>1267</v>
      </c>
    </row>
    <row r="21" spans="1:19" ht="14.25" customHeight="1" thickBot="1">
      <c r="A21" s="1079" t="s">
        <v>1156</v>
      </c>
      <c r="B21" s="1087" t="s">
        <v>1188</v>
      </c>
      <c r="C21" s="1073">
        <v>24720</v>
      </c>
      <c r="D21" s="1073">
        <v>21670</v>
      </c>
      <c r="E21" s="1073">
        <v>21510</v>
      </c>
      <c r="F21" s="1094"/>
      <c r="K21" s="1073" t="s">
        <v>1268</v>
      </c>
      <c r="L21" s="1073" t="s">
        <v>1269</v>
      </c>
      <c r="M21" s="1073" t="s">
        <v>1270</v>
      </c>
      <c r="N21" s="1073" t="s">
        <v>1271</v>
      </c>
      <c r="O21" s="1073" t="s">
        <v>1272</v>
      </c>
      <c r="P21" s="1073" t="s">
        <v>1273</v>
      </c>
      <c r="Q21" s="1073" t="s">
        <v>1274</v>
      </c>
      <c r="R21" s="1073" t="s">
        <v>1275</v>
      </c>
      <c r="S21" s="1073" t="s">
        <v>1276</v>
      </c>
    </row>
    <row r="22" spans="1:19" ht="14.25" customHeight="1" thickBot="1">
      <c r="A22" s="1079" t="s">
        <v>1156</v>
      </c>
      <c r="B22" s="1087" t="s">
        <v>1277</v>
      </c>
      <c r="C22" s="1073">
        <v>26530</v>
      </c>
      <c r="D22" s="1073">
        <v>22980</v>
      </c>
      <c r="E22" s="1073">
        <v>22650</v>
      </c>
      <c r="F22" s="1094"/>
      <c r="L22" s="1073" t="s">
        <v>1278</v>
      </c>
      <c r="M22" s="1073" t="s">
        <v>1279</v>
      </c>
      <c r="N22" s="1073" t="s">
        <v>1280</v>
      </c>
      <c r="O22" s="1073" t="s">
        <v>1281</v>
      </c>
      <c r="P22" s="1073" t="s">
        <v>1282</v>
      </c>
      <c r="Q22" s="1073" t="s">
        <v>1283</v>
      </c>
      <c r="R22" s="1073" t="s">
        <v>1284</v>
      </c>
      <c r="S22" s="1087" t="s">
        <v>1285</v>
      </c>
    </row>
    <row r="23" spans="1:19" ht="14.25" customHeight="1" thickBot="1">
      <c r="A23" s="1079" t="s">
        <v>1156</v>
      </c>
      <c r="B23" s="1087" t="s">
        <v>1208</v>
      </c>
      <c r="C23" s="1073">
        <v>24700</v>
      </c>
      <c r="D23" s="1073">
        <v>27290</v>
      </c>
      <c r="E23" s="1073">
        <v>26710</v>
      </c>
      <c r="F23" s="1094"/>
      <c r="L23" s="1073" t="s">
        <v>1286</v>
      </c>
      <c r="M23" s="1073" t="s">
        <v>1287</v>
      </c>
      <c r="N23" s="1073" t="s">
        <v>1288</v>
      </c>
      <c r="O23" s="1073" t="s">
        <v>1289</v>
      </c>
      <c r="P23" s="1073" t="s">
        <v>1290</v>
      </c>
      <c r="Q23" s="1073" t="s">
        <v>1291</v>
      </c>
      <c r="R23" s="1073" t="s">
        <v>1292</v>
      </c>
    </row>
    <row r="24" spans="1:19" ht="14.25" customHeight="1" thickBot="1">
      <c r="A24" s="1079" t="s">
        <v>1156</v>
      </c>
      <c r="B24" s="1087" t="s">
        <v>1218</v>
      </c>
      <c r="C24" s="1073">
        <v>23070</v>
      </c>
      <c r="D24" s="1073">
        <v>24130</v>
      </c>
      <c r="E24" s="1073">
        <v>23860</v>
      </c>
      <c r="F24" s="1094"/>
      <c r="L24" s="1073" t="s">
        <v>1293</v>
      </c>
      <c r="M24" s="1073" t="s">
        <v>1294</v>
      </c>
      <c r="N24" s="1073" t="s">
        <v>1295</v>
      </c>
      <c r="O24" s="1073" t="s">
        <v>1296</v>
      </c>
      <c r="P24" s="1073" t="s">
        <v>1297</v>
      </c>
      <c r="Q24" s="1073" t="s">
        <v>1298</v>
      </c>
      <c r="R24" s="1073" t="s">
        <v>1299</v>
      </c>
    </row>
    <row r="25" spans="1:19" ht="14.25" customHeight="1" thickBot="1">
      <c r="A25" s="1079" t="s">
        <v>1156</v>
      </c>
      <c r="B25" s="1087" t="s">
        <v>1228</v>
      </c>
      <c r="C25" s="1073">
        <v>27550</v>
      </c>
      <c r="D25" s="1073">
        <v>25850</v>
      </c>
      <c r="E25" s="1073">
        <v>25340</v>
      </c>
      <c r="F25" s="1094"/>
      <c r="L25" s="1073" t="s">
        <v>1300</v>
      </c>
      <c r="M25" s="1073" t="s">
        <v>1301</v>
      </c>
      <c r="N25" s="1073" t="s">
        <v>1302</v>
      </c>
      <c r="O25" s="1073" t="s">
        <v>1303</v>
      </c>
      <c r="P25" s="1073" t="s">
        <v>1304</v>
      </c>
      <c r="Q25" s="1073" t="s">
        <v>1305</v>
      </c>
      <c r="R25" s="1073" t="s">
        <v>1306</v>
      </c>
    </row>
    <row r="26" spans="1:19" ht="14.25" customHeight="1" thickBot="1">
      <c r="A26" s="1079" t="s">
        <v>1156</v>
      </c>
      <c r="B26" s="1087" t="s">
        <v>1238</v>
      </c>
      <c r="C26" s="1073"/>
      <c r="D26" s="1073">
        <v>23900</v>
      </c>
      <c r="E26" s="1073">
        <v>23590</v>
      </c>
      <c r="F26" s="1094"/>
      <c r="L26" s="1073" t="s">
        <v>1307</v>
      </c>
      <c r="M26" s="1073" t="s">
        <v>1308</v>
      </c>
      <c r="N26" s="1073" t="s">
        <v>1309</v>
      </c>
      <c r="O26" s="1073" t="s">
        <v>1310</v>
      </c>
      <c r="P26" s="1073" t="s">
        <v>1311</v>
      </c>
      <c r="Q26" s="1073" t="s">
        <v>1312</v>
      </c>
      <c r="R26" s="1073" t="s">
        <v>1313</v>
      </c>
    </row>
    <row r="27" spans="1:19" ht="14.25" customHeight="1" thickBot="1">
      <c r="A27" s="1079" t="s">
        <v>1156</v>
      </c>
      <c r="B27" s="1087" t="s">
        <v>1248</v>
      </c>
      <c r="C27" s="1073"/>
      <c r="D27" s="1073">
        <v>22850</v>
      </c>
      <c r="E27" s="1073">
        <v>21920</v>
      </c>
      <c r="F27" s="1094"/>
      <c r="L27" s="1073" t="s">
        <v>1314</v>
      </c>
      <c r="M27" s="1073" t="s">
        <v>1315</v>
      </c>
      <c r="N27" s="1073" t="s">
        <v>1316</v>
      </c>
      <c r="O27" s="1073" t="s">
        <v>1317</v>
      </c>
      <c r="P27" s="1073" t="s">
        <v>1318</v>
      </c>
      <c r="Q27" s="1073" t="s">
        <v>1319</v>
      </c>
      <c r="R27" s="1073" t="s">
        <v>1320</v>
      </c>
    </row>
    <row r="28" spans="1:19" ht="14.25" customHeight="1" thickBot="1">
      <c r="A28" s="1096" t="s">
        <v>1156</v>
      </c>
      <c r="B28" s="1088" t="s">
        <v>1258</v>
      </c>
      <c r="C28" s="1089"/>
      <c r="D28" s="1089">
        <v>26610</v>
      </c>
      <c r="E28" s="1089">
        <v>26370</v>
      </c>
      <c r="F28" s="1090"/>
      <c r="L28" s="1073" t="s">
        <v>1321</v>
      </c>
      <c r="M28" s="1073" t="s">
        <v>1322</v>
      </c>
      <c r="N28" s="1073" t="s">
        <v>1323</v>
      </c>
      <c r="O28" s="1073" t="s">
        <v>1324</v>
      </c>
      <c r="P28" s="1073" t="s">
        <v>1325</v>
      </c>
      <c r="Q28" s="1073" t="s">
        <v>1326</v>
      </c>
    </row>
    <row r="29" spans="1:19" ht="14.25" customHeight="1" thickBot="1">
      <c r="A29" s="1079" t="s">
        <v>1327</v>
      </c>
      <c r="B29" s="1080" t="s">
        <v>1328</v>
      </c>
      <c r="C29" s="1080">
        <v>22090</v>
      </c>
      <c r="D29" s="1080">
        <v>21860</v>
      </c>
      <c r="E29" s="1080">
        <v>19380</v>
      </c>
      <c r="F29" s="1081">
        <v>6610</v>
      </c>
      <c r="M29" s="1073" t="s">
        <v>1329</v>
      </c>
      <c r="N29" s="1073" t="s">
        <v>1330</v>
      </c>
      <c r="O29" s="1073" t="s">
        <v>1331</v>
      </c>
      <c r="P29" s="1073" t="s">
        <v>1332</v>
      </c>
      <c r="Q29" s="1073" t="s">
        <v>1333</v>
      </c>
    </row>
    <row r="30" spans="1:19" ht="14.25" customHeight="1" thickBot="1">
      <c r="A30" s="1079" t="s">
        <v>1327</v>
      </c>
      <c r="B30" s="1087" t="s">
        <v>1073</v>
      </c>
      <c r="C30" s="1073">
        <v>21380</v>
      </c>
      <c r="D30" s="1073">
        <v>19930</v>
      </c>
      <c r="E30" s="1073">
        <v>19860</v>
      </c>
      <c r="F30" s="1091">
        <v>6010</v>
      </c>
      <c r="H30" s="1095"/>
      <c r="M30" s="1073" t="s">
        <v>1334</v>
      </c>
      <c r="N30" s="1073" t="s">
        <v>1335</v>
      </c>
      <c r="O30" s="1073" t="s">
        <v>1336</v>
      </c>
      <c r="P30" s="1073" t="s">
        <v>2426</v>
      </c>
      <c r="Q30" s="1073" t="s">
        <v>1337</v>
      </c>
    </row>
    <row r="31" spans="1:19" ht="14.25" customHeight="1" thickBot="1">
      <c r="A31" s="1079" t="s">
        <v>1327</v>
      </c>
      <c r="B31" s="1087" t="s">
        <v>1087</v>
      </c>
      <c r="C31" s="1073">
        <v>21670</v>
      </c>
      <c r="D31" s="1073">
        <v>20660</v>
      </c>
      <c r="E31" s="1073">
        <v>20290</v>
      </c>
      <c r="F31" s="1091">
        <v>5840</v>
      </c>
      <c r="H31" s="1095"/>
      <c r="M31" s="1073" t="s">
        <v>1338</v>
      </c>
      <c r="N31" s="1073" t="s">
        <v>1339</v>
      </c>
      <c r="O31" s="1073" t="s">
        <v>1340</v>
      </c>
      <c r="P31" s="1073" t="s">
        <v>1341</v>
      </c>
      <c r="Q31" s="1073" t="s">
        <v>1342</v>
      </c>
    </row>
    <row r="32" spans="1:19" ht="14.25" customHeight="1" thickBot="1">
      <c r="A32" s="1079" t="s">
        <v>1327</v>
      </c>
      <c r="B32" s="1087" t="s">
        <v>1100</v>
      </c>
      <c r="C32" s="1073">
        <v>22280</v>
      </c>
      <c r="D32" s="1073">
        <v>21800</v>
      </c>
      <c r="E32" s="1073">
        <v>17650</v>
      </c>
      <c r="F32" s="1091">
        <v>4690</v>
      </c>
      <c r="H32" s="1095"/>
      <c r="M32" s="1073" t="s">
        <v>1343</v>
      </c>
      <c r="N32" s="1073" t="s">
        <v>1344</v>
      </c>
      <c r="O32" s="1073" t="s">
        <v>1345</v>
      </c>
      <c r="P32" s="1073" t="s">
        <v>1346</v>
      </c>
      <c r="Q32" s="1073" t="s">
        <v>1347</v>
      </c>
    </row>
    <row r="33" spans="1:17" ht="14.25" customHeight="1" thickBot="1">
      <c r="A33" s="1079" t="s">
        <v>1327</v>
      </c>
      <c r="B33" s="1087" t="s">
        <v>1114</v>
      </c>
      <c r="C33" s="1073">
        <v>22130</v>
      </c>
      <c r="D33" s="1073">
        <v>20460</v>
      </c>
      <c r="E33" s="1073">
        <v>18500</v>
      </c>
      <c r="F33" s="1091">
        <v>5340</v>
      </c>
      <c r="H33" s="1095"/>
      <c r="M33" s="1073" t="s">
        <v>1348</v>
      </c>
      <c r="N33" s="1073" t="s">
        <v>1349</v>
      </c>
      <c r="O33" s="1073" t="s">
        <v>1350</v>
      </c>
      <c r="P33" s="1073" t="s">
        <v>1351</v>
      </c>
      <c r="Q33" s="1073" t="s">
        <v>1352</v>
      </c>
    </row>
    <row r="34" spans="1:17" ht="14.25" customHeight="1" thickBot="1">
      <c r="A34" s="1079" t="s">
        <v>1327</v>
      </c>
      <c r="B34" s="1087" t="s">
        <v>1125</v>
      </c>
      <c r="C34" s="1073">
        <v>22070</v>
      </c>
      <c r="D34" s="1073">
        <v>20110</v>
      </c>
      <c r="E34" s="1073">
        <v>18830</v>
      </c>
      <c r="F34" s="1091">
        <v>5190</v>
      </c>
      <c r="H34" s="1095"/>
      <c r="M34" s="1073" t="s">
        <v>1353</v>
      </c>
      <c r="N34" s="1073" t="s">
        <v>1354</v>
      </c>
      <c r="O34" s="1073" t="s">
        <v>1355</v>
      </c>
      <c r="P34" s="1073" t="s">
        <v>1356</v>
      </c>
      <c r="Q34" s="1073" t="s">
        <v>1357</v>
      </c>
    </row>
    <row r="35" spans="1:17" ht="14.25" customHeight="1" thickBot="1">
      <c r="A35" s="1079" t="s">
        <v>1327</v>
      </c>
      <c r="B35" s="1087" t="s">
        <v>1136</v>
      </c>
      <c r="C35" s="1073">
        <v>22240</v>
      </c>
      <c r="D35" s="1073">
        <v>19550</v>
      </c>
      <c r="E35" s="1073">
        <v>19220</v>
      </c>
      <c r="F35" s="1091">
        <v>5800</v>
      </c>
      <c r="H35" s="1095"/>
      <c r="M35" s="1073" t="s">
        <v>1358</v>
      </c>
      <c r="N35" s="1073" t="s">
        <v>1359</v>
      </c>
      <c r="O35" s="1073" t="s">
        <v>1360</v>
      </c>
      <c r="P35" s="1073" t="s">
        <v>1361</v>
      </c>
      <c r="Q35" s="1073" t="s">
        <v>1362</v>
      </c>
    </row>
    <row r="36" spans="1:17" ht="14.25" customHeight="1" thickBot="1">
      <c r="A36" s="1079" t="s">
        <v>1327</v>
      </c>
      <c r="B36" s="1087" t="s">
        <v>1147</v>
      </c>
      <c r="C36" s="1073">
        <v>19750</v>
      </c>
      <c r="D36" s="1073">
        <v>19790</v>
      </c>
      <c r="E36" s="1073">
        <v>18510</v>
      </c>
      <c r="F36" s="1091">
        <v>6520</v>
      </c>
      <c r="H36" s="1095"/>
      <c r="N36" s="1073" t="s">
        <v>1363</v>
      </c>
      <c r="O36" s="1073" t="s">
        <v>1364</v>
      </c>
      <c r="P36" s="1073" t="s">
        <v>1365</v>
      </c>
      <c r="Q36" s="1073" t="s">
        <v>1366</v>
      </c>
    </row>
    <row r="37" spans="1:17" ht="14.25" customHeight="1" thickBot="1">
      <c r="A37" s="1079" t="s">
        <v>1327</v>
      </c>
      <c r="B37" s="1087" t="s">
        <v>1159</v>
      </c>
      <c r="C37" s="1073">
        <v>22380</v>
      </c>
      <c r="D37" s="1073">
        <v>18530</v>
      </c>
      <c r="E37" s="1073">
        <v>17930</v>
      </c>
      <c r="F37" s="1091">
        <v>6270</v>
      </c>
      <c r="H37" s="1097"/>
      <c r="N37" s="1073" t="s">
        <v>1367</v>
      </c>
      <c r="O37" s="1073" t="s">
        <v>1368</v>
      </c>
      <c r="P37" s="1073" t="s">
        <v>1369</v>
      </c>
      <c r="Q37" s="1073" t="s">
        <v>1370</v>
      </c>
    </row>
    <row r="38" spans="1:17" ht="14.25" customHeight="1" thickBot="1">
      <c r="A38" s="1079" t="s">
        <v>1327</v>
      </c>
      <c r="B38" s="1087" t="s">
        <v>1169</v>
      </c>
      <c r="C38" s="1073">
        <v>20200</v>
      </c>
      <c r="D38" s="1073">
        <v>20070</v>
      </c>
      <c r="E38" s="1073">
        <v>19950</v>
      </c>
      <c r="F38" s="1091"/>
      <c r="H38" s="1098"/>
      <c r="N38" s="1073" t="s">
        <v>1371</v>
      </c>
      <c r="O38" s="1073" t="s">
        <v>1372</v>
      </c>
      <c r="P38" s="1073" t="s">
        <v>1373</v>
      </c>
      <c r="Q38" s="1073" t="s">
        <v>1374</v>
      </c>
    </row>
    <row r="39" spans="1:17" ht="14.25" customHeight="1" thickBot="1">
      <c r="A39" s="1079" t="s">
        <v>1327</v>
      </c>
      <c r="B39" s="1087" t="s">
        <v>1179</v>
      </c>
      <c r="C39" s="1073">
        <v>19300</v>
      </c>
      <c r="D39" s="1073">
        <v>20360</v>
      </c>
      <c r="E39" s="1073">
        <v>20230</v>
      </c>
      <c r="F39" s="1091"/>
      <c r="H39" s="1098"/>
      <c r="N39" s="1073" t="s">
        <v>1375</v>
      </c>
      <c r="O39" s="1073" t="s">
        <v>1376</v>
      </c>
      <c r="P39" s="1073" t="s">
        <v>1377</v>
      </c>
      <c r="Q39" s="1073" t="s">
        <v>1378</v>
      </c>
    </row>
    <row r="40" spans="1:17" ht="14.25" customHeight="1" thickBot="1">
      <c r="A40" s="1079" t="s">
        <v>1327</v>
      </c>
      <c r="B40" s="1087" t="s">
        <v>1189</v>
      </c>
      <c r="C40" s="1073">
        <v>20210</v>
      </c>
      <c r="D40" s="1073">
        <v>19060</v>
      </c>
      <c r="E40" s="1073">
        <v>18890</v>
      </c>
      <c r="F40" s="1091"/>
      <c r="H40" s="1098"/>
      <c r="N40" s="1073" t="s">
        <v>1379</v>
      </c>
      <c r="O40" s="1073" t="s">
        <v>1380</v>
      </c>
      <c r="P40" s="1073" t="s">
        <v>1381</v>
      </c>
      <c r="Q40" s="1073" t="s">
        <v>1382</v>
      </c>
    </row>
    <row r="41" spans="1:17" ht="14.25" customHeight="1" thickBot="1">
      <c r="A41" s="1079" t="s">
        <v>1327</v>
      </c>
      <c r="B41" s="1087" t="s">
        <v>1199</v>
      </c>
      <c r="C41" s="1073">
        <v>20560</v>
      </c>
      <c r="D41" s="1073">
        <v>21040</v>
      </c>
      <c r="E41" s="1073">
        <v>20740</v>
      </c>
      <c r="F41" s="1091"/>
      <c r="H41" s="1098"/>
      <c r="N41" s="1087" t="s">
        <v>1383</v>
      </c>
      <c r="O41" s="1087" t="s">
        <v>1384</v>
      </c>
      <c r="Q41" s="1087" t="s">
        <v>1385</v>
      </c>
    </row>
    <row r="42" spans="1:17" ht="14.25" customHeight="1" thickBot="1">
      <c r="A42" s="1079" t="s">
        <v>1327</v>
      </c>
      <c r="B42" s="1087" t="s">
        <v>1209</v>
      </c>
      <c r="C42" s="1073">
        <v>19280</v>
      </c>
      <c r="D42" s="1073">
        <v>22940</v>
      </c>
      <c r="E42" s="1073">
        <v>22500</v>
      </c>
      <c r="F42" s="1091"/>
      <c r="H42" s="1098"/>
      <c r="N42" s="1073" t="s">
        <v>1386</v>
      </c>
      <c r="O42" s="1073" t="s">
        <v>1387</v>
      </c>
      <c r="Q42" s="1073" t="s">
        <v>1388</v>
      </c>
    </row>
    <row r="43" spans="1:17" ht="14.25" customHeight="1" thickBot="1">
      <c r="A43" s="1079" t="s">
        <v>1327</v>
      </c>
      <c r="B43" s="1087" t="s">
        <v>1219</v>
      </c>
      <c r="C43" s="1073">
        <v>21520</v>
      </c>
      <c r="D43" s="1073">
        <v>19230</v>
      </c>
      <c r="E43" s="1073">
        <v>18540</v>
      </c>
      <c r="F43" s="1091"/>
      <c r="H43" s="1098"/>
      <c r="N43" s="1073" t="s">
        <v>1389</v>
      </c>
      <c r="O43" s="1073" t="s">
        <v>1390</v>
      </c>
      <c r="Q43" s="1073" t="s">
        <v>1391</v>
      </c>
    </row>
    <row r="44" spans="1:17" ht="14.25" customHeight="1" thickBot="1">
      <c r="A44" s="1079" t="s">
        <v>1327</v>
      </c>
      <c r="B44" s="1087" t="s">
        <v>1229</v>
      </c>
      <c r="C44" s="1073">
        <v>23260</v>
      </c>
      <c r="D44" s="1073">
        <v>21180</v>
      </c>
      <c r="E44" s="1073">
        <v>20730</v>
      </c>
      <c r="F44" s="1091"/>
      <c r="H44" s="1098"/>
      <c r="N44" s="1073" t="s">
        <v>1392</v>
      </c>
      <c r="O44" s="1073" t="s">
        <v>1393</v>
      </c>
      <c r="Q44" s="1073" t="s">
        <v>1394</v>
      </c>
    </row>
    <row r="45" spans="1:17" ht="14.25" customHeight="1" thickBot="1">
      <c r="A45" s="1079" t="s">
        <v>1327</v>
      </c>
      <c r="B45" s="1087" t="s">
        <v>1239</v>
      </c>
      <c r="C45" s="1073">
        <v>19610</v>
      </c>
      <c r="D45" s="1073">
        <v>18090</v>
      </c>
      <c r="E45" s="1073">
        <v>17970</v>
      </c>
      <c r="F45" s="1091"/>
      <c r="H45" s="1095"/>
      <c r="N45" s="1073" t="s">
        <v>1395</v>
      </c>
      <c r="O45" s="1073" t="s">
        <v>1396</v>
      </c>
      <c r="Q45" s="1073" t="s">
        <v>1397</v>
      </c>
    </row>
    <row r="46" spans="1:17" ht="14.25" customHeight="1" thickBot="1">
      <c r="A46" s="1079" t="s">
        <v>1327</v>
      </c>
      <c r="B46" s="1087" t="s">
        <v>1249</v>
      </c>
      <c r="C46" s="1073">
        <v>21660</v>
      </c>
      <c r="D46" s="1073">
        <v>19190</v>
      </c>
      <c r="E46" s="1073">
        <v>19790</v>
      </c>
      <c r="F46" s="1091"/>
      <c r="H46" s="1098"/>
      <c r="N46" s="1073" t="s">
        <v>1398</v>
      </c>
      <c r="O46" s="1073" t="s">
        <v>1399</v>
      </c>
      <c r="Q46" s="1073" t="s">
        <v>1400</v>
      </c>
    </row>
    <row r="47" spans="1:17" ht="14.25" customHeight="1" thickBot="1">
      <c r="A47" s="1079" t="s">
        <v>1327</v>
      </c>
      <c r="B47" s="1087" t="s">
        <v>1259</v>
      </c>
      <c r="C47" s="1073">
        <v>18220</v>
      </c>
      <c r="D47" s="1073"/>
      <c r="E47" s="1073">
        <v>17220</v>
      </c>
      <c r="F47" s="1091"/>
      <c r="H47" s="1098"/>
      <c r="N47" s="1073" t="s">
        <v>1401</v>
      </c>
      <c r="O47" s="1073" t="s">
        <v>1402</v>
      </c>
    </row>
    <row r="48" spans="1:17" ht="14.25" customHeight="1" thickBot="1">
      <c r="A48" s="1079" t="s">
        <v>1327</v>
      </c>
      <c r="B48" s="1088" t="s">
        <v>1268</v>
      </c>
      <c r="C48" s="1089">
        <v>19430</v>
      </c>
      <c r="D48" s="1089"/>
      <c r="E48" s="1089">
        <v>17830</v>
      </c>
      <c r="F48" s="1099"/>
      <c r="H48" s="1095"/>
      <c r="N48" s="1073" t="s">
        <v>1403</v>
      </c>
      <c r="O48" s="1073" t="s">
        <v>1404</v>
      </c>
    </row>
    <row r="49" spans="1:15" ht="14.25" customHeight="1" thickBot="1">
      <c r="A49" s="1079" t="s">
        <v>925</v>
      </c>
      <c r="B49" s="1080" t="s">
        <v>1405</v>
      </c>
      <c r="C49" s="1080">
        <v>17090</v>
      </c>
      <c r="D49" s="1080">
        <v>16950</v>
      </c>
      <c r="E49" s="1080">
        <v>16310</v>
      </c>
      <c r="F49" s="1081">
        <v>4540</v>
      </c>
      <c r="H49" s="1098"/>
      <c r="N49" s="1073" t="s">
        <v>1406</v>
      </c>
      <c r="O49" s="1073" t="s">
        <v>1407</v>
      </c>
    </row>
    <row r="50" spans="1:15" ht="14.25" customHeight="1" thickBot="1">
      <c r="A50" s="1079" t="s">
        <v>925</v>
      </c>
      <c r="B50" s="1073" t="s">
        <v>1074</v>
      </c>
      <c r="C50" s="1073">
        <v>19040</v>
      </c>
      <c r="D50" s="1073">
        <v>16960</v>
      </c>
      <c r="E50" s="1073">
        <v>14800</v>
      </c>
      <c r="F50" s="1091">
        <v>3940</v>
      </c>
      <c r="H50" s="1098"/>
    </row>
    <row r="51" spans="1:15" ht="14.25" customHeight="1" thickBot="1">
      <c r="A51" s="1079" t="s">
        <v>925</v>
      </c>
      <c r="B51" s="1073" t="s">
        <v>1088</v>
      </c>
      <c r="C51" s="1073">
        <v>17040</v>
      </c>
      <c r="D51" s="1073">
        <v>16930</v>
      </c>
      <c r="E51" s="1073">
        <v>15030</v>
      </c>
      <c r="F51" s="1091">
        <v>4120</v>
      </c>
      <c r="H51" s="1098"/>
    </row>
    <row r="52" spans="1:15" ht="14.25" customHeight="1" thickBot="1">
      <c r="A52" s="1079" t="s">
        <v>925</v>
      </c>
      <c r="B52" s="1073" t="s">
        <v>1101</v>
      </c>
      <c r="C52" s="1073">
        <v>17110</v>
      </c>
      <c r="D52" s="1073">
        <v>17750</v>
      </c>
      <c r="E52" s="1073">
        <v>17310</v>
      </c>
      <c r="F52" s="1091">
        <v>3220</v>
      </c>
      <c r="H52" s="1098"/>
    </row>
    <row r="53" spans="1:15" ht="14.25" customHeight="1" thickBot="1">
      <c r="A53" s="1079" t="s">
        <v>925</v>
      </c>
      <c r="B53" s="1073" t="s">
        <v>1115</v>
      </c>
      <c r="C53" s="1073">
        <v>17810</v>
      </c>
      <c r="D53" s="1073">
        <v>17260</v>
      </c>
      <c r="E53" s="1073">
        <v>17090</v>
      </c>
      <c r="F53" s="1091">
        <v>3520</v>
      </c>
      <c r="H53" s="1098"/>
    </row>
    <row r="54" spans="1:15" ht="14.25" customHeight="1" thickBot="1">
      <c r="A54" s="1079" t="s">
        <v>925</v>
      </c>
      <c r="B54" s="1073" t="s">
        <v>1126</v>
      </c>
      <c r="C54" s="1073">
        <v>17410</v>
      </c>
      <c r="D54" s="1073">
        <v>16780</v>
      </c>
      <c r="E54" s="1073">
        <v>16370</v>
      </c>
      <c r="F54" s="1091">
        <v>3410</v>
      </c>
      <c r="H54" s="1098"/>
    </row>
    <row r="55" spans="1:15" ht="14.25" customHeight="1" thickBot="1">
      <c r="A55" s="1079" t="s">
        <v>925</v>
      </c>
      <c r="B55" s="1073" t="s">
        <v>1137</v>
      </c>
      <c r="C55" s="1073">
        <v>16930</v>
      </c>
      <c r="D55" s="1073">
        <v>14720</v>
      </c>
      <c r="E55" s="1073">
        <v>15000</v>
      </c>
      <c r="F55" s="1091">
        <v>3710</v>
      </c>
      <c r="H55" s="1098"/>
    </row>
    <row r="56" spans="1:15" ht="14.25" customHeight="1" thickBot="1">
      <c r="A56" s="1079" t="s">
        <v>925</v>
      </c>
      <c r="B56" s="1073" t="s">
        <v>1148</v>
      </c>
      <c r="C56" s="1073">
        <v>14930</v>
      </c>
      <c r="D56" s="1073">
        <v>15850</v>
      </c>
      <c r="E56" s="1073">
        <v>14320</v>
      </c>
      <c r="F56" s="1091">
        <v>3960</v>
      </c>
      <c r="H56" s="1098"/>
    </row>
    <row r="57" spans="1:15" ht="14.25" customHeight="1" thickBot="1">
      <c r="A57" s="1079" t="s">
        <v>925</v>
      </c>
      <c r="B57" s="1073" t="s">
        <v>1160</v>
      </c>
      <c r="C57" s="1073">
        <v>16160</v>
      </c>
      <c r="D57" s="1073">
        <v>16190</v>
      </c>
      <c r="E57" s="1073">
        <v>15650</v>
      </c>
      <c r="F57" s="1091">
        <v>4200</v>
      </c>
      <c r="H57" s="1098"/>
    </row>
    <row r="58" spans="1:15" ht="14.25" customHeight="1" thickBot="1">
      <c r="A58" s="1079" t="s">
        <v>925</v>
      </c>
      <c r="B58" s="1073" t="s">
        <v>1170</v>
      </c>
      <c r="C58" s="1073">
        <v>16360</v>
      </c>
      <c r="D58" s="1073">
        <v>14050</v>
      </c>
      <c r="E58" s="1073">
        <v>16070</v>
      </c>
      <c r="F58" s="1091">
        <v>3990</v>
      </c>
      <c r="H58" s="1098"/>
    </row>
    <row r="59" spans="1:15" ht="14.25" customHeight="1" thickBot="1">
      <c r="A59" s="1079" t="s">
        <v>925</v>
      </c>
      <c r="B59" s="1073" t="s">
        <v>1180</v>
      </c>
      <c r="C59" s="1073">
        <v>14160</v>
      </c>
      <c r="D59" s="1073">
        <v>16620</v>
      </c>
      <c r="E59" s="1073">
        <v>13940</v>
      </c>
      <c r="F59" s="1091">
        <v>4260</v>
      </c>
      <c r="H59" s="1098"/>
    </row>
    <row r="60" spans="1:15" ht="14.25" customHeight="1" thickBot="1">
      <c r="A60" s="1079" t="s">
        <v>925</v>
      </c>
      <c r="B60" s="1073" t="s">
        <v>1190</v>
      </c>
      <c r="C60" s="1073">
        <v>16750</v>
      </c>
      <c r="D60" s="1073">
        <v>13910</v>
      </c>
      <c r="E60" s="1073">
        <v>16550</v>
      </c>
      <c r="F60" s="1091">
        <v>4550</v>
      </c>
      <c r="H60" s="1098"/>
    </row>
    <row r="61" spans="1:15" ht="14.25" customHeight="1" thickBot="1">
      <c r="A61" s="1079" t="s">
        <v>925</v>
      </c>
      <c r="B61" s="1073" t="s">
        <v>1200</v>
      </c>
      <c r="C61" s="1073">
        <v>14000</v>
      </c>
      <c r="D61" s="1073">
        <v>14550</v>
      </c>
      <c r="E61" s="1073">
        <v>13860</v>
      </c>
      <c r="F61" s="1100"/>
      <c r="H61" s="1098"/>
    </row>
    <row r="62" spans="1:15" ht="14.25" customHeight="1" thickBot="1">
      <c r="A62" s="1079" t="s">
        <v>925</v>
      </c>
      <c r="B62" s="1073" t="s">
        <v>1210</v>
      </c>
      <c r="C62" s="1073">
        <v>14660</v>
      </c>
      <c r="D62" s="1073">
        <v>17450</v>
      </c>
      <c r="E62" s="1073">
        <v>14470</v>
      </c>
      <c r="F62" s="1100"/>
      <c r="H62" s="1098"/>
    </row>
    <row r="63" spans="1:15" ht="14.25" customHeight="1" thickBot="1">
      <c r="A63" s="1079" t="s">
        <v>925</v>
      </c>
      <c r="B63" s="1073" t="s">
        <v>1220</v>
      </c>
      <c r="C63" s="1073">
        <v>17610</v>
      </c>
      <c r="D63" s="1073">
        <v>16500</v>
      </c>
      <c r="E63" s="1073">
        <v>17330</v>
      </c>
      <c r="F63" s="1100"/>
      <c r="H63" s="1098"/>
    </row>
    <row r="64" spans="1:15" ht="14.25" customHeight="1" thickBot="1">
      <c r="A64" s="1079" t="s">
        <v>925</v>
      </c>
      <c r="B64" s="1073" t="s">
        <v>1230</v>
      </c>
      <c r="C64" s="1073">
        <v>16590</v>
      </c>
      <c r="D64" s="1073">
        <v>15130</v>
      </c>
      <c r="E64" s="1073">
        <v>16420</v>
      </c>
      <c r="F64" s="1100"/>
      <c r="H64" s="1098"/>
    </row>
    <row r="65" spans="1:8" s="1067" customFormat="1" ht="14.25" customHeight="1" thickBot="1">
      <c r="A65" s="1079" t="s">
        <v>925</v>
      </c>
      <c r="B65" s="1073" t="s">
        <v>1240</v>
      </c>
      <c r="C65" s="1073">
        <v>15220</v>
      </c>
      <c r="D65" s="1073">
        <v>14660</v>
      </c>
      <c r="E65" s="1073">
        <v>15060</v>
      </c>
      <c r="F65" s="1091"/>
      <c r="H65" s="1098"/>
    </row>
    <row r="66" spans="1:8" s="1067" customFormat="1" ht="14.25" customHeight="1" thickBot="1">
      <c r="A66" s="1079" t="s">
        <v>925</v>
      </c>
      <c r="B66" s="1073" t="s">
        <v>1250</v>
      </c>
      <c r="C66" s="1073">
        <v>14720</v>
      </c>
      <c r="D66" s="1073">
        <v>15970</v>
      </c>
      <c r="E66" s="1073">
        <v>14610</v>
      </c>
      <c r="F66" s="1091"/>
      <c r="H66" s="1098"/>
    </row>
    <row r="67" spans="1:8" s="1067" customFormat="1" ht="14.25" customHeight="1" thickBot="1">
      <c r="A67" s="1079" t="s">
        <v>925</v>
      </c>
      <c r="B67" s="1073" t="s">
        <v>1260</v>
      </c>
      <c r="C67" s="1073">
        <v>16080</v>
      </c>
      <c r="D67" s="1073">
        <v>14840</v>
      </c>
      <c r="E67" s="1073">
        <v>15630</v>
      </c>
      <c r="F67" s="1091"/>
      <c r="H67" s="1098"/>
    </row>
    <row r="68" spans="1:8" s="1067" customFormat="1" ht="14.25" customHeight="1" thickBot="1">
      <c r="A68" s="1079" t="s">
        <v>925</v>
      </c>
      <c r="B68" s="1073" t="s">
        <v>1269</v>
      </c>
      <c r="C68" s="1073">
        <v>14940</v>
      </c>
      <c r="D68" s="1073">
        <v>18000</v>
      </c>
      <c r="E68" s="1073">
        <v>14040</v>
      </c>
      <c r="F68" s="1091"/>
      <c r="H68" s="1098"/>
    </row>
    <row r="69" spans="1:8" s="1067" customFormat="1" ht="14.25" customHeight="1" thickBot="1">
      <c r="A69" s="1079" t="s">
        <v>925</v>
      </c>
      <c r="B69" s="1073" t="s">
        <v>1278</v>
      </c>
      <c r="C69" s="1073">
        <v>18810</v>
      </c>
      <c r="D69" s="1073">
        <v>15100</v>
      </c>
      <c r="E69" s="1073">
        <v>14710</v>
      </c>
      <c r="F69" s="1091"/>
      <c r="H69" s="1098"/>
    </row>
    <row r="70" spans="1:8" s="1067" customFormat="1" ht="14.25" customHeight="1" thickBot="1">
      <c r="A70" s="1079" t="s">
        <v>925</v>
      </c>
      <c r="B70" s="1073" t="s">
        <v>1286</v>
      </c>
      <c r="C70" s="1073">
        <v>18270</v>
      </c>
      <c r="D70" s="1073"/>
      <c r="E70" s="1073"/>
      <c r="F70" s="1091"/>
      <c r="H70" s="1098"/>
    </row>
    <row r="71" spans="1:8" s="1067" customFormat="1" ht="14.25" customHeight="1" thickBot="1">
      <c r="A71" s="1079" t="s">
        <v>925</v>
      </c>
      <c r="B71" s="1073" t="s">
        <v>1293</v>
      </c>
      <c r="C71" s="1073">
        <v>15230</v>
      </c>
      <c r="D71" s="1073"/>
      <c r="E71" s="1073"/>
      <c r="F71" s="1091"/>
      <c r="H71" s="1098"/>
    </row>
    <row r="72" spans="1:8" s="1067" customFormat="1" ht="14.25" customHeight="1" thickBot="1">
      <c r="A72" s="1079" t="s">
        <v>925</v>
      </c>
      <c r="B72" s="1073" t="s">
        <v>1300</v>
      </c>
      <c r="C72" s="1073"/>
      <c r="D72" s="1073"/>
      <c r="E72" s="1073"/>
      <c r="F72" s="1091">
        <v>4120</v>
      </c>
      <c r="H72" s="1098"/>
    </row>
    <row r="73" spans="1:8" s="1067" customFormat="1" ht="14.25" customHeight="1" thickBot="1">
      <c r="A73" s="1079" t="s">
        <v>925</v>
      </c>
      <c r="B73" s="1073" t="s">
        <v>1307</v>
      </c>
      <c r="C73" s="1073"/>
      <c r="D73" s="1073"/>
      <c r="E73" s="1073"/>
      <c r="F73" s="1091">
        <v>3930</v>
      </c>
      <c r="H73" s="1098"/>
    </row>
    <row r="74" spans="1:8" s="1067" customFormat="1" ht="14.25" customHeight="1" thickBot="1">
      <c r="A74" s="1079" t="s">
        <v>925</v>
      </c>
      <c r="B74" s="1073" t="s">
        <v>1314</v>
      </c>
      <c r="C74" s="1073"/>
      <c r="D74" s="1073"/>
      <c r="E74" s="1073"/>
      <c r="F74" s="1091">
        <v>4060</v>
      </c>
      <c r="H74" s="1098"/>
    </row>
    <row r="75" spans="1:8" s="1067" customFormat="1" ht="14.25" customHeight="1" thickBot="1">
      <c r="A75" s="1079" t="s">
        <v>925</v>
      </c>
      <c r="B75" s="1089" t="s">
        <v>1321</v>
      </c>
      <c r="C75" s="1089"/>
      <c r="D75" s="1089"/>
      <c r="E75" s="1089"/>
      <c r="F75" s="1099">
        <v>3750</v>
      </c>
      <c r="H75" s="1098"/>
    </row>
    <row r="76" spans="1:8" s="1067" customFormat="1" ht="14.25" customHeight="1" thickBot="1">
      <c r="A76" s="1079" t="s">
        <v>1408</v>
      </c>
      <c r="B76" s="1080" t="s">
        <v>1409</v>
      </c>
      <c r="C76" s="1080">
        <v>14690</v>
      </c>
      <c r="D76" s="1080">
        <v>14640</v>
      </c>
      <c r="E76" s="1080">
        <v>14590</v>
      </c>
      <c r="F76" s="1081">
        <v>3060</v>
      </c>
      <c r="H76" s="1098"/>
    </row>
    <row r="77" spans="1:8" s="1067" customFormat="1" ht="14.25" customHeight="1" thickBot="1">
      <c r="A77" s="1079" t="s">
        <v>1408</v>
      </c>
      <c r="B77" s="1073" t="s">
        <v>1075</v>
      </c>
      <c r="C77" s="1073">
        <v>12550</v>
      </c>
      <c r="D77" s="1073">
        <v>12480</v>
      </c>
      <c r="E77" s="1073">
        <v>12450</v>
      </c>
      <c r="F77" s="1091">
        <v>2590</v>
      </c>
      <c r="H77" s="1098"/>
    </row>
    <row r="78" spans="1:8" s="1067" customFormat="1" ht="14.25" customHeight="1" thickBot="1">
      <c r="A78" s="1079" t="s">
        <v>1408</v>
      </c>
      <c r="B78" s="1073" t="s">
        <v>1089</v>
      </c>
      <c r="C78" s="1073">
        <v>14360</v>
      </c>
      <c r="D78" s="1073">
        <v>14320</v>
      </c>
      <c r="E78" s="1073">
        <v>12510</v>
      </c>
      <c r="F78" s="1091">
        <v>2700</v>
      </c>
      <c r="H78" s="1098"/>
    </row>
    <row r="79" spans="1:8" s="1067" customFormat="1" ht="14.25" customHeight="1" thickBot="1">
      <c r="A79" s="1079" t="s">
        <v>1408</v>
      </c>
      <c r="B79" s="1073" t="s">
        <v>1102</v>
      </c>
      <c r="C79" s="1073">
        <v>12590</v>
      </c>
      <c r="D79" s="1073">
        <v>12540</v>
      </c>
      <c r="E79" s="1073">
        <v>12350</v>
      </c>
      <c r="F79" s="1091">
        <v>2740</v>
      </c>
      <c r="H79" s="1098"/>
    </row>
    <row r="80" spans="1:8" s="1067" customFormat="1" ht="14.25" customHeight="1" thickBot="1">
      <c r="A80" s="1079" t="s">
        <v>1408</v>
      </c>
      <c r="B80" s="1073" t="s">
        <v>1116</v>
      </c>
      <c r="C80" s="1073">
        <v>12450</v>
      </c>
      <c r="D80" s="1073">
        <v>12370</v>
      </c>
      <c r="E80" s="1073">
        <v>10790</v>
      </c>
      <c r="F80" s="1091">
        <v>2290</v>
      </c>
      <c r="H80" s="1098"/>
    </row>
    <row r="81" spans="1:8" s="1067" customFormat="1" ht="14.25" customHeight="1" thickBot="1">
      <c r="A81" s="1079" t="s">
        <v>1408</v>
      </c>
      <c r="B81" s="1073" t="s">
        <v>1127</v>
      </c>
      <c r="C81" s="1073">
        <v>14210</v>
      </c>
      <c r="D81" s="1073">
        <v>14150</v>
      </c>
      <c r="E81" s="1073">
        <v>12730</v>
      </c>
      <c r="F81" s="1091">
        <v>2240</v>
      </c>
      <c r="H81" s="1098"/>
    </row>
    <row r="82" spans="1:8" s="1067" customFormat="1" ht="14.25" customHeight="1" thickBot="1">
      <c r="A82" s="1079" t="s">
        <v>1408</v>
      </c>
      <c r="B82" s="1073" t="s">
        <v>1138</v>
      </c>
      <c r="C82" s="1073">
        <v>10860</v>
      </c>
      <c r="D82" s="1073">
        <v>10820</v>
      </c>
      <c r="E82" s="1073">
        <v>14720</v>
      </c>
      <c r="F82" s="1091">
        <v>2490</v>
      </c>
      <c r="H82" s="1098"/>
    </row>
    <row r="83" spans="1:8" s="1067" customFormat="1" ht="14.25" customHeight="1" thickBot="1">
      <c r="A83" s="1079" t="s">
        <v>1408</v>
      </c>
      <c r="B83" s="1073" t="s">
        <v>1149</v>
      </c>
      <c r="C83" s="1073">
        <v>12810</v>
      </c>
      <c r="D83" s="1073">
        <v>12760</v>
      </c>
      <c r="E83" s="1073">
        <v>14830</v>
      </c>
      <c r="F83" s="1091">
        <v>2450</v>
      </c>
      <c r="H83" s="1098"/>
    </row>
    <row r="84" spans="1:8" s="1067" customFormat="1" ht="14.25" customHeight="1" thickBot="1">
      <c r="A84" s="1079" t="s">
        <v>1408</v>
      </c>
      <c r="B84" s="1073" t="s">
        <v>1161</v>
      </c>
      <c r="C84" s="1073">
        <v>14950</v>
      </c>
      <c r="D84" s="1073">
        <v>14810</v>
      </c>
      <c r="E84" s="1073">
        <v>12590</v>
      </c>
      <c r="F84" s="1091">
        <v>2540</v>
      </c>
      <c r="H84" s="1098"/>
    </row>
    <row r="85" spans="1:8" s="1067" customFormat="1" ht="14.25" customHeight="1" thickBot="1">
      <c r="A85" s="1079" t="s">
        <v>1408</v>
      </c>
      <c r="B85" s="1073" t="s">
        <v>1171</v>
      </c>
      <c r="C85" s="1073">
        <v>14960</v>
      </c>
      <c r="D85" s="1073">
        <v>14890</v>
      </c>
      <c r="E85" s="1073">
        <v>12840</v>
      </c>
      <c r="F85" s="1091">
        <v>2840</v>
      </c>
      <c r="H85" s="1098"/>
    </row>
    <row r="86" spans="1:8" s="1067" customFormat="1" ht="14.25" customHeight="1" thickBot="1">
      <c r="A86" s="1079" t="s">
        <v>1408</v>
      </c>
      <c r="B86" s="1073" t="s">
        <v>1181</v>
      </c>
      <c r="C86" s="1073">
        <v>12730</v>
      </c>
      <c r="D86" s="1073">
        <v>12660</v>
      </c>
      <c r="E86" s="1073">
        <v>13310</v>
      </c>
      <c r="F86" s="1091">
        <v>3140</v>
      </c>
      <c r="H86" s="1098"/>
    </row>
    <row r="87" spans="1:8" s="1067" customFormat="1" ht="14.25" customHeight="1" thickBot="1">
      <c r="A87" s="1079" t="s">
        <v>1408</v>
      </c>
      <c r="B87" s="1073" t="s">
        <v>1191</v>
      </c>
      <c r="C87" s="1073">
        <v>12940</v>
      </c>
      <c r="D87" s="1073">
        <v>12890</v>
      </c>
      <c r="E87" s="1073">
        <v>11580</v>
      </c>
      <c r="F87" s="1100"/>
      <c r="H87" s="1098"/>
    </row>
    <row r="88" spans="1:8" s="1067" customFormat="1" ht="14.25" customHeight="1" thickBot="1">
      <c r="A88" s="1079" t="s">
        <v>1408</v>
      </c>
      <c r="B88" s="1073" t="s">
        <v>1201</v>
      </c>
      <c r="C88" s="1073">
        <v>13430</v>
      </c>
      <c r="D88" s="1073">
        <v>13360</v>
      </c>
      <c r="E88" s="1073">
        <v>12790</v>
      </c>
      <c r="F88" s="1100"/>
      <c r="H88" s="1098"/>
    </row>
    <row r="89" spans="1:8" s="1067" customFormat="1" ht="14.25" customHeight="1" thickBot="1">
      <c r="A89" s="1079" t="s">
        <v>1408</v>
      </c>
      <c r="B89" s="1073" t="s">
        <v>1211</v>
      </c>
      <c r="C89" s="1073">
        <v>11680</v>
      </c>
      <c r="D89" s="1073">
        <v>11630</v>
      </c>
      <c r="E89" s="1073">
        <v>11320</v>
      </c>
      <c r="F89" s="1100"/>
      <c r="H89" s="1098"/>
    </row>
    <row r="90" spans="1:8" s="1067" customFormat="1" ht="14.25" customHeight="1" thickBot="1">
      <c r="A90" s="1079" t="s">
        <v>1408</v>
      </c>
      <c r="B90" s="1073" t="s">
        <v>1221</v>
      </c>
      <c r="C90" s="1073">
        <v>12890</v>
      </c>
      <c r="D90" s="1073">
        <v>12820</v>
      </c>
      <c r="E90" s="1073">
        <v>12710</v>
      </c>
      <c r="F90" s="1100"/>
      <c r="H90" s="1098"/>
    </row>
    <row r="91" spans="1:8" s="1067" customFormat="1" ht="14.25" customHeight="1" thickBot="1">
      <c r="A91" s="1079" t="s">
        <v>1408</v>
      </c>
      <c r="B91" s="1073" t="s">
        <v>1231</v>
      </c>
      <c r="C91" s="1073">
        <v>11410</v>
      </c>
      <c r="D91" s="1073">
        <v>11360</v>
      </c>
      <c r="E91" s="1073">
        <v>12670</v>
      </c>
      <c r="F91" s="1100"/>
      <c r="H91" s="1098"/>
    </row>
    <row r="92" spans="1:8" s="1067" customFormat="1" ht="14.25" customHeight="1" thickBot="1">
      <c r="A92" s="1079" t="s">
        <v>1408</v>
      </c>
      <c r="B92" s="1073" t="s">
        <v>1241</v>
      </c>
      <c r="C92" s="1073">
        <v>12770</v>
      </c>
      <c r="D92" s="1073">
        <v>12740</v>
      </c>
      <c r="E92" s="1073">
        <v>11970</v>
      </c>
      <c r="F92" s="1100"/>
      <c r="H92" s="1098"/>
    </row>
    <row r="93" spans="1:8" s="1067" customFormat="1" ht="14.25" customHeight="1" thickBot="1">
      <c r="A93" s="1079" t="s">
        <v>1408</v>
      </c>
      <c r="B93" s="1073" t="s">
        <v>1251</v>
      </c>
      <c r="C93" s="1073">
        <v>12740</v>
      </c>
      <c r="D93" s="1073">
        <v>12700</v>
      </c>
      <c r="E93" s="1073">
        <v>12540</v>
      </c>
      <c r="F93" s="1100"/>
      <c r="H93" s="1098"/>
    </row>
    <row r="94" spans="1:8" s="1067" customFormat="1" ht="14.25" customHeight="1" thickBot="1">
      <c r="A94" s="1079" t="s">
        <v>1408</v>
      </c>
      <c r="B94" s="1073" t="s">
        <v>1261</v>
      </c>
      <c r="C94" s="1073">
        <v>12020</v>
      </c>
      <c r="D94" s="1073">
        <v>11990</v>
      </c>
      <c r="E94" s="1073">
        <v>13110</v>
      </c>
      <c r="F94" s="1100"/>
      <c r="H94" s="1098"/>
    </row>
    <row r="95" spans="1:8" s="1067" customFormat="1" ht="14.25" customHeight="1" thickBot="1">
      <c r="A95" s="1079" t="s">
        <v>1408</v>
      </c>
      <c r="B95" s="1073" t="s">
        <v>1270</v>
      </c>
      <c r="C95" s="1073">
        <v>12620</v>
      </c>
      <c r="D95" s="1073">
        <v>12580</v>
      </c>
      <c r="E95" s="1073">
        <v>13160</v>
      </c>
      <c r="F95" s="1091"/>
      <c r="H95" s="1098"/>
    </row>
    <row r="96" spans="1:8" s="1067" customFormat="1" ht="14.25" customHeight="1" thickBot="1">
      <c r="A96" s="1079" t="s">
        <v>1408</v>
      </c>
      <c r="B96" s="1073" t="s">
        <v>1279</v>
      </c>
      <c r="C96" s="1073">
        <v>13200</v>
      </c>
      <c r="D96" s="1073">
        <v>13150</v>
      </c>
      <c r="E96" s="1073">
        <v>12900</v>
      </c>
      <c r="F96" s="1091"/>
      <c r="H96" s="1098"/>
    </row>
    <row r="97" spans="1:8" s="1067" customFormat="1" ht="14.25" customHeight="1" thickBot="1">
      <c r="A97" s="1079" t="s">
        <v>1408</v>
      </c>
      <c r="B97" s="1073" t="s">
        <v>1287</v>
      </c>
      <c r="C97" s="1073">
        <v>13270</v>
      </c>
      <c r="D97" s="1073">
        <v>13210</v>
      </c>
      <c r="E97" s="1073">
        <v>11080</v>
      </c>
      <c r="F97" s="1091"/>
      <c r="H97" s="1098"/>
    </row>
    <row r="98" spans="1:8" s="1067" customFormat="1" ht="14.25" customHeight="1" thickBot="1">
      <c r="A98" s="1079" t="s">
        <v>1408</v>
      </c>
      <c r="B98" s="1073" t="s">
        <v>1294</v>
      </c>
      <c r="C98" s="1073">
        <v>13010</v>
      </c>
      <c r="D98" s="1073">
        <v>12930</v>
      </c>
      <c r="E98" s="1073">
        <v>12840</v>
      </c>
      <c r="F98" s="1091"/>
      <c r="H98" s="1098"/>
    </row>
    <row r="99" spans="1:8" s="1067" customFormat="1" ht="14.25" customHeight="1" thickBot="1">
      <c r="A99" s="1079" t="s">
        <v>1408</v>
      </c>
      <c r="B99" s="1073" t="s">
        <v>1301</v>
      </c>
      <c r="C99" s="1073">
        <v>11190</v>
      </c>
      <c r="D99" s="1073">
        <v>11130</v>
      </c>
      <c r="E99" s="1073"/>
      <c r="F99" s="1091"/>
      <c r="H99" s="1098"/>
    </row>
    <row r="100" spans="1:8" s="1067" customFormat="1" ht="14.25" customHeight="1" thickBot="1">
      <c r="A100" s="1079" t="s">
        <v>1408</v>
      </c>
      <c r="B100" s="1073" t="s">
        <v>1308</v>
      </c>
      <c r="C100" s="1073">
        <v>14280</v>
      </c>
      <c r="D100" s="1073">
        <v>14180</v>
      </c>
      <c r="E100" s="1073"/>
      <c r="F100" s="1091"/>
      <c r="H100" s="1098"/>
    </row>
    <row r="101" spans="1:8" s="1067" customFormat="1" ht="14.25" customHeight="1" thickBot="1">
      <c r="A101" s="1079" t="s">
        <v>1408</v>
      </c>
      <c r="B101" s="1073" t="s">
        <v>1315</v>
      </c>
      <c r="C101" s="1073">
        <v>12960</v>
      </c>
      <c r="D101" s="1073">
        <v>12890</v>
      </c>
      <c r="E101" s="1073"/>
      <c r="F101" s="1091"/>
      <c r="H101" s="1098"/>
    </row>
    <row r="102" spans="1:8" s="1067" customFormat="1" ht="14.25" customHeight="1" thickBot="1">
      <c r="A102" s="1079" t="s">
        <v>1408</v>
      </c>
      <c r="B102" s="1073" t="s">
        <v>1322</v>
      </c>
      <c r="C102" s="1073"/>
      <c r="D102" s="1073"/>
      <c r="E102" s="1073"/>
      <c r="F102" s="1091">
        <v>3100</v>
      </c>
      <c r="H102" s="1098"/>
    </row>
    <row r="103" spans="1:8" s="1067" customFormat="1" ht="14.25" customHeight="1" thickBot="1">
      <c r="A103" s="1079" t="s">
        <v>1408</v>
      </c>
      <c r="B103" s="1073" t="s">
        <v>1329</v>
      </c>
      <c r="C103" s="1073"/>
      <c r="D103" s="1073"/>
      <c r="E103" s="1073"/>
      <c r="F103" s="1091">
        <v>2320</v>
      </c>
      <c r="H103" s="1098"/>
    </row>
    <row r="104" spans="1:8" s="1067" customFormat="1" ht="14.25" customHeight="1" thickBot="1">
      <c r="A104" s="1079" t="s">
        <v>1408</v>
      </c>
      <c r="B104" s="1073" t="s">
        <v>1334</v>
      </c>
      <c r="C104" s="1073"/>
      <c r="D104" s="1073"/>
      <c r="E104" s="1073"/>
      <c r="F104" s="1091">
        <v>2320</v>
      </c>
      <c r="H104" s="1098"/>
    </row>
    <row r="105" spans="1:8" s="1067" customFormat="1" ht="14.25" customHeight="1" thickBot="1">
      <c r="A105" s="1079" t="s">
        <v>1408</v>
      </c>
      <c r="B105" s="1073" t="s">
        <v>1338</v>
      </c>
      <c r="C105" s="1073"/>
      <c r="D105" s="1073"/>
      <c r="E105" s="1073"/>
      <c r="F105" s="1091">
        <v>2320</v>
      </c>
      <c r="H105" s="1098"/>
    </row>
    <row r="106" spans="1:8" s="1067" customFormat="1" ht="14.25" customHeight="1" thickBot="1">
      <c r="A106" s="1079" t="s">
        <v>1408</v>
      </c>
      <c r="B106" s="1073" t="s">
        <v>1343</v>
      </c>
      <c r="C106" s="1073"/>
      <c r="D106" s="1073"/>
      <c r="E106" s="1073"/>
      <c r="F106" s="1091">
        <v>2320</v>
      </c>
      <c r="H106" s="1098"/>
    </row>
    <row r="107" spans="1:8" s="1067" customFormat="1" ht="14.25" customHeight="1" thickBot="1">
      <c r="A107" s="1079" t="s">
        <v>1408</v>
      </c>
      <c r="B107" s="1073" t="s">
        <v>1348</v>
      </c>
      <c r="C107" s="1073"/>
      <c r="D107" s="1073"/>
      <c r="E107" s="1073"/>
      <c r="F107" s="1091">
        <v>2280</v>
      </c>
      <c r="H107" s="1098"/>
    </row>
    <row r="108" spans="1:8" s="1067" customFormat="1" ht="14.25" customHeight="1" thickBot="1">
      <c r="A108" s="1079" t="s">
        <v>1408</v>
      </c>
      <c r="B108" s="1073" t="s">
        <v>1353</v>
      </c>
      <c r="C108" s="1073"/>
      <c r="D108" s="1073"/>
      <c r="E108" s="1073"/>
      <c r="F108" s="1091">
        <v>2280</v>
      </c>
      <c r="H108" s="1098"/>
    </row>
    <row r="109" spans="1:8" s="1067" customFormat="1" ht="14.25" customHeight="1" thickBot="1">
      <c r="A109" s="1079" t="s">
        <v>1408</v>
      </c>
      <c r="B109" s="1089" t="s">
        <v>1358</v>
      </c>
      <c r="C109" s="1089"/>
      <c r="D109" s="1089"/>
      <c r="E109" s="1089"/>
      <c r="F109" s="1099">
        <v>2280</v>
      </c>
      <c r="H109" s="1098"/>
    </row>
    <row r="110" spans="1:8" s="1067" customFormat="1" ht="14.25" customHeight="1" thickBot="1">
      <c r="A110" s="1079" t="s">
        <v>1410</v>
      </c>
      <c r="B110" s="1080" t="s">
        <v>1411</v>
      </c>
      <c r="C110" s="1080">
        <v>10520</v>
      </c>
      <c r="D110" s="1080">
        <v>10490</v>
      </c>
      <c r="E110" s="1080">
        <v>10760</v>
      </c>
      <c r="F110" s="1081">
        <v>2160</v>
      </c>
      <c r="H110" s="1098"/>
    </row>
    <row r="111" spans="1:8" s="1067" customFormat="1" ht="14.25" customHeight="1" thickBot="1">
      <c r="A111" s="1079" t="s">
        <v>1410</v>
      </c>
      <c r="B111" s="1073" t="s">
        <v>1076</v>
      </c>
      <c r="C111" s="1073">
        <v>10090</v>
      </c>
      <c r="D111" s="1073">
        <v>10060</v>
      </c>
      <c r="E111" s="1073">
        <v>10300</v>
      </c>
      <c r="F111" s="1091">
        <v>2010</v>
      </c>
      <c r="H111" s="1098"/>
    </row>
    <row r="112" spans="1:8" s="1067" customFormat="1" ht="14.25" customHeight="1" thickBot="1">
      <c r="A112" s="1079" t="s">
        <v>1410</v>
      </c>
      <c r="B112" s="1073" t="s">
        <v>1090</v>
      </c>
      <c r="C112" s="1073">
        <v>9910</v>
      </c>
      <c r="D112" s="1073">
        <v>9850</v>
      </c>
      <c r="E112" s="1073">
        <v>9960</v>
      </c>
      <c r="F112" s="1091">
        <v>2090</v>
      </c>
      <c r="H112" s="1098"/>
    </row>
    <row r="113" spans="1:8" s="1067" customFormat="1" ht="14.25" customHeight="1" thickBot="1">
      <c r="A113" s="1079" t="s">
        <v>1410</v>
      </c>
      <c r="B113" s="1073" t="s">
        <v>1103</v>
      </c>
      <c r="C113" s="1073">
        <v>11430</v>
      </c>
      <c r="D113" s="1073">
        <v>11400</v>
      </c>
      <c r="E113" s="1073">
        <v>11710</v>
      </c>
      <c r="F113" s="1091">
        <v>2050</v>
      </c>
      <c r="H113" s="1098"/>
    </row>
    <row r="114" spans="1:8" s="1067" customFormat="1" ht="14.25" customHeight="1" thickBot="1">
      <c r="A114" s="1079" t="s">
        <v>1410</v>
      </c>
      <c r="B114" s="1073" t="s">
        <v>1117</v>
      </c>
      <c r="C114" s="1073">
        <v>11390</v>
      </c>
      <c r="D114" s="1073">
        <v>11350</v>
      </c>
      <c r="E114" s="1073">
        <v>11640</v>
      </c>
      <c r="F114" s="1091">
        <v>1620</v>
      </c>
      <c r="H114" s="1098"/>
    </row>
    <row r="115" spans="1:8" s="1067" customFormat="1" ht="14.25" customHeight="1" thickBot="1">
      <c r="A115" s="1079" t="s">
        <v>1410</v>
      </c>
      <c r="B115" s="1073" t="s">
        <v>1128</v>
      </c>
      <c r="C115" s="1073">
        <v>9930</v>
      </c>
      <c r="D115" s="1073">
        <v>9900</v>
      </c>
      <c r="E115" s="1073">
        <v>10160</v>
      </c>
      <c r="F115" s="1091">
        <v>1580</v>
      </c>
      <c r="H115" s="1098"/>
    </row>
    <row r="116" spans="1:8" s="1067" customFormat="1" ht="14.25" customHeight="1" thickBot="1">
      <c r="A116" s="1079" t="s">
        <v>1410</v>
      </c>
      <c r="B116" s="1073" t="s">
        <v>1139</v>
      </c>
      <c r="C116" s="1073">
        <v>9150</v>
      </c>
      <c r="D116" s="1073">
        <v>9120</v>
      </c>
      <c r="E116" s="1073">
        <v>9380</v>
      </c>
      <c r="F116" s="1091">
        <v>1750</v>
      </c>
      <c r="H116" s="1098"/>
    </row>
    <row r="117" spans="1:8" s="1067" customFormat="1" ht="14.25" customHeight="1" thickBot="1">
      <c r="A117" s="1079" t="s">
        <v>1410</v>
      </c>
      <c r="B117" s="1073" t="s">
        <v>1150</v>
      </c>
      <c r="C117" s="1073">
        <v>10680</v>
      </c>
      <c r="D117" s="1073">
        <v>10650</v>
      </c>
      <c r="E117" s="1073">
        <v>10970</v>
      </c>
      <c r="F117" s="1091">
        <v>1730</v>
      </c>
      <c r="H117" s="1098"/>
    </row>
    <row r="118" spans="1:8" s="1067" customFormat="1" ht="14.25" customHeight="1" thickBot="1">
      <c r="A118" s="1079" t="s">
        <v>1410</v>
      </c>
      <c r="B118" s="1073" t="s">
        <v>1162</v>
      </c>
      <c r="C118" s="1073">
        <v>10080</v>
      </c>
      <c r="D118" s="1073">
        <v>10050</v>
      </c>
      <c r="E118" s="1073">
        <v>10350</v>
      </c>
      <c r="F118" s="1091">
        <v>1920</v>
      </c>
      <c r="H118" s="1098"/>
    </row>
    <row r="119" spans="1:8" s="1067" customFormat="1" ht="14.25" customHeight="1" thickBot="1">
      <c r="A119" s="1079" t="s">
        <v>1410</v>
      </c>
      <c r="B119" s="1073" t="s">
        <v>1172</v>
      </c>
      <c r="C119" s="1073">
        <v>9450</v>
      </c>
      <c r="D119" s="1073">
        <v>9410</v>
      </c>
      <c r="E119" s="1073">
        <v>9680</v>
      </c>
      <c r="F119" s="1091">
        <v>1880</v>
      </c>
      <c r="H119" s="1098"/>
    </row>
    <row r="120" spans="1:8" s="1067" customFormat="1" ht="14.25" customHeight="1" thickBot="1">
      <c r="A120" s="1079" t="s">
        <v>1410</v>
      </c>
      <c r="B120" s="1073" t="s">
        <v>1182</v>
      </c>
      <c r="C120" s="1073">
        <v>8730</v>
      </c>
      <c r="D120" s="1073">
        <v>8700</v>
      </c>
      <c r="E120" s="1073">
        <v>8950</v>
      </c>
      <c r="F120" s="1091">
        <v>1830</v>
      </c>
      <c r="H120" s="1098"/>
    </row>
    <row r="121" spans="1:8" s="1067" customFormat="1" ht="14.25" customHeight="1" thickBot="1">
      <c r="A121" s="1079" t="s">
        <v>1410</v>
      </c>
      <c r="B121" s="1073" t="s">
        <v>1192</v>
      </c>
      <c r="C121" s="1073">
        <v>10070</v>
      </c>
      <c r="D121" s="1073">
        <v>10040</v>
      </c>
      <c r="E121" s="1073">
        <v>10270</v>
      </c>
      <c r="F121" s="1091">
        <v>1960</v>
      </c>
      <c r="H121" s="1098"/>
    </row>
    <row r="122" spans="1:8" s="1067" customFormat="1" ht="14.25" customHeight="1" thickBot="1">
      <c r="A122" s="1079" t="s">
        <v>1410</v>
      </c>
      <c r="B122" s="1073" t="s">
        <v>1202</v>
      </c>
      <c r="C122" s="1073">
        <v>10500</v>
      </c>
      <c r="D122" s="1073">
        <v>10470</v>
      </c>
      <c r="E122" s="1073">
        <v>10780</v>
      </c>
      <c r="F122" s="1091">
        <v>2180</v>
      </c>
      <c r="H122" s="1098"/>
    </row>
    <row r="123" spans="1:8" s="1067" customFormat="1" ht="14.25" customHeight="1" thickBot="1">
      <c r="A123" s="1079" t="s">
        <v>1410</v>
      </c>
      <c r="B123" s="1073" t="s">
        <v>1212</v>
      </c>
      <c r="C123" s="1073">
        <v>10390</v>
      </c>
      <c r="D123" s="1073">
        <v>10360</v>
      </c>
      <c r="E123" s="1073">
        <v>10660</v>
      </c>
      <c r="F123" s="1091">
        <v>2040</v>
      </c>
      <c r="H123" s="1098"/>
    </row>
    <row r="124" spans="1:8" s="1067" customFormat="1" ht="14.25" customHeight="1" thickBot="1">
      <c r="A124" s="1079" t="s">
        <v>1410</v>
      </c>
      <c r="B124" s="1073" t="s">
        <v>1222</v>
      </c>
      <c r="C124" s="1073">
        <v>10390</v>
      </c>
      <c r="D124" s="1073">
        <v>10360</v>
      </c>
      <c r="E124" s="1073">
        <v>10680</v>
      </c>
      <c r="F124" s="1100"/>
      <c r="H124" s="1098"/>
    </row>
    <row r="125" spans="1:8" s="1067" customFormat="1" ht="14.25" customHeight="1" thickBot="1">
      <c r="A125" s="1079" t="s">
        <v>1410</v>
      </c>
      <c r="B125" s="1073" t="s">
        <v>1232</v>
      </c>
      <c r="C125" s="1073">
        <v>10440</v>
      </c>
      <c r="D125" s="1073">
        <v>10410</v>
      </c>
      <c r="E125" s="1073">
        <v>10710</v>
      </c>
      <c r="F125" s="1100"/>
      <c r="H125" s="1098"/>
    </row>
    <row r="126" spans="1:8" s="1067" customFormat="1" ht="14.25" customHeight="1" thickBot="1">
      <c r="A126" s="1079" t="s">
        <v>1410</v>
      </c>
      <c r="B126" s="1073" t="s">
        <v>1242</v>
      </c>
      <c r="C126" s="1073">
        <v>10780</v>
      </c>
      <c r="D126" s="1073">
        <v>10750</v>
      </c>
      <c r="E126" s="1073">
        <v>11080</v>
      </c>
      <c r="F126" s="1100"/>
      <c r="H126" s="1098"/>
    </row>
    <row r="127" spans="1:8" s="1067" customFormat="1" ht="14.25" customHeight="1" thickBot="1">
      <c r="A127" s="1079" t="s">
        <v>1410</v>
      </c>
      <c r="B127" s="1073" t="s">
        <v>1252</v>
      </c>
      <c r="C127" s="1073">
        <v>10100</v>
      </c>
      <c r="D127" s="1073">
        <v>10070</v>
      </c>
      <c r="E127" s="1073">
        <v>10350</v>
      </c>
      <c r="F127" s="1100"/>
      <c r="H127" s="1098"/>
    </row>
    <row r="128" spans="1:8" s="1067" customFormat="1" ht="14.25" customHeight="1" thickBot="1">
      <c r="A128" s="1079" t="s">
        <v>1410</v>
      </c>
      <c r="B128" s="1073" t="s">
        <v>1262</v>
      </c>
      <c r="C128" s="1073">
        <v>9200</v>
      </c>
      <c r="D128" s="1073">
        <v>9160</v>
      </c>
      <c r="E128" s="1073">
        <v>9660</v>
      </c>
      <c r="F128" s="1100"/>
      <c r="H128" s="1098"/>
    </row>
    <row r="129" spans="1:8" s="1067" customFormat="1" ht="14.25" customHeight="1" thickBot="1">
      <c r="A129" s="1079" t="s">
        <v>1410</v>
      </c>
      <c r="B129" s="1073" t="s">
        <v>1271</v>
      </c>
      <c r="C129" s="1073">
        <v>10340</v>
      </c>
      <c r="D129" s="1073">
        <v>10310</v>
      </c>
      <c r="E129" s="1073">
        <v>10580</v>
      </c>
      <c r="F129" s="1100"/>
      <c r="H129" s="1098"/>
    </row>
    <row r="130" spans="1:8" s="1067" customFormat="1" ht="14.25" customHeight="1" thickBot="1">
      <c r="A130" s="1079" t="s">
        <v>1410</v>
      </c>
      <c r="B130" s="1073" t="s">
        <v>1280</v>
      </c>
      <c r="C130" s="1073">
        <v>9680</v>
      </c>
      <c r="D130" s="1073">
        <v>9660</v>
      </c>
      <c r="E130" s="1073">
        <v>9950</v>
      </c>
      <c r="F130" s="1100"/>
      <c r="H130" s="1098"/>
    </row>
    <row r="131" spans="1:8" s="1067" customFormat="1" ht="14.25" customHeight="1" thickBot="1">
      <c r="A131" s="1079" t="s">
        <v>1410</v>
      </c>
      <c r="B131" s="1073" t="s">
        <v>1288</v>
      </c>
      <c r="C131" s="1073">
        <v>9540</v>
      </c>
      <c r="D131" s="1073">
        <v>9510</v>
      </c>
      <c r="E131" s="1073">
        <v>9790</v>
      </c>
      <c r="F131" s="1100"/>
      <c r="H131" s="1098"/>
    </row>
    <row r="132" spans="1:8" s="1067" customFormat="1" ht="14.25" customHeight="1" thickBot="1">
      <c r="A132" s="1079" t="s">
        <v>1410</v>
      </c>
      <c r="B132" s="1073" t="s">
        <v>1295</v>
      </c>
      <c r="C132" s="1073">
        <v>9320</v>
      </c>
      <c r="D132" s="1073">
        <v>9290</v>
      </c>
      <c r="E132" s="1073">
        <v>9570</v>
      </c>
      <c r="F132" s="1100"/>
      <c r="H132" s="1098"/>
    </row>
    <row r="133" spans="1:8" s="1067" customFormat="1" ht="14.25" customHeight="1" thickBot="1">
      <c r="A133" s="1079" t="s">
        <v>1410</v>
      </c>
      <c r="B133" s="1073" t="s">
        <v>1302</v>
      </c>
      <c r="C133" s="1073">
        <v>10310</v>
      </c>
      <c r="D133" s="1073">
        <v>10280</v>
      </c>
      <c r="E133" s="1073">
        <v>10530</v>
      </c>
      <c r="F133" s="1100"/>
      <c r="H133" s="1098"/>
    </row>
    <row r="134" spans="1:8" s="1067" customFormat="1" ht="14.25" customHeight="1" thickBot="1">
      <c r="A134" s="1079" t="s">
        <v>1410</v>
      </c>
      <c r="B134" s="1073" t="s">
        <v>1309</v>
      </c>
      <c r="C134" s="1073">
        <v>10370</v>
      </c>
      <c r="D134" s="1073">
        <v>10310</v>
      </c>
      <c r="E134" s="1073">
        <v>10240</v>
      </c>
      <c r="F134" s="1091">
        <v>2060</v>
      </c>
      <c r="H134" s="1098"/>
    </row>
    <row r="135" spans="1:8" s="1067" customFormat="1" ht="14.25" customHeight="1" thickBot="1">
      <c r="A135" s="1079" t="s">
        <v>1410</v>
      </c>
      <c r="B135" s="1073" t="s">
        <v>1316</v>
      </c>
      <c r="C135" s="1073">
        <v>9300</v>
      </c>
      <c r="D135" s="1073">
        <v>9270</v>
      </c>
      <c r="E135" s="1073">
        <v>9350</v>
      </c>
      <c r="F135" s="1100"/>
      <c r="H135" s="1098"/>
    </row>
    <row r="136" spans="1:8" s="1067" customFormat="1" ht="14.25" customHeight="1" thickBot="1">
      <c r="A136" s="1079" t="s">
        <v>1410</v>
      </c>
      <c r="B136" s="1073" t="s">
        <v>1323</v>
      </c>
      <c r="C136" s="1073">
        <v>10160</v>
      </c>
      <c r="D136" s="1073">
        <v>10110</v>
      </c>
      <c r="E136" s="1073">
        <v>10080</v>
      </c>
      <c r="F136" s="1100"/>
      <c r="H136" s="1098"/>
    </row>
    <row r="137" spans="1:8" s="1067" customFormat="1" ht="14.25" customHeight="1" thickBot="1">
      <c r="A137" s="1079" t="s">
        <v>1410</v>
      </c>
      <c r="B137" s="1073" t="s">
        <v>1330</v>
      </c>
      <c r="C137" s="1073">
        <v>9200</v>
      </c>
      <c r="D137" s="1073">
        <v>9170</v>
      </c>
      <c r="E137" s="1073">
        <v>9450</v>
      </c>
      <c r="F137" s="1100"/>
      <c r="H137" s="1098"/>
    </row>
    <row r="138" spans="1:8" s="1067" customFormat="1" ht="14.25" customHeight="1" thickBot="1">
      <c r="A138" s="1079" t="s">
        <v>1410</v>
      </c>
      <c r="B138" s="1073" t="s">
        <v>1335</v>
      </c>
      <c r="C138" s="1073">
        <v>9690</v>
      </c>
      <c r="D138" s="1073">
        <v>9660</v>
      </c>
      <c r="E138" s="1073">
        <v>9840</v>
      </c>
      <c r="F138" s="1100"/>
      <c r="H138" s="1098"/>
    </row>
    <row r="139" spans="1:8" s="1067" customFormat="1" ht="14.25" customHeight="1" thickBot="1">
      <c r="A139" s="1079" t="s">
        <v>1410</v>
      </c>
      <c r="B139" s="1073" t="s">
        <v>1339</v>
      </c>
      <c r="C139" s="1073">
        <v>10290</v>
      </c>
      <c r="D139" s="1073">
        <v>10260</v>
      </c>
      <c r="E139" s="1073">
        <v>10550</v>
      </c>
      <c r="F139" s="1091">
        <v>1700</v>
      </c>
      <c r="H139" s="1098"/>
    </row>
    <row r="140" spans="1:8" s="1067" customFormat="1" ht="14.25" customHeight="1" thickBot="1">
      <c r="A140" s="1079" t="s">
        <v>1410</v>
      </c>
      <c r="B140" s="1073" t="s">
        <v>1344</v>
      </c>
      <c r="C140" s="1073">
        <v>9740</v>
      </c>
      <c r="D140" s="1073">
        <v>9710</v>
      </c>
      <c r="E140" s="1073">
        <v>10000</v>
      </c>
      <c r="F140" s="1091">
        <v>2000</v>
      </c>
      <c r="H140" s="1098"/>
    </row>
    <row r="141" spans="1:8" s="1067" customFormat="1" ht="14.25" customHeight="1" thickBot="1">
      <c r="A141" s="1079" t="s">
        <v>1410</v>
      </c>
      <c r="B141" s="1073" t="s">
        <v>1349</v>
      </c>
      <c r="C141" s="1073">
        <v>9810</v>
      </c>
      <c r="D141" s="1073">
        <v>9770</v>
      </c>
      <c r="E141" s="1073">
        <v>10060</v>
      </c>
      <c r="F141" s="1100"/>
      <c r="H141" s="1098"/>
    </row>
    <row r="142" spans="1:8" s="1067" customFormat="1" ht="14.25" customHeight="1" thickBot="1">
      <c r="A142" s="1079" t="s">
        <v>1410</v>
      </c>
      <c r="B142" s="1073" t="s">
        <v>1354</v>
      </c>
      <c r="C142" s="1073">
        <v>9300</v>
      </c>
      <c r="D142" s="1073">
        <v>9270</v>
      </c>
      <c r="E142" s="1073">
        <v>9530</v>
      </c>
      <c r="F142" s="1100"/>
      <c r="H142" s="1098"/>
    </row>
    <row r="143" spans="1:8" s="1067" customFormat="1" ht="14.25" customHeight="1" thickBot="1">
      <c r="A143" s="1079" t="s">
        <v>1410</v>
      </c>
      <c r="B143" s="1073" t="s">
        <v>1359</v>
      </c>
      <c r="C143" s="1073">
        <v>10080</v>
      </c>
      <c r="D143" s="1073">
        <v>10050</v>
      </c>
      <c r="E143" s="1073">
        <v>10340</v>
      </c>
      <c r="F143" s="1100"/>
      <c r="H143" s="1098"/>
    </row>
    <row r="144" spans="1:8" s="1067" customFormat="1" ht="14.25" customHeight="1" thickBot="1">
      <c r="A144" s="1079" t="s">
        <v>1410</v>
      </c>
      <c r="B144" s="1073" t="s">
        <v>1363</v>
      </c>
      <c r="C144" s="1073">
        <v>9820</v>
      </c>
      <c r="D144" s="1073">
        <v>9750</v>
      </c>
      <c r="E144" s="1073">
        <v>9900</v>
      </c>
      <c r="F144" s="1100"/>
      <c r="H144" s="1098"/>
    </row>
    <row r="145" spans="1:8" s="1067" customFormat="1" ht="14.25" customHeight="1" thickBot="1">
      <c r="A145" s="1079" t="s">
        <v>1410</v>
      </c>
      <c r="B145" s="1073" t="s">
        <v>1367</v>
      </c>
      <c r="C145" s="1073"/>
      <c r="D145" s="1073"/>
      <c r="E145" s="1073"/>
      <c r="F145" s="1091">
        <v>1740</v>
      </c>
      <c r="H145" s="1098"/>
    </row>
    <row r="146" spans="1:8" s="1067" customFormat="1" ht="14.25" customHeight="1" thickBot="1">
      <c r="A146" s="1079" t="s">
        <v>1410</v>
      </c>
      <c r="B146" s="1073" t="s">
        <v>1371</v>
      </c>
      <c r="C146" s="1073"/>
      <c r="D146" s="1073"/>
      <c r="E146" s="1073"/>
      <c r="F146" s="1091">
        <v>1740</v>
      </c>
      <c r="H146" s="1098"/>
    </row>
    <row r="147" spans="1:8" s="1067" customFormat="1" ht="14.25" customHeight="1" thickBot="1">
      <c r="A147" s="1079" t="s">
        <v>1410</v>
      </c>
      <c r="B147" s="1073" t="s">
        <v>1375</v>
      </c>
      <c r="C147" s="1073"/>
      <c r="D147" s="1073"/>
      <c r="E147" s="1073"/>
      <c r="F147" s="1091">
        <v>1740</v>
      </c>
      <c r="H147" s="1098"/>
    </row>
    <row r="148" spans="1:8" s="1067" customFormat="1" ht="14.25" customHeight="1" thickBot="1">
      <c r="A148" s="1079" t="s">
        <v>1410</v>
      </c>
      <c r="B148" s="1073" t="s">
        <v>1379</v>
      </c>
      <c r="C148" s="1073"/>
      <c r="D148" s="1073"/>
      <c r="E148" s="1073"/>
      <c r="F148" s="1091">
        <v>1740</v>
      </c>
      <c r="H148" s="1098"/>
    </row>
    <row r="149" spans="1:8" s="1067" customFormat="1" ht="14.25" customHeight="1" thickBot="1">
      <c r="A149" s="1079" t="s">
        <v>1410</v>
      </c>
      <c r="B149" s="1073" t="s">
        <v>1383</v>
      </c>
      <c r="C149" s="1073"/>
      <c r="D149" s="1073"/>
      <c r="E149" s="1073"/>
      <c r="F149" s="1091">
        <v>1740</v>
      </c>
      <c r="H149" s="1098"/>
    </row>
    <row r="150" spans="1:8" s="1067" customFormat="1" ht="14.25" customHeight="1" thickBot="1">
      <c r="A150" s="1079" t="s">
        <v>1410</v>
      </c>
      <c r="B150" s="1073" t="s">
        <v>1386</v>
      </c>
      <c r="C150" s="1073"/>
      <c r="D150" s="1073"/>
      <c r="E150" s="1073"/>
      <c r="F150" s="1091">
        <v>1610</v>
      </c>
      <c r="H150" s="1098"/>
    </row>
    <row r="151" spans="1:8" s="1067" customFormat="1" ht="14.25" customHeight="1" thickBot="1">
      <c r="A151" s="1079" t="s">
        <v>1410</v>
      </c>
      <c r="B151" s="1073" t="s">
        <v>1389</v>
      </c>
      <c r="C151" s="1073"/>
      <c r="D151" s="1073"/>
      <c r="E151" s="1073"/>
      <c r="F151" s="1091">
        <v>1610</v>
      </c>
      <c r="H151" s="1098"/>
    </row>
    <row r="152" spans="1:8" s="1067" customFormat="1" ht="14.25" customHeight="1" thickBot="1">
      <c r="A152" s="1079" t="s">
        <v>1410</v>
      </c>
      <c r="B152" s="1073" t="s">
        <v>1392</v>
      </c>
      <c r="C152" s="1073"/>
      <c r="D152" s="1073"/>
      <c r="E152" s="1073"/>
      <c r="F152" s="1091">
        <v>1610</v>
      </c>
      <c r="H152" s="1098"/>
    </row>
    <row r="153" spans="1:8" s="1067" customFormat="1" ht="14.25" customHeight="1" thickBot="1">
      <c r="A153" s="1079" t="s">
        <v>1410</v>
      </c>
      <c r="B153" s="1073" t="s">
        <v>1395</v>
      </c>
      <c r="C153" s="1073"/>
      <c r="D153" s="1073"/>
      <c r="E153" s="1073"/>
      <c r="F153" s="1091">
        <v>1610</v>
      </c>
      <c r="H153" s="1098"/>
    </row>
    <row r="154" spans="1:8" s="1067" customFormat="1" ht="14.25" customHeight="1" thickBot="1">
      <c r="A154" s="1079" t="s">
        <v>1410</v>
      </c>
      <c r="B154" s="1073" t="s">
        <v>1398</v>
      </c>
      <c r="C154" s="1073"/>
      <c r="D154" s="1073"/>
      <c r="E154" s="1073"/>
      <c r="F154" s="1091">
        <v>1610</v>
      </c>
      <c r="H154" s="1098"/>
    </row>
    <row r="155" spans="1:8" s="1067" customFormat="1" ht="14.25" customHeight="1" thickBot="1">
      <c r="A155" s="1079" t="s">
        <v>1410</v>
      </c>
      <c r="B155" s="1073" t="s">
        <v>1401</v>
      </c>
      <c r="C155" s="1073"/>
      <c r="D155" s="1073"/>
      <c r="E155" s="1073"/>
      <c r="F155" s="1091">
        <v>1800</v>
      </c>
      <c r="H155" s="1098"/>
    </row>
    <row r="156" spans="1:8" s="1067" customFormat="1" ht="14.25" customHeight="1" thickBot="1">
      <c r="A156" s="1079" t="s">
        <v>1410</v>
      </c>
      <c r="B156" s="1073" t="s">
        <v>1403</v>
      </c>
      <c r="C156" s="1073"/>
      <c r="D156" s="1073"/>
      <c r="E156" s="1073"/>
      <c r="F156" s="1091">
        <v>1910</v>
      </c>
      <c r="H156" s="1098"/>
    </row>
    <row r="157" spans="1:8" s="1067" customFormat="1" ht="14.25" customHeight="1" thickBot="1">
      <c r="A157" s="1079" t="s">
        <v>1410</v>
      </c>
      <c r="B157" s="1089" t="s">
        <v>1406</v>
      </c>
      <c r="C157" s="1089"/>
      <c r="D157" s="1089"/>
      <c r="E157" s="1089"/>
      <c r="F157" s="1099">
        <v>1500</v>
      </c>
      <c r="H157" s="1098"/>
    </row>
    <row r="158" spans="1:8" s="1067" customFormat="1" ht="14.25" customHeight="1" thickBot="1">
      <c r="A158" s="1079" t="s">
        <v>1412</v>
      </c>
      <c r="B158" s="1080" t="s">
        <v>1413</v>
      </c>
      <c r="C158" s="1080">
        <v>8170</v>
      </c>
      <c r="D158" s="1080">
        <v>8140</v>
      </c>
      <c r="E158" s="1080">
        <v>8590</v>
      </c>
      <c r="F158" s="1081">
        <v>1450</v>
      </c>
      <c r="H158" s="1098"/>
    </row>
    <row r="159" spans="1:8" s="1067" customFormat="1" ht="14.25" customHeight="1" thickBot="1">
      <c r="A159" s="1079" t="s">
        <v>1412</v>
      </c>
      <c r="B159" s="1073" t="s">
        <v>1077</v>
      </c>
      <c r="C159" s="1073">
        <v>7410</v>
      </c>
      <c r="D159" s="1073">
        <v>7370</v>
      </c>
      <c r="E159" s="1073">
        <v>8030</v>
      </c>
      <c r="F159" s="1091">
        <v>1510</v>
      </c>
      <c r="H159" s="1098"/>
    </row>
    <row r="160" spans="1:8" s="1067" customFormat="1" ht="14.25" customHeight="1" thickBot="1">
      <c r="A160" s="1079" t="s">
        <v>1412</v>
      </c>
      <c r="B160" s="1073" t="s">
        <v>1091</v>
      </c>
      <c r="C160" s="1073">
        <v>7240</v>
      </c>
      <c r="D160" s="1073">
        <v>7210</v>
      </c>
      <c r="E160" s="1073">
        <v>7860</v>
      </c>
      <c r="F160" s="1091">
        <v>1370</v>
      </c>
      <c r="H160" s="1098"/>
    </row>
    <row r="161" spans="1:8" s="1067" customFormat="1" ht="14.25" customHeight="1" thickBot="1">
      <c r="A161" s="1079" t="s">
        <v>1412</v>
      </c>
      <c r="B161" s="1073" t="s">
        <v>1104</v>
      </c>
      <c r="C161" s="1073">
        <v>7720</v>
      </c>
      <c r="D161" s="1073">
        <v>7690</v>
      </c>
      <c r="E161" s="1073">
        <v>8200</v>
      </c>
      <c r="F161" s="1091">
        <v>1190</v>
      </c>
      <c r="H161" s="1098"/>
    </row>
    <row r="162" spans="1:8" s="1067" customFormat="1" ht="14.25" customHeight="1" thickBot="1">
      <c r="A162" s="1079" t="s">
        <v>1412</v>
      </c>
      <c r="B162" s="1073" t="s">
        <v>1118</v>
      </c>
      <c r="C162" s="1073">
        <v>6900</v>
      </c>
      <c r="D162" s="1073">
        <v>6870</v>
      </c>
      <c r="E162" s="1073">
        <v>7500</v>
      </c>
      <c r="F162" s="1091">
        <v>1390</v>
      </c>
      <c r="H162" s="1098"/>
    </row>
    <row r="163" spans="1:8" s="1067" customFormat="1" ht="14.25" customHeight="1" thickBot="1">
      <c r="A163" s="1079" t="s">
        <v>1412</v>
      </c>
      <c r="B163" s="1073" t="s">
        <v>1129</v>
      </c>
      <c r="C163" s="1073">
        <v>7120</v>
      </c>
      <c r="D163" s="1073">
        <v>7090</v>
      </c>
      <c r="E163" s="1073">
        <v>7690</v>
      </c>
      <c r="F163" s="1091">
        <v>1230</v>
      </c>
      <c r="H163" s="1098"/>
    </row>
    <row r="164" spans="1:8" s="1067" customFormat="1" ht="14.25" customHeight="1" thickBot="1">
      <c r="A164" s="1079" t="s">
        <v>1412</v>
      </c>
      <c r="B164" s="1073" t="s">
        <v>1140</v>
      </c>
      <c r="C164" s="1073">
        <v>6560</v>
      </c>
      <c r="D164" s="1073">
        <v>6530</v>
      </c>
      <c r="E164" s="1073">
        <v>7110</v>
      </c>
      <c r="F164" s="1091">
        <v>1340</v>
      </c>
      <c r="H164" s="1098"/>
    </row>
    <row r="165" spans="1:8" s="1067" customFormat="1" ht="14.25" customHeight="1" thickBot="1">
      <c r="A165" s="1079" t="s">
        <v>1412</v>
      </c>
      <c r="B165" s="1073" t="s">
        <v>1151</v>
      </c>
      <c r="C165" s="1073">
        <v>7450</v>
      </c>
      <c r="D165" s="1073">
        <v>7430</v>
      </c>
      <c r="E165" s="1073">
        <v>8110</v>
      </c>
      <c r="F165" s="1091">
        <v>1290</v>
      </c>
      <c r="H165" s="1098"/>
    </row>
    <row r="166" spans="1:8" s="1067" customFormat="1" ht="14.25" customHeight="1" thickBot="1">
      <c r="A166" s="1079" t="s">
        <v>1412</v>
      </c>
      <c r="B166" s="1073" t="s">
        <v>1163</v>
      </c>
      <c r="C166" s="1073">
        <v>7490</v>
      </c>
      <c r="D166" s="1073">
        <v>7460</v>
      </c>
      <c r="E166" s="1073">
        <v>8150</v>
      </c>
      <c r="F166" s="1091">
        <v>1350</v>
      </c>
      <c r="H166" s="1098"/>
    </row>
    <row r="167" spans="1:8" s="1067" customFormat="1" ht="14.25" customHeight="1" thickBot="1">
      <c r="A167" s="1079" t="s">
        <v>1412</v>
      </c>
      <c r="B167" s="1073" t="s">
        <v>1173</v>
      </c>
      <c r="C167" s="1073">
        <v>7540</v>
      </c>
      <c r="D167" s="1073">
        <v>7510</v>
      </c>
      <c r="E167" s="1073">
        <v>8030</v>
      </c>
      <c r="F167" s="1100"/>
      <c r="H167" s="1098"/>
    </row>
    <row r="168" spans="1:8" s="1067" customFormat="1" ht="14.25" customHeight="1" thickBot="1">
      <c r="A168" s="1079" t="s">
        <v>1412</v>
      </c>
      <c r="B168" s="1073" t="s">
        <v>1183</v>
      </c>
      <c r="C168" s="1073">
        <v>7210</v>
      </c>
      <c r="D168" s="1073">
        <v>7180</v>
      </c>
      <c r="E168" s="1073">
        <v>7830</v>
      </c>
      <c r="F168" s="1100"/>
      <c r="H168" s="1098"/>
    </row>
    <row r="169" spans="1:8" s="1067" customFormat="1" ht="14.25" customHeight="1" thickBot="1">
      <c r="A169" s="1079" t="s">
        <v>1412</v>
      </c>
      <c r="B169" s="1073" t="s">
        <v>1193</v>
      </c>
      <c r="C169" s="1073">
        <v>7040</v>
      </c>
      <c r="D169" s="1073">
        <v>7020</v>
      </c>
      <c r="E169" s="1073">
        <v>7670</v>
      </c>
      <c r="F169" s="1100"/>
      <c r="H169" s="1098"/>
    </row>
    <row r="170" spans="1:8" s="1067" customFormat="1" ht="14.25" customHeight="1" thickBot="1">
      <c r="A170" s="1079" t="s">
        <v>1412</v>
      </c>
      <c r="B170" s="1073" t="s">
        <v>1203</v>
      </c>
      <c r="C170" s="1073">
        <v>8040</v>
      </c>
      <c r="D170" s="1073">
        <v>7190</v>
      </c>
      <c r="E170" s="1073">
        <v>7850</v>
      </c>
      <c r="F170" s="1100"/>
      <c r="H170" s="1098"/>
    </row>
    <row r="171" spans="1:8" s="1067" customFormat="1" ht="14.25" customHeight="1" thickBot="1">
      <c r="A171" s="1079" t="s">
        <v>1412</v>
      </c>
      <c r="B171" s="1073" t="s">
        <v>1213</v>
      </c>
      <c r="C171" s="1073">
        <v>7860</v>
      </c>
      <c r="D171" s="1073">
        <v>7720</v>
      </c>
      <c r="E171" s="1073">
        <v>8150</v>
      </c>
      <c r="F171" s="1091">
        <v>1110</v>
      </c>
      <c r="H171" s="1098"/>
    </row>
    <row r="172" spans="1:8" s="1067" customFormat="1" ht="14.25" customHeight="1" thickBot="1">
      <c r="A172" s="1079" t="s">
        <v>1412</v>
      </c>
      <c r="B172" s="1073" t="s">
        <v>1223</v>
      </c>
      <c r="C172" s="1073">
        <v>7210</v>
      </c>
      <c r="D172" s="1073">
        <v>7170</v>
      </c>
      <c r="E172" s="1073">
        <v>7320</v>
      </c>
      <c r="F172" s="1100"/>
      <c r="H172" s="1098"/>
    </row>
    <row r="173" spans="1:8" s="1067" customFormat="1" ht="14.25" customHeight="1" thickBot="1">
      <c r="A173" s="1079" t="s">
        <v>1412</v>
      </c>
      <c r="B173" s="1073" t="s">
        <v>1233</v>
      </c>
      <c r="C173" s="1073">
        <v>6860</v>
      </c>
      <c r="D173" s="1073">
        <v>6810</v>
      </c>
      <c r="E173" s="1073">
        <v>7440</v>
      </c>
      <c r="F173" s="1100"/>
      <c r="H173" s="1098"/>
    </row>
    <row r="174" spans="1:8" s="1067" customFormat="1" ht="14.25" customHeight="1" thickBot="1">
      <c r="A174" s="1079" t="s">
        <v>1412</v>
      </c>
      <c r="B174" s="1073" t="s">
        <v>1243</v>
      </c>
      <c r="C174" s="1073">
        <v>7120</v>
      </c>
      <c r="D174" s="1073">
        <v>7090</v>
      </c>
      <c r="E174" s="1073">
        <v>7500</v>
      </c>
      <c r="F174" s="1091">
        <v>1490</v>
      </c>
      <c r="H174" s="1098"/>
    </row>
    <row r="175" spans="1:8" s="1067" customFormat="1" ht="14.25" customHeight="1" thickBot="1">
      <c r="A175" s="1079" t="s">
        <v>1412</v>
      </c>
      <c r="B175" s="1073" t="s">
        <v>1253</v>
      </c>
      <c r="C175" s="1073">
        <v>7850</v>
      </c>
      <c r="D175" s="1073">
        <v>7820</v>
      </c>
      <c r="E175" s="1073">
        <v>8120</v>
      </c>
      <c r="F175" s="1091">
        <v>1530</v>
      </c>
      <c r="H175" s="1098"/>
    </row>
    <row r="176" spans="1:8" s="1067" customFormat="1" ht="14.25" customHeight="1" thickBot="1">
      <c r="A176" s="1079" t="s">
        <v>1412</v>
      </c>
      <c r="B176" s="1073" t="s">
        <v>1263</v>
      </c>
      <c r="C176" s="1073">
        <v>7620</v>
      </c>
      <c r="D176" s="1073">
        <v>7570</v>
      </c>
      <c r="E176" s="1073">
        <v>7990</v>
      </c>
      <c r="F176" s="1091">
        <v>1480</v>
      </c>
      <c r="H176" s="1098"/>
    </row>
    <row r="177" spans="1:8" s="1067" customFormat="1" ht="14.25" customHeight="1" thickBot="1">
      <c r="A177" s="1079" t="s">
        <v>1412</v>
      </c>
      <c r="B177" s="1073" t="s">
        <v>1272</v>
      </c>
      <c r="C177" s="1073">
        <v>8590</v>
      </c>
      <c r="D177" s="1073">
        <v>8570</v>
      </c>
      <c r="E177" s="1073">
        <v>8740</v>
      </c>
      <c r="F177" s="1091">
        <v>1540</v>
      </c>
      <c r="H177" s="1098"/>
    </row>
    <row r="178" spans="1:8" s="1067" customFormat="1" ht="14.25" customHeight="1" thickBot="1">
      <c r="A178" s="1079" t="s">
        <v>1412</v>
      </c>
      <c r="B178" s="1073" t="s">
        <v>1281</v>
      </c>
      <c r="C178" s="1073">
        <v>7510</v>
      </c>
      <c r="D178" s="1073">
        <v>7470</v>
      </c>
      <c r="E178" s="1073">
        <v>8090</v>
      </c>
      <c r="F178" s="1091">
        <v>1320</v>
      </c>
      <c r="H178" s="1098"/>
    </row>
    <row r="179" spans="1:8" s="1067" customFormat="1" ht="14.25" customHeight="1" thickBot="1">
      <c r="A179" s="1079" t="s">
        <v>1412</v>
      </c>
      <c r="B179" s="1073" t="s">
        <v>1289</v>
      </c>
      <c r="C179" s="1073">
        <v>6380</v>
      </c>
      <c r="D179" s="1073">
        <v>6340</v>
      </c>
      <c r="E179" s="1073">
        <v>6810</v>
      </c>
      <c r="F179" s="1100"/>
      <c r="H179" s="1098"/>
    </row>
    <row r="180" spans="1:8" s="1067" customFormat="1" ht="14.25" customHeight="1" thickBot="1">
      <c r="A180" s="1079" t="s">
        <v>1412</v>
      </c>
      <c r="B180" s="1073" t="s">
        <v>1296</v>
      </c>
      <c r="C180" s="1073">
        <v>7830</v>
      </c>
      <c r="D180" s="1073">
        <v>7800</v>
      </c>
      <c r="E180" s="1073">
        <v>7780</v>
      </c>
      <c r="F180" s="1091">
        <v>1440</v>
      </c>
      <c r="H180" s="1098"/>
    </row>
    <row r="181" spans="1:8" s="1067" customFormat="1" ht="14.25" customHeight="1" thickBot="1">
      <c r="A181" s="1079" t="s">
        <v>1412</v>
      </c>
      <c r="B181" s="1073" t="s">
        <v>1303</v>
      </c>
      <c r="C181" s="1073">
        <v>7110</v>
      </c>
      <c r="D181" s="1073">
        <v>7080</v>
      </c>
      <c r="E181" s="1073">
        <v>7730</v>
      </c>
      <c r="F181" s="1091">
        <v>1350</v>
      </c>
      <c r="H181" s="1098"/>
    </row>
    <row r="182" spans="1:8" s="1067" customFormat="1" ht="14.25" customHeight="1" thickBot="1">
      <c r="A182" s="1079" t="s">
        <v>1412</v>
      </c>
      <c r="B182" s="1073" t="s">
        <v>1310</v>
      </c>
      <c r="C182" s="1073">
        <v>7310</v>
      </c>
      <c r="D182" s="1073">
        <v>7280</v>
      </c>
      <c r="E182" s="1073">
        <v>7950</v>
      </c>
      <c r="F182" s="1091">
        <v>1220</v>
      </c>
      <c r="H182" s="1098"/>
    </row>
    <row r="183" spans="1:8" s="1067" customFormat="1" ht="14.25" customHeight="1" thickBot="1">
      <c r="A183" s="1079" t="s">
        <v>1412</v>
      </c>
      <c r="B183" s="1073" t="s">
        <v>1317</v>
      </c>
      <c r="C183" s="1073">
        <v>7470</v>
      </c>
      <c r="D183" s="1073">
        <v>7440</v>
      </c>
      <c r="E183" s="1073">
        <v>7880</v>
      </c>
      <c r="F183" s="1100"/>
      <c r="H183" s="1098"/>
    </row>
    <row r="184" spans="1:8" s="1067" customFormat="1" ht="14.25" customHeight="1" thickBot="1">
      <c r="A184" s="1079" t="s">
        <v>1412</v>
      </c>
      <c r="B184" s="1073" t="s">
        <v>1324</v>
      </c>
      <c r="C184" s="1073">
        <v>6960</v>
      </c>
      <c r="D184" s="1073">
        <v>6930</v>
      </c>
      <c r="E184" s="1073">
        <v>7570</v>
      </c>
      <c r="F184" s="1100"/>
      <c r="H184" s="1098"/>
    </row>
    <row r="185" spans="1:8" s="1067" customFormat="1" ht="14.25" customHeight="1" thickBot="1">
      <c r="A185" s="1079" t="s">
        <v>1412</v>
      </c>
      <c r="B185" s="1073" t="s">
        <v>1331</v>
      </c>
      <c r="C185" s="1073">
        <v>7260</v>
      </c>
      <c r="D185" s="1073">
        <v>7230</v>
      </c>
      <c r="E185" s="1073">
        <v>7710</v>
      </c>
      <c r="F185" s="1091">
        <v>1360</v>
      </c>
      <c r="H185" s="1098"/>
    </row>
    <row r="186" spans="1:8" s="1067" customFormat="1" ht="14.25" customHeight="1" thickBot="1">
      <c r="A186" s="1079" t="s">
        <v>1412</v>
      </c>
      <c r="B186" s="1073" t="s">
        <v>1336</v>
      </c>
      <c r="C186" s="1073"/>
      <c r="D186" s="1073"/>
      <c r="E186" s="1073"/>
      <c r="F186" s="1091">
        <v>1560</v>
      </c>
      <c r="H186" s="1098"/>
    </row>
    <row r="187" spans="1:8" s="1067" customFormat="1" ht="14.25" customHeight="1" thickBot="1">
      <c r="A187" s="1079" t="s">
        <v>1412</v>
      </c>
      <c r="B187" s="1073" t="s">
        <v>1340</v>
      </c>
      <c r="C187" s="1073"/>
      <c r="D187" s="1073"/>
      <c r="E187" s="1073"/>
      <c r="F187" s="1091">
        <v>1560</v>
      </c>
      <c r="H187" s="1098"/>
    </row>
    <row r="188" spans="1:8" s="1067" customFormat="1" ht="14.25" customHeight="1" thickBot="1">
      <c r="A188" s="1079" t="s">
        <v>1412</v>
      </c>
      <c r="B188" s="1073" t="s">
        <v>1345</v>
      </c>
      <c r="C188" s="1073"/>
      <c r="D188" s="1073"/>
      <c r="E188" s="1073"/>
      <c r="F188" s="1091">
        <v>1560</v>
      </c>
      <c r="H188" s="1098"/>
    </row>
    <row r="189" spans="1:8" s="1067" customFormat="1" ht="14.25" customHeight="1" thickBot="1">
      <c r="A189" s="1079" t="s">
        <v>1412</v>
      </c>
      <c r="B189" s="1073" t="s">
        <v>1350</v>
      </c>
      <c r="C189" s="1073"/>
      <c r="D189" s="1073"/>
      <c r="E189" s="1073"/>
      <c r="F189" s="1091">
        <v>1320</v>
      </c>
      <c r="H189" s="1098"/>
    </row>
    <row r="190" spans="1:8" s="1067" customFormat="1" ht="14.25" customHeight="1" thickBot="1">
      <c r="A190" s="1079" t="s">
        <v>1412</v>
      </c>
      <c r="B190" s="1073" t="s">
        <v>1355</v>
      </c>
      <c r="C190" s="1073"/>
      <c r="D190" s="1073"/>
      <c r="E190" s="1073"/>
      <c r="F190" s="1091">
        <v>1320</v>
      </c>
      <c r="H190" s="1098"/>
    </row>
    <row r="191" spans="1:8" s="1067" customFormat="1" ht="14.25" customHeight="1" thickBot="1">
      <c r="A191" s="1079" t="s">
        <v>1412</v>
      </c>
      <c r="B191" s="1073" t="s">
        <v>1360</v>
      </c>
      <c r="C191" s="1073"/>
      <c r="D191" s="1073"/>
      <c r="E191" s="1073"/>
      <c r="F191" s="1091">
        <v>1320</v>
      </c>
      <c r="H191" s="1098"/>
    </row>
    <row r="192" spans="1:8" s="1067" customFormat="1" ht="14.25" customHeight="1" thickBot="1">
      <c r="A192" s="1079" t="s">
        <v>1412</v>
      </c>
      <c r="B192" s="1073" t="s">
        <v>1364</v>
      </c>
      <c r="C192" s="1073"/>
      <c r="D192" s="1073"/>
      <c r="E192" s="1073"/>
      <c r="F192" s="1091">
        <v>1100</v>
      </c>
      <c r="H192" s="1098"/>
    </row>
    <row r="193" spans="1:8" s="1067" customFormat="1" ht="14.25" customHeight="1" thickBot="1">
      <c r="A193" s="1079" t="s">
        <v>1412</v>
      </c>
      <c r="B193" s="1073" t="s">
        <v>1368</v>
      </c>
      <c r="C193" s="1073"/>
      <c r="D193" s="1073"/>
      <c r="E193" s="1073"/>
      <c r="F193" s="1091">
        <v>1100</v>
      </c>
      <c r="H193" s="1098"/>
    </row>
    <row r="194" spans="1:8" s="1067" customFormat="1" ht="14.25" customHeight="1" thickBot="1">
      <c r="A194" s="1079" t="s">
        <v>1412</v>
      </c>
      <c r="B194" s="1073" t="s">
        <v>1372</v>
      </c>
      <c r="C194" s="1073"/>
      <c r="D194" s="1073"/>
      <c r="E194" s="1073"/>
      <c r="F194" s="1091">
        <v>1080</v>
      </c>
      <c r="H194" s="1098"/>
    </row>
    <row r="195" spans="1:8" s="1067" customFormat="1" ht="14.25" customHeight="1" thickBot="1">
      <c r="A195" s="1079" t="s">
        <v>1412</v>
      </c>
      <c r="B195" s="1073" t="s">
        <v>1376</v>
      </c>
      <c r="C195" s="1073"/>
      <c r="D195" s="1073"/>
      <c r="E195" s="1073"/>
      <c r="F195" s="1091">
        <v>1270</v>
      </c>
      <c r="H195" s="1098"/>
    </row>
    <row r="196" spans="1:8" s="1067" customFormat="1" ht="14.25" customHeight="1" thickBot="1">
      <c r="A196" s="1079" t="s">
        <v>1412</v>
      </c>
      <c r="B196" s="1073" t="s">
        <v>1380</v>
      </c>
      <c r="C196" s="1073"/>
      <c r="D196" s="1073"/>
      <c r="E196" s="1073"/>
      <c r="F196" s="1091">
        <v>1150</v>
      </c>
      <c r="H196" s="1098"/>
    </row>
    <row r="197" spans="1:8" s="1067" customFormat="1" ht="14.25" customHeight="1" thickBot="1">
      <c r="A197" s="1079" t="s">
        <v>1412</v>
      </c>
      <c r="B197" s="1073" t="s">
        <v>1384</v>
      </c>
      <c r="C197" s="1073"/>
      <c r="D197" s="1073"/>
      <c r="E197" s="1073"/>
      <c r="F197" s="1091">
        <v>1330</v>
      </c>
      <c r="H197" s="1098"/>
    </row>
    <row r="198" spans="1:8" s="1067" customFormat="1" ht="14.25" customHeight="1" thickBot="1">
      <c r="A198" s="1079" t="s">
        <v>1412</v>
      </c>
      <c r="B198" s="1073" t="s">
        <v>1387</v>
      </c>
      <c r="C198" s="1073"/>
      <c r="D198" s="1073"/>
      <c r="E198" s="1073"/>
      <c r="F198" s="1091">
        <v>1170</v>
      </c>
      <c r="H198" s="1098"/>
    </row>
    <row r="199" spans="1:8" s="1067" customFormat="1" ht="14.25" customHeight="1" thickBot="1">
      <c r="A199" s="1079" t="s">
        <v>1412</v>
      </c>
      <c r="B199" s="1073" t="s">
        <v>1390</v>
      </c>
      <c r="C199" s="1073"/>
      <c r="D199" s="1073"/>
      <c r="E199" s="1073"/>
      <c r="F199" s="1091">
        <v>1120</v>
      </c>
      <c r="H199" s="1098"/>
    </row>
    <row r="200" spans="1:8" s="1067" customFormat="1" ht="14.25" customHeight="1" thickBot="1">
      <c r="A200" s="1079" t="s">
        <v>1412</v>
      </c>
      <c r="B200" s="1073" t="s">
        <v>1393</v>
      </c>
      <c r="C200" s="1073"/>
      <c r="D200" s="1073"/>
      <c r="E200" s="1073"/>
      <c r="F200" s="1091">
        <v>1120</v>
      </c>
      <c r="H200" s="1098"/>
    </row>
    <row r="201" spans="1:8" s="1067" customFormat="1" ht="14.25" customHeight="1" thickBot="1">
      <c r="A201" s="1079" t="s">
        <v>1412</v>
      </c>
      <c r="B201" s="1073" t="s">
        <v>1396</v>
      </c>
      <c r="C201" s="1073"/>
      <c r="D201" s="1073"/>
      <c r="E201" s="1073"/>
      <c r="F201" s="1091">
        <v>1540</v>
      </c>
      <c r="H201" s="1098"/>
    </row>
    <row r="202" spans="1:8" s="1067" customFormat="1" ht="14.25" customHeight="1" thickBot="1">
      <c r="A202" s="1079" t="s">
        <v>1412</v>
      </c>
      <c r="B202" s="1073" t="s">
        <v>1399</v>
      </c>
      <c r="C202" s="1073"/>
      <c r="D202" s="1073"/>
      <c r="E202" s="1073"/>
      <c r="F202" s="1091">
        <v>1310</v>
      </c>
      <c r="H202" s="1098"/>
    </row>
    <row r="203" spans="1:8" s="1067" customFormat="1" ht="14.25" customHeight="1" thickBot="1">
      <c r="A203" s="1079" t="s">
        <v>1412</v>
      </c>
      <c r="B203" s="1073" t="s">
        <v>1402</v>
      </c>
      <c r="C203" s="1073"/>
      <c r="D203" s="1073"/>
      <c r="E203" s="1073"/>
      <c r="F203" s="1091">
        <v>1310</v>
      </c>
      <c r="H203" s="1098"/>
    </row>
    <row r="204" spans="1:8" s="1067" customFormat="1" ht="14.25" customHeight="1" thickBot="1">
      <c r="A204" s="1079" t="s">
        <v>1412</v>
      </c>
      <c r="B204" s="1073" t="s">
        <v>1404</v>
      </c>
      <c r="C204" s="1073"/>
      <c r="D204" s="1073"/>
      <c r="E204" s="1073"/>
      <c r="F204" s="1091">
        <v>1080</v>
      </c>
      <c r="H204" s="1098"/>
    </row>
    <row r="205" spans="1:8" s="1067" customFormat="1" ht="14.25" customHeight="1" thickBot="1">
      <c r="A205" s="1079" t="s">
        <v>1412</v>
      </c>
      <c r="B205" s="1073" t="s">
        <v>1407</v>
      </c>
      <c r="C205" s="1073"/>
      <c r="D205" s="1073"/>
      <c r="E205" s="1073"/>
      <c r="F205" s="1091">
        <v>1080</v>
      </c>
      <c r="H205" s="1098"/>
    </row>
    <row r="206" spans="1:8" s="1067" customFormat="1" ht="14.25" customHeight="1" thickBot="1">
      <c r="A206" s="1079" t="s">
        <v>1414</v>
      </c>
      <c r="B206" s="1080" t="s">
        <v>1415</v>
      </c>
      <c r="C206" s="1080">
        <v>5450</v>
      </c>
      <c r="D206" s="1080">
        <v>5430</v>
      </c>
      <c r="E206" s="1080">
        <v>5700</v>
      </c>
      <c r="F206" s="1081">
        <v>1020</v>
      </c>
      <c r="H206" s="1098"/>
    </row>
    <row r="207" spans="1:8" s="1067" customFormat="1" ht="14.25" customHeight="1" thickBot="1">
      <c r="A207" s="1079" t="s">
        <v>1414</v>
      </c>
      <c r="B207" s="1073" t="s">
        <v>1078</v>
      </c>
      <c r="C207" s="1073">
        <v>5860</v>
      </c>
      <c r="D207" s="1073">
        <v>5820</v>
      </c>
      <c r="E207" s="1073">
        <v>6050</v>
      </c>
      <c r="F207" s="1091">
        <v>1080</v>
      </c>
      <c r="H207" s="1098"/>
    </row>
    <row r="208" spans="1:8" s="1067" customFormat="1" ht="14.25" customHeight="1" thickBot="1">
      <c r="A208" s="1079" t="s">
        <v>1414</v>
      </c>
      <c r="B208" s="1073" t="s">
        <v>1092</v>
      </c>
      <c r="C208" s="1073">
        <v>4630</v>
      </c>
      <c r="D208" s="1073">
        <v>4600</v>
      </c>
      <c r="E208" s="1073">
        <v>4840</v>
      </c>
      <c r="F208" s="1091">
        <v>900</v>
      </c>
      <c r="H208" s="1098"/>
    </row>
    <row r="209" spans="1:8" s="1067" customFormat="1" ht="14.25" customHeight="1" thickBot="1">
      <c r="A209" s="1079" t="s">
        <v>1414</v>
      </c>
      <c r="B209" s="1073" t="s">
        <v>1105</v>
      </c>
      <c r="C209" s="1073">
        <v>5320</v>
      </c>
      <c r="D209" s="1073">
        <v>5270</v>
      </c>
      <c r="E209" s="1073">
        <v>5540</v>
      </c>
      <c r="F209" s="1091">
        <v>980</v>
      </c>
      <c r="H209" s="1098"/>
    </row>
    <row r="210" spans="1:8" s="1067" customFormat="1" ht="14.25" customHeight="1" thickBot="1">
      <c r="A210" s="1079" t="s">
        <v>1414</v>
      </c>
      <c r="B210" s="1073" t="s">
        <v>1119</v>
      </c>
      <c r="C210" s="1073">
        <v>5760</v>
      </c>
      <c r="D210" s="1073">
        <v>5710</v>
      </c>
      <c r="E210" s="1073">
        <v>6010</v>
      </c>
      <c r="F210" s="1091">
        <v>870</v>
      </c>
      <c r="H210" s="1098"/>
    </row>
    <row r="211" spans="1:8" s="1067" customFormat="1" ht="14.25" customHeight="1" thickBot="1">
      <c r="A211" s="1079" t="s">
        <v>1414</v>
      </c>
      <c r="B211" s="1073" t="s">
        <v>1130</v>
      </c>
      <c r="C211" s="1073">
        <v>4160</v>
      </c>
      <c r="D211" s="1073">
        <v>4100</v>
      </c>
      <c r="E211" s="1073">
        <v>4270</v>
      </c>
      <c r="F211" s="1091">
        <v>790</v>
      </c>
      <c r="H211" s="1098"/>
    </row>
    <row r="212" spans="1:8" s="1067" customFormat="1" ht="14.25" customHeight="1" thickBot="1">
      <c r="A212" s="1079" t="s">
        <v>1414</v>
      </c>
      <c r="B212" s="1073" t="s">
        <v>1141</v>
      </c>
      <c r="C212" s="1073">
        <v>4880</v>
      </c>
      <c r="D212" s="1073">
        <v>4850</v>
      </c>
      <c r="E212" s="1073">
        <v>5110</v>
      </c>
      <c r="F212" s="1091">
        <v>940</v>
      </c>
      <c r="H212" s="1098"/>
    </row>
    <row r="213" spans="1:8" s="1067" customFormat="1" ht="14.25" customHeight="1" thickBot="1">
      <c r="A213" s="1079" t="s">
        <v>1414</v>
      </c>
      <c r="B213" s="1073" t="s">
        <v>1152</v>
      </c>
      <c r="C213" s="1073">
        <v>4640</v>
      </c>
      <c r="D213" s="1073">
        <v>4590</v>
      </c>
      <c r="E213" s="1073">
        <v>4700</v>
      </c>
      <c r="F213" s="1091">
        <v>1030</v>
      </c>
      <c r="H213" s="1098"/>
    </row>
    <row r="214" spans="1:8" s="1067" customFormat="1" ht="14.25" customHeight="1" thickBot="1">
      <c r="A214" s="1079" t="s">
        <v>1414</v>
      </c>
      <c r="B214" s="1073" t="s">
        <v>1164</v>
      </c>
      <c r="C214" s="1073">
        <v>4540</v>
      </c>
      <c r="D214" s="1073">
        <v>4490</v>
      </c>
      <c r="E214" s="1073">
        <v>4610</v>
      </c>
      <c r="F214" s="1100"/>
      <c r="H214" s="1098"/>
    </row>
    <row r="215" spans="1:8" s="1067" customFormat="1" ht="14.25" customHeight="1" thickBot="1">
      <c r="A215" s="1079" t="s">
        <v>1414</v>
      </c>
      <c r="B215" s="1073" t="s">
        <v>1174</v>
      </c>
      <c r="C215" s="1073">
        <v>5280</v>
      </c>
      <c r="D215" s="1073">
        <v>5250</v>
      </c>
      <c r="E215" s="1073">
        <v>5520</v>
      </c>
      <c r="F215" s="1091">
        <v>1000</v>
      </c>
      <c r="H215" s="1098"/>
    </row>
    <row r="216" spans="1:8" s="1067" customFormat="1" ht="14.25" customHeight="1" thickBot="1">
      <c r="A216" s="1079" t="s">
        <v>1414</v>
      </c>
      <c r="B216" s="1073" t="s">
        <v>1184</v>
      </c>
      <c r="C216" s="1073">
        <v>5100</v>
      </c>
      <c r="D216" s="1073">
        <v>5050</v>
      </c>
      <c r="E216" s="1073">
        <v>5300</v>
      </c>
      <c r="F216" s="1091">
        <v>950</v>
      </c>
      <c r="H216" s="1098"/>
    </row>
    <row r="217" spans="1:8" s="1067" customFormat="1" ht="14.25" customHeight="1" thickBot="1">
      <c r="A217" s="1079" t="s">
        <v>1414</v>
      </c>
      <c r="B217" s="1073" t="s">
        <v>1194</v>
      </c>
      <c r="C217" s="1073">
        <v>5370</v>
      </c>
      <c r="D217" s="1073">
        <v>5320</v>
      </c>
      <c r="E217" s="1073">
        <v>5410</v>
      </c>
      <c r="F217" s="1091">
        <v>950</v>
      </c>
      <c r="H217" s="1098"/>
    </row>
    <row r="218" spans="1:8" s="1067" customFormat="1" ht="14.25" customHeight="1" thickBot="1">
      <c r="A218" s="1079" t="s">
        <v>1414</v>
      </c>
      <c r="B218" s="1073" t="s">
        <v>1204</v>
      </c>
      <c r="C218" s="1073">
        <v>5540</v>
      </c>
      <c r="D218" s="1073">
        <v>5480</v>
      </c>
      <c r="E218" s="1073">
        <v>5740</v>
      </c>
      <c r="F218" s="1091">
        <v>1020</v>
      </c>
      <c r="H218" s="1098"/>
    </row>
    <row r="219" spans="1:8" s="1067" customFormat="1" ht="14.25" customHeight="1" thickBot="1">
      <c r="A219" s="1079" t="s">
        <v>1414</v>
      </c>
      <c r="B219" s="1073" t="s">
        <v>1214</v>
      </c>
      <c r="C219" s="1073">
        <v>5140</v>
      </c>
      <c r="D219" s="1073">
        <v>5100</v>
      </c>
      <c r="E219" s="1073">
        <v>5350</v>
      </c>
      <c r="F219" s="1091">
        <v>1120</v>
      </c>
      <c r="H219" s="1098"/>
    </row>
    <row r="220" spans="1:8" s="1067" customFormat="1" ht="14.25" customHeight="1" thickBot="1">
      <c r="A220" s="1079" t="s">
        <v>1414</v>
      </c>
      <c r="B220" s="1073" t="s">
        <v>1224</v>
      </c>
      <c r="C220" s="1073">
        <v>5040</v>
      </c>
      <c r="D220" s="1073">
        <v>5000</v>
      </c>
      <c r="E220" s="1073">
        <v>5240</v>
      </c>
      <c r="F220" s="1091">
        <v>980</v>
      </c>
      <c r="H220" s="1098"/>
    </row>
    <row r="221" spans="1:8" s="1067" customFormat="1" ht="14.25" customHeight="1" thickBot="1">
      <c r="A221" s="1079" t="s">
        <v>1414</v>
      </c>
      <c r="B221" s="1073" t="s">
        <v>1234</v>
      </c>
      <c r="C221" s="1101"/>
      <c r="D221" s="1101"/>
      <c r="E221" s="1101"/>
      <c r="F221" s="1091">
        <v>1070</v>
      </c>
      <c r="H221" s="1098"/>
    </row>
    <row r="222" spans="1:8" s="1067" customFormat="1" ht="14.25" customHeight="1" thickBot="1">
      <c r="A222" s="1079" t="s">
        <v>1414</v>
      </c>
      <c r="B222" s="1073" t="s">
        <v>1244</v>
      </c>
      <c r="C222" s="1101"/>
      <c r="D222" s="1101"/>
      <c r="E222" s="1101"/>
      <c r="F222" s="1091">
        <v>870</v>
      </c>
      <c r="H222" s="1098"/>
    </row>
    <row r="223" spans="1:8" s="1067" customFormat="1" ht="14.25" customHeight="1" thickBot="1">
      <c r="A223" s="1079" t="s">
        <v>1414</v>
      </c>
      <c r="B223" s="1073" t="s">
        <v>1254</v>
      </c>
      <c r="C223" s="1101"/>
      <c r="D223" s="1101"/>
      <c r="E223" s="1101"/>
      <c r="F223" s="1091">
        <v>940</v>
      </c>
      <c r="H223" s="1098"/>
    </row>
    <row r="224" spans="1:8" s="1067" customFormat="1" ht="14.25" customHeight="1" thickBot="1">
      <c r="A224" s="1079" t="s">
        <v>1414</v>
      </c>
      <c r="B224" s="1073" t="s">
        <v>1264</v>
      </c>
      <c r="C224" s="1101"/>
      <c r="D224" s="1101"/>
      <c r="E224" s="1101"/>
      <c r="F224" s="1091">
        <v>990</v>
      </c>
      <c r="H224" s="1098"/>
    </row>
    <row r="225" spans="1:8" s="1067" customFormat="1" ht="14.25" customHeight="1" thickBot="1">
      <c r="A225" s="1079" t="s">
        <v>1414</v>
      </c>
      <c r="B225" s="1073" t="s">
        <v>1273</v>
      </c>
      <c r="C225" s="1073">
        <v>5730</v>
      </c>
      <c r="D225" s="1073">
        <v>5680</v>
      </c>
      <c r="E225" s="1073">
        <v>6020</v>
      </c>
      <c r="F225" s="1091">
        <v>1000</v>
      </c>
      <c r="H225" s="1098"/>
    </row>
    <row r="226" spans="1:8" s="1067" customFormat="1" ht="14.25" customHeight="1" thickBot="1">
      <c r="A226" s="1079" t="s">
        <v>1414</v>
      </c>
      <c r="B226" s="1073" t="s">
        <v>1282</v>
      </c>
      <c r="C226" s="1073">
        <v>4970</v>
      </c>
      <c r="D226" s="1073">
        <v>4940</v>
      </c>
      <c r="E226" s="1073">
        <v>5180</v>
      </c>
      <c r="F226" s="1091">
        <v>960</v>
      </c>
      <c r="H226" s="1098"/>
    </row>
    <row r="227" spans="1:8" s="1067" customFormat="1" ht="14.25" customHeight="1" thickBot="1">
      <c r="A227" s="1079" t="s">
        <v>1414</v>
      </c>
      <c r="B227" s="1073" t="s">
        <v>1290</v>
      </c>
      <c r="C227" s="1073">
        <v>5550</v>
      </c>
      <c r="D227" s="1073">
        <v>5500</v>
      </c>
      <c r="E227" s="1073">
        <v>5780</v>
      </c>
      <c r="F227" s="1091">
        <v>940</v>
      </c>
      <c r="H227" s="1098"/>
    </row>
    <row r="228" spans="1:8" s="1067" customFormat="1" ht="14.25" customHeight="1" thickBot="1">
      <c r="A228" s="1079" t="s">
        <v>1414</v>
      </c>
      <c r="B228" s="1073" t="s">
        <v>1297</v>
      </c>
      <c r="C228" s="1073">
        <v>5460</v>
      </c>
      <c r="D228" s="1073">
        <v>5420</v>
      </c>
      <c r="E228" s="1073">
        <v>5690</v>
      </c>
      <c r="F228" s="1091">
        <v>910</v>
      </c>
      <c r="H228" s="1098"/>
    </row>
    <row r="229" spans="1:8" s="1067" customFormat="1" ht="14.25" customHeight="1" thickBot="1">
      <c r="A229" s="1079" t="s">
        <v>1414</v>
      </c>
      <c r="B229" s="1073" t="s">
        <v>1304</v>
      </c>
      <c r="C229" s="1073">
        <v>5310</v>
      </c>
      <c r="D229" s="1073">
        <v>5270</v>
      </c>
      <c r="E229" s="1073">
        <v>5510</v>
      </c>
      <c r="F229" s="1100"/>
      <c r="H229" s="1098"/>
    </row>
    <row r="230" spans="1:8" s="1067" customFormat="1" ht="14.25" customHeight="1" thickBot="1">
      <c r="A230" s="1079" t="s">
        <v>1414</v>
      </c>
      <c r="B230" s="1073" t="s">
        <v>1311</v>
      </c>
      <c r="C230" s="1073">
        <v>4540</v>
      </c>
      <c r="D230" s="1073">
        <v>4500</v>
      </c>
      <c r="E230" s="1073">
        <v>4730</v>
      </c>
      <c r="F230" s="1100"/>
      <c r="H230" s="1098"/>
    </row>
    <row r="231" spans="1:8" s="1067" customFormat="1" ht="14.25" customHeight="1" thickBot="1">
      <c r="A231" s="1079" t="s">
        <v>1414</v>
      </c>
      <c r="B231" s="1073" t="s">
        <v>1318</v>
      </c>
      <c r="C231" s="1073">
        <v>4480</v>
      </c>
      <c r="D231" s="1073">
        <v>4410</v>
      </c>
      <c r="E231" s="1073">
        <v>4640</v>
      </c>
      <c r="F231" s="1100"/>
      <c r="H231" s="1098"/>
    </row>
    <row r="232" spans="1:8" s="1067" customFormat="1" ht="14.25" customHeight="1" thickBot="1">
      <c r="A232" s="1079" t="s">
        <v>1414</v>
      </c>
      <c r="B232" s="1073" t="s">
        <v>1325</v>
      </c>
      <c r="C232" s="1073">
        <v>5670</v>
      </c>
      <c r="D232" s="1073">
        <v>5600</v>
      </c>
      <c r="E232" s="1073">
        <v>5890</v>
      </c>
      <c r="F232" s="1091">
        <v>1150</v>
      </c>
      <c r="H232" s="1098"/>
    </row>
    <row r="233" spans="1:8" s="1067" customFormat="1" ht="14.25" customHeight="1" thickBot="1">
      <c r="A233" s="1079" t="s">
        <v>1414</v>
      </c>
      <c r="B233" s="1073" t="s">
        <v>1332</v>
      </c>
      <c r="C233" s="1073">
        <v>4590</v>
      </c>
      <c r="D233" s="1073">
        <v>4500</v>
      </c>
      <c r="E233" s="1073">
        <v>4600</v>
      </c>
      <c r="F233" s="1100"/>
      <c r="H233" s="1098"/>
    </row>
    <row r="234" spans="1:8" s="1067" customFormat="1" ht="14.25" customHeight="1" thickBot="1">
      <c r="A234" s="1079" t="s">
        <v>1414</v>
      </c>
      <c r="B234" s="1073" t="s">
        <v>2427</v>
      </c>
      <c r="C234" s="1073">
        <v>3990</v>
      </c>
      <c r="D234" s="1073">
        <v>3950</v>
      </c>
      <c r="E234" s="1073">
        <v>4180</v>
      </c>
      <c r="F234" s="1100"/>
      <c r="H234" s="1098"/>
    </row>
    <row r="235" spans="1:8" s="1067" customFormat="1" ht="14.25" customHeight="1" thickBot="1">
      <c r="A235" s="1079" t="s">
        <v>1414</v>
      </c>
      <c r="B235" s="1073" t="s">
        <v>1341</v>
      </c>
      <c r="C235" s="1073">
        <v>5590</v>
      </c>
      <c r="D235" s="1073">
        <v>5540</v>
      </c>
      <c r="E235" s="1073">
        <v>5810</v>
      </c>
      <c r="F235" s="1091">
        <v>970</v>
      </c>
      <c r="H235" s="1098"/>
    </row>
    <row r="236" spans="1:8" s="1067" customFormat="1" ht="14.25" customHeight="1" thickBot="1">
      <c r="A236" s="1079" t="s">
        <v>1414</v>
      </c>
      <c r="B236" s="1073" t="s">
        <v>1346</v>
      </c>
      <c r="C236" s="1073"/>
      <c r="D236" s="1073"/>
      <c r="E236" s="1073"/>
      <c r="F236" s="1091">
        <v>1020</v>
      </c>
      <c r="H236" s="1098"/>
    </row>
    <row r="237" spans="1:8" s="1067" customFormat="1" ht="14.25" customHeight="1" thickBot="1">
      <c r="A237" s="1079" t="s">
        <v>1414</v>
      </c>
      <c r="B237" s="1073" t="s">
        <v>1351</v>
      </c>
      <c r="C237" s="1073"/>
      <c r="D237" s="1073"/>
      <c r="E237" s="1073"/>
      <c r="F237" s="1091">
        <v>960</v>
      </c>
      <c r="H237" s="1098"/>
    </row>
    <row r="238" spans="1:8" s="1067" customFormat="1" ht="14.25" customHeight="1" thickBot="1">
      <c r="A238" s="1079" t="s">
        <v>1414</v>
      </c>
      <c r="B238" s="1073" t="s">
        <v>1356</v>
      </c>
      <c r="C238" s="1073"/>
      <c r="D238" s="1073"/>
      <c r="E238" s="1073"/>
      <c r="F238" s="1091">
        <v>960</v>
      </c>
      <c r="H238" s="1098"/>
    </row>
    <row r="239" spans="1:8" s="1067" customFormat="1" ht="14.25" customHeight="1" thickBot="1">
      <c r="A239" s="1079" t="s">
        <v>1414</v>
      </c>
      <c r="B239" s="1073" t="s">
        <v>1361</v>
      </c>
      <c r="C239" s="1073"/>
      <c r="D239" s="1073"/>
      <c r="E239" s="1073"/>
      <c r="F239" s="1091">
        <v>960</v>
      </c>
      <c r="H239" s="1098"/>
    </row>
    <row r="240" spans="1:8" s="1067" customFormat="1" ht="14.25" customHeight="1" thickBot="1">
      <c r="A240" s="1079" t="s">
        <v>1414</v>
      </c>
      <c r="B240" s="1073" t="s">
        <v>1365</v>
      </c>
      <c r="C240" s="1073"/>
      <c r="D240" s="1073"/>
      <c r="E240" s="1073"/>
      <c r="F240" s="1091">
        <v>990</v>
      </c>
      <c r="H240" s="1098"/>
    </row>
    <row r="241" spans="1:8" s="1067" customFormat="1" ht="14.25" customHeight="1" thickBot="1">
      <c r="A241" s="1079" t="s">
        <v>1414</v>
      </c>
      <c r="B241" s="1073" t="s">
        <v>1369</v>
      </c>
      <c r="C241" s="1073"/>
      <c r="D241" s="1073"/>
      <c r="E241" s="1073"/>
      <c r="F241" s="1091">
        <v>1000</v>
      </c>
      <c r="H241" s="1098"/>
    </row>
    <row r="242" spans="1:8" s="1067" customFormat="1" ht="14.25" customHeight="1" thickBot="1">
      <c r="A242" s="1079" t="s">
        <v>1414</v>
      </c>
      <c r="B242" s="1073" t="s">
        <v>1373</v>
      </c>
      <c r="C242" s="1073"/>
      <c r="D242" s="1073"/>
      <c r="E242" s="1073"/>
      <c r="F242" s="1091">
        <v>980</v>
      </c>
      <c r="H242" s="1098"/>
    </row>
    <row r="243" spans="1:8" s="1067" customFormat="1" ht="14.25" customHeight="1" thickBot="1">
      <c r="A243" s="1079" t="s">
        <v>1414</v>
      </c>
      <c r="B243" s="1073" t="s">
        <v>1377</v>
      </c>
      <c r="C243" s="1073"/>
      <c r="D243" s="1073"/>
      <c r="E243" s="1073"/>
      <c r="F243" s="1091">
        <v>970</v>
      </c>
      <c r="H243" s="1098"/>
    </row>
    <row r="244" spans="1:8" s="1067" customFormat="1" ht="14.25" customHeight="1" thickBot="1">
      <c r="A244" s="1079" t="s">
        <v>1414</v>
      </c>
      <c r="B244" s="1089" t="s">
        <v>1381</v>
      </c>
      <c r="C244" s="1089"/>
      <c r="D244" s="1089"/>
      <c r="E244" s="1089"/>
      <c r="F244" s="1099">
        <v>970</v>
      </c>
      <c r="H244" s="1098"/>
    </row>
    <row r="245" spans="1:8" s="1067" customFormat="1" ht="14.25" customHeight="1" thickBot="1">
      <c r="A245" s="1079" t="s">
        <v>1416</v>
      </c>
      <c r="B245" s="1080" t="s">
        <v>1417</v>
      </c>
      <c r="C245" s="1080">
        <v>4050</v>
      </c>
      <c r="D245" s="1080">
        <v>4020</v>
      </c>
      <c r="E245" s="1080">
        <v>4160</v>
      </c>
      <c r="F245" s="1081">
        <v>840</v>
      </c>
      <c r="H245" s="1098"/>
    </row>
    <row r="246" spans="1:8" s="1067" customFormat="1" ht="14.25" customHeight="1" thickBot="1">
      <c r="A246" s="1079" t="s">
        <v>1416</v>
      </c>
      <c r="B246" s="1073" t="s">
        <v>1079</v>
      </c>
      <c r="C246" s="1073">
        <v>4010</v>
      </c>
      <c r="D246" s="1073">
        <v>3960</v>
      </c>
      <c r="E246" s="1073">
        <v>4130</v>
      </c>
      <c r="F246" s="1091">
        <v>840</v>
      </c>
      <c r="H246" s="1098"/>
    </row>
    <row r="247" spans="1:8" s="1067" customFormat="1" ht="14.25" customHeight="1" thickBot="1">
      <c r="A247" s="1079" t="s">
        <v>1416</v>
      </c>
      <c r="B247" s="1073" t="s">
        <v>1418</v>
      </c>
      <c r="C247" s="1073">
        <v>3170</v>
      </c>
      <c r="D247" s="1073">
        <v>3140</v>
      </c>
      <c r="E247" s="1073">
        <v>3270</v>
      </c>
      <c r="F247" s="1091">
        <v>640</v>
      </c>
      <c r="H247" s="1098"/>
    </row>
    <row r="248" spans="1:8" s="1067" customFormat="1" ht="14.25" customHeight="1" thickBot="1">
      <c r="A248" s="1079" t="s">
        <v>1416</v>
      </c>
      <c r="B248" s="1073" t="s">
        <v>1419</v>
      </c>
      <c r="C248" s="1073">
        <v>3140</v>
      </c>
      <c r="D248" s="1073">
        <v>3120</v>
      </c>
      <c r="E248" s="1073">
        <v>3240</v>
      </c>
      <c r="F248" s="1091">
        <v>620</v>
      </c>
      <c r="H248" s="1098"/>
    </row>
    <row r="249" spans="1:8" s="1067" customFormat="1" ht="14.25" customHeight="1" thickBot="1">
      <c r="A249" s="1079" t="s">
        <v>1416</v>
      </c>
      <c r="B249" s="1073" t="s">
        <v>1120</v>
      </c>
      <c r="C249" s="1073">
        <v>3200</v>
      </c>
      <c r="D249" s="1073">
        <v>3100</v>
      </c>
      <c r="E249" s="1073">
        <v>3230</v>
      </c>
      <c r="F249" s="1091">
        <v>750</v>
      </c>
      <c r="H249" s="1098"/>
    </row>
    <row r="250" spans="1:8" s="1067" customFormat="1" ht="14.25" customHeight="1" thickBot="1">
      <c r="A250" s="1079" t="s">
        <v>1416</v>
      </c>
      <c r="B250" s="1073" t="s">
        <v>1131</v>
      </c>
      <c r="C250" s="1073">
        <v>4060</v>
      </c>
      <c r="D250" s="1073">
        <v>4000</v>
      </c>
      <c r="E250" s="1073">
        <v>4140</v>
      </c>
      <c r="F250" s="1091">
        <v>790</v>
      </c>
      <c r="H250" s="1098"/>
    </row>
    <row r="251" spans="1:8" s="1067" customFormat="1" ht="14.25" customHeight="1" thickBot="1">
      <c r="A251" s="1079" t="s">
        <v>1416</v>
      </c>
      <c r="B251" s="1073" t="s">
        <v>1142</v>
      </c>
      <c r="C251" s="1073">
        <v>3990</v>
      </c>
      <c r="D251" s="1073">
        <v>3970</v>
      </c>
      <c r="E251" s="1073">
        <v>4110</v>
      </c>
      <c r="F251" s="1091">
        <v>730</v>
      </c>
      <c r="H251" s="1098"/>
    </row>
    <row r="252" spans="1:8" s="1067" customFormat="1" ht="14.25" customHeight="1" thickBot="1">
      <c r="A252" s="1079" t="s">
        <v>1416</v>
      </c>
      <c r="B252" s="1073" t="s">
        <v>1153</v>
      </c>
      <c r="C252" s="1073">
        <v>3560</v>
      </c>
      <c r="D252" s="1073">
        <v>3530</v>
      </c>
      <c r="E252" s="1073">
        <v>3650</v>
      </c>
      <c r="F252" s="1091">
        <v>750</v>
      </c>
      <c r="H252" s="1098"/>
    </row>
    <row r="253" spans="1:8" s="1067" customFormat="1" ht="14.25" customHeight="1" thickBot="1">
      <c r="A253" s="1079" t="s">
        <v>1416</v>
      </c>
      <c r="B253" s="1073" t="s">
        <v>1165</v>
      </c>
      <c r="C253" s="1073">
        <v>3780</v>
      </c>
      <c r="D253" s="1073">
        <v>3750</v>
      </c>
      <c r="E253" s="1073">
        <v>3870</v>
      </c>
      <c r="F253" s="1091">
        <v>770</v>
      </c>
      <c r="H253" s="1098"/>
    </row>
    <row r="254" spans="1:8" s="1067" customFormat="1" ht="14.25" customHeight="1" thickBot="1">
      <c r="A254" s="1079" t="s">
        <v>1416</v>
      </c>
      <c r="B254" s="1073" t="s">
        <v>1175</v>
      </c>
      <c r="C254" s="1101"/>
      <c r="D254" s="1101"/>
      <c r="E254" s="1101"/>
      <c r="F254" s="1091">
        <v>740</v>
      </c>
      <c r="H254" s="1098"/>
    </row>
    <row r="255" spans="1:8" s="1067" customFormat="1" ht="14.25" customHeight="1" thickBot="1">
      <c r="A255" s="1079" t="s">
        <v>1416</v>
      </c>
      <c r="B255" s="1073" t="s">
        <v>1185</v>
      </c>
      <c r="C255" s="1101"/>
      <c r="D255" s="1101"/>
      <c r="E255" s="1101"/>
      <c r="F255" s="1091">
        <v>760</v>
      </c>
      <c r="H255" s="1098"/>
    </row>
    <row r="256" spans="1:8" s="1067" customFormat="1" ht="14.25" customHeight="1" thickBot="1">
      <c r="A256" s="1079" t="s">
        <v>1416</v>
      </c>
      <c r="B256" s="1073" t="s">
        <v>1195</v>
      </c>
      <c r="C256" s="1073">
        <v>3760</v>
      </c>
      <c r="D256" s="1073">
        <v>3730</v>
      </c>
      <c r="E256" s="1073">
        <v>3870</v>
      </c>
      <c r="F256" s="1091">
        <v>830</v>
      </c>
      <c r="H256" s="1098"/>
    </row>
    <row r="257" spans="1:8" s="1067" customFormat="1" ht="14.25" customHeight="1" thickBot="1">
      <c r="A257" s="1079" t="s">
        <v>1416</v>
      </c>
      <c r="B257" s="1073" t="s">
        <v>1205</v>
      </c>
      <c r="C257" s="1073">
        <v>3570</v>
      </c>
      <c r="D257" s="1073">
        <v>3540</v>
      </c>
      <c r="E257" s="1073">
        <v>3650</v>
      </c>
      <c r="F257" s="1091">
        <v>790</v>
      </c>
      <c r="H257" s="1098"/>
    </row>
    <row r="258" spans="1:8" s="1067" customFormat="1" ht="14.25" customHeight="1" thickBot="1">
      <c r="A258" s="1079" t="s">
        <v>1416</v>
      </c>
      <c r="B258" s="1073" t="s">
        <v>1215</v>
      </c>
      <c r="C258" s="1073">
        <v>3410</v>
      </c>
      <c r="D258" s="1073">
        <v>3380</v>
      </c>
      <c r="E258" s="1073">
        <v>3500</v>
      </c>
      <c r="F258" s="1091">
        <v>830</v>
      </c>
      <c r="H258" s="1098"/>
    </row>
    <row r="259" spans="1:8" s="1067" customFormat="1" ht="14.25" customHeight="1" thickBot="1">
      <c r="A259" s="1079" t="s">
        <v>1416</v>
      </c>
      <c r="B259" s="1073" t="s">
        <v>1225</v>
      </c>
      <c r="C259" s="1073">
        <v>3870</v>
      </c>
      <c r="D259" s="1073">
        <v>3840</v>
      </c>
      <c r="E259" s="1073">
        <v>3970</v>
      </c>
      <c r="F259" s="1091">
        <v>830</v>
      </c>
      <c r="H259" s="1098"/>
    </row>
    <row r="260" spans="1:8" s="1067" customFormat="1" ht="14.25" customHeight="1" thickBot="1">
      <c r="A260" s="1079" t="s">
        <v>1416</v>
      </c>
      <c r="B260" s="1073" t="s">
        <v>1235</v>
      </c>
      <c r="C260" s="1073">
        <v>3700</v>
      </c>
      <c r="D260" s="1073">
        <v>3660</v>
      </c>
      <c r="E260" s="1073">
        <v>3810</v>
      </c>
      <c r="F260" s="1091">
        <v>790</v>
      </c>
      <c r="H260" s="1098"/>
    </row>
    <row r="261" spans="1:8" s="1067" customFormat="1" ht="14.25" customHeight="1" thickBot="1">
      <c r="A261" s="1079" t="s">
        <v>1416</v>
      </c>
      <c r="B261" s="1073" t="s">
        <v>1245</v>
      </c>
      <c r="C261" s="1073">
        <v>3470</v>
      </c>
      <c r="D261" s="1073">
        <v>3430</v>
      </c>
      <c r="E261" s="1073">
        <v>3640</v>
      </c>
      <c r="F261" s="1091">
        <v>760</v>
      </c>
      <c r="H261" s="1098"/>
    </row>
    <row r="262" spans="1:8" s="1067" customFormat="1" ht="14.25" customHeight="1" thickBot="1">
      <c r="A262" s="1079" t="s">
        <v>1416</v>
      </c>
      <c r="B262" s="1073" t="s">
        <v>1255</v>
      </c>
      <c r="C262" s="1073">
        <v>3510</v>
      </c>
      <c r="D262" s="1073">
        <v>3470</v>
      </c>
      <c r="E262" s="1073">
        <v>3680</v>
      </c>
      <c r="F262" s="1100"/>
      <c r="H262" s="1098"/>
    </row>
    <row r="263" spans="1:8" s="1067" customFormat="1" ht="14.25" customHeight="1" thickBot="1">
      <c r="A263" s="1079" t="s">
        <v>1416</v>
      </c>
      <c r="B263" s="1073" t="s">
        <v>1265</v>
      </c>
      <c r="C263" s="1073">
        <v>3960</v>
      </c>
      <c r="D263" s="1073">
        <v>3930</v>
      </c>
      <c r="E263" s="1073">
        <v>4070</v>
      </c>
      <c r="F263" s="1091">
        <v>830</v>
      </c>
      <c r="H263" s="1098"/>
    </row>
    <row r="264" spans="1:8" s="1067" customFormat="1" ht="14.25" customHeight="1" thickBot="1">
      <c r="A264" s="1079" t="s">
        <v>1416</v>
      </c>
      <c r="B264" s="1073" t="s">
        <v>1274</v>
      </c>
      <c r="C264" s="1073">
        <v>4010</v>
      </c>
      <c r="D264" s="1073">
        <v>3980</v>
      </c>
      <c r="E264" s="1073">
        <v>4150</v>
      </c>
      <c r="F264" s="1091">
        <v>760</v>
      </c>
      <c r="H264" s="1098"/>
    </row>
    <row r="265" spans="1:8" s="1067" customFormat="1" ht="14.25" customHeight="1" thickBot="1">
      <c r="A265" s="1079" t="s">
        <v>1416</v>
      </c>
      <c r="B265" s="1073" t="s">
        <v>1283</v>
      </c>
      <c r="C265" s="1073">
        <v>3910</v>
      </c>
      <c r="D265" s="1073">
        <v>3890</v>
      </c>
      <c r="E265" s="1073">
        <v>4040</v>
      </c>
      <c r="F265" s="1091">
        <v>780</v>
      </c>
      <c r="H265" s="1098"/>
    </row>
    <row r="266" spans="1:8" s="1067" customFormat="1" ht="14.25" customHeight="1" thickBot="1">
      <c r="A266" s="1079" t="s">
        <v>1416</v>
      </c>
      <c r="B266" s="1073" t="s">
        <v>1291</v>
      </c>
      <c r="C266" s="1073">
        <v>3930</v>
      </c>
      <c r="D266" s="1073">
        <v>3900</v>
      </c>
      <c r="E266" s="1073">
        <v>4080</v>
      </c>
      <c r="F266" s="1091">
        <v>770</v>
      </c>
      <c r="H266" s="1098"/>
    </row>
    <row r="267" spans="1:8" s="1067" customFormat="1" ht="14.25" customHeight="1" thickBot="1">
      <c r="A267" s="1079" t="s">
        <v>1416</v>
      </c>
      <c r="B267" s="1073" t="s">
        <v>1298</v>
      </c>
      <c r="C267" s="1073">
        <v>3800</v>
      </c>
      <c r="D267" s="1073">
        <v>3780</v>
      </c>
      <c r="E267" s="1073">
        <v>3930</v>
      </c>
      <c r="F267" s="1100"/>
      <c r="H267" s="1098"/>
    </row>
    <row r="268" spans="1:8" s="1067" customFormat="1" ht="14.25" customHeight="1" thickBot="1">
      <c r="A268" s="1079" t="s">
        <v>1416</v>
      </c>
      <c r="B268" s="1073" t="s">
        <v>1305</v>
      </c>
      <c r="C268" s="1073">
        <v>3460</v>
      </c>
      <c r="D268" s="1073">
        <v>3430</v>
      </c>
      <c r="E268" s="1073">
        <v>3560</v>
      </c>
      <c r="F268" s="1091">
        <v>840</v>
      </c>
      <c r="H268" s="1098"/>
    </row>
    <row r="269" spans="1:8" s="1067" customFormat="1" ht="14.25" customHeight="1" thickBot="1">
      <c r="A269" s="1079" t="s">
        <v>1416</v>
      </c>
      <c r="B269" s="1073" t="s">
        <v>1312</v>
      </c>
      <c r="C269" s="1073">
        <v>3210</v>
      </c>
      <c r="D269" s="1073">
        <v>3190</v>
      </c>
      <c r="E269" s="1073">
        <v>3310</v>
      </c>
      <c r="F269" s="1091">
        <v>730</v>
      </c>
      <c r="H269" s="1098"/>
    </row>
    <row r="270" spans="1:8" s="1067" customFormat="1" ht="14.25" customHeight="1" thickBot="1">
      <c r="A270" s="1079" t="s">
        <v>1416</v>
      </c>
      <c r="B270" s="1073" t="s">
        <v>1319</v>
      </c>
      <c r="C270" s="1073">
        <v>3240</v>
      </c>
      <c r="D270" s="1073">
        <v>3210</v>
      </c>
      <c r="E270" s="1073">
        <v>3390</v>
      </c>
      <c r="F270" s="1091">
        <v>820</v>
      </c>
      <c r="H270" s="1098"/>
    </row>
    <row r="271" spans="1:8" s="1067" customFormat="1" ht="14.25" customHeight="1" thickBot="1">
      <c r="A271" s="1079" t="s">
        <v>1416</v>
      </c>
      <c r="B271" s="1073" t="s">
        <v>1326</v>
      </c>
      <c r="C271" s="1073">
        <v>3300</v>
      </c>
      <c r="D271" s="1073">
        <v>3270</v>
      </c>
      <c r="E271" s="1073">
        <v>3380</v>
      </c>
      <c r="F271" s="1091">
        <v>750</v>
      </c>
      <c r="H271" s="1098"/>
    </row>
    <row r="272" spans="1:8" s="1067" customFormat="1" ht="14.25" customHeight="1" thickBot="1">
      <c r="A272" s="1079" t="s">
        <v>1416</v>
      </c>
      <c r="B272" s="1073" t="s">
        <v>1333</v>
      </c>
      <c r="C272" s="1101"/>
      <c r="D272" s="1101"/>
      <c r="E272" s="1101"/>
      <c r="F272" s="1091">
        <v>740</v>
      </c>
      <c r="H272" s="1098"/>
    </row>
    <row r="273" spans="1:8" s="1067" customFormat="1" ht="14.25" customHeight="1" thickBot="1">
      <c r="A273" s="1079" t="s">
        <v>1416</v>
      </c>
      <c r="B273" s="1073" t="s">
        <v>1337</v>
      </c>
      <c r="C273" s="1073">
        <v>3130</v>
      </c>
      <c r="D273" s="1073">
        <v>3100</v>
      </c>
      <c r="E273" s="1073">
        <v>3230</v>
      </c>
      <c r="F273" s="1091">
        <v>700</v>
      </c>
      <c r="H273" s="1098"/>
    </row>
    <row r="274" spans="1:8" s="1067" customFormat="1" ht="14.25" customHeight="1" thickBot="1">
      <c r="A274" s="1079" t="s">
        <v>1416</v>
      </c>
      <c r="B274" s="1073" t="s">
        <v>1342</v>
      </c>
      <c r="C274" s="1073">
        <v>3460</v>
      </c>
      <c r="D274" s="1073">
        <v>3430</v>
      </c>
      <c r="E274" s="1073">
        <v>3560</v>
      </c>
      <c r="F274" s="1091">
        <v>690</v>
      </c>
      <c r="H274" s="1098"/>
    </row>
    <row r="275" spans="1:8" s="1067" customFormat="1" ht="14.25" customHeight="1" thickBot="1">
      <c r="A275" s="1079" t="s">
        <v>1416</v>
      </c>
      <c r="B275" s="1073" t="s">
        <v>1347</v>
      </c>
      <c r="C275" s="1073">
        <v>4040</v>
      </c>
      <c r="D275" s="1073">
        <v>4020</v>
      </c>
      <c r="E275" s="1073">
        <v>4160</v>
      </c>
      <c r="F275" s="1091">
        <v>820</v>
      </c>
      <c r="H275" s="1098"/>
    </row>
    <row r="276" spans="1:8" s="1067" customFormat="1" ht="14.25" customHeight="1" thickBot="1">
      <c r="A276" s="1079" t="s">
        <v>1416</v>
      </c>
      <c r="B276" s="1073" t="s">
        <v>1352</v>
      </c>
      <c r="C276" s="1073">
        <v>3270</v>
      </c>
      <c r="D276" s="1073">
        <v>3240</v>
      </c>
      <c r="E276" s="1073">
        <v>3350</v>
      </c>
      <c r="F276" s="1091">
        <v>680</v>
      </c>
      <c r="H276" s="1098"/>
    </row>
    <row r="277" spans="1:8" s="1067" customFormat="1" ht="14.25" customHeight="1" thickBot="1">
      <c r="A277" s="1079" t="s">
        <v>1416</v>
      </c>
      <c r="B277" s="1073" t="s">
        <v>1357</v>
      </c>
      <c r="C277" s="1073">
        <v>2930</v>
      </c>
      <c r="D277" s="1073">
        <v>2900</v>
      </c>
      <c r="E277" s="1073">
        <v>3000</v>
      </c>
      <c r="F277" s="1091">
        <v>640</v>
      </c>
      <c r="H277" s="1098"/>
    </row>
    <row r="278" spans="1:8" s="1067" customFormat="1" ht="14.25" customHeight="1" thickBot="1">
      <c r="A278" s="1079" t="s">
        <v>1416</v>
      </c>
      <c r="B278" s="1073" t="s">
        <v>1362</v>
      </c>
      <c r="C278" s="1073">
        <v>4080</v>
      </c>
      <c r="D278" s="1073">
        <v>4030</v>
      </c>
      <c r="E278" s="1073">
        <v>4140</v>
      </c>
      <c r="F278" s="1091">
        <v>850</v>
      </c>
      <c r="H278" s="1098"/>
    </row>
    <row r="279" spans="1:8" s="1067" customFormat="1" ht="14.25" customHeight="1" thickBot="1">
      <c r="A279" s="1079" t="s">
        <v>1416</v>
      </c>
      <c r="B279" s="1073" t="s">
        <v>1366</v>
      </c>
      <c r="C279" s="1073"/>
      <c r="D279" s="1073"/>
      <c r="E279" s="1073"/>
      <c r="F279" s="1091">
        <v>760</v>
      </c>
      <c r="H279" s="1098"/>
    </row>
    <row r="280" spans="1:8" s="1067" customFormat="1" ht="14.25" customHeight="1" thickBot="1">
      <c r="A280" s="1079" t="s">
        <v>1416</v>
      </c>
      <c r="B280" s="1073" t="s">
        <v>1370</v>
      </c>
      <c r="C280" s="1073"/>
      <c r="D280" s="1073"/>
      <c r="E280" s="1073"/>
      <c r="F280" s="1091">
        <v>760</v>
      </c>
      <c r="H280" s="1098"/>
    </row>
    <row r="281" spans="1:8" s="1067" customFormat="1" ht="14.25" customHeight="1" thickBot="1">
      <c r="A281" s="1079" t="s">
        <v>1416</v>
      </c>
      <c r="B281" s="1073" t="s">
        <v>1374</v>
      </c>
      <c r="C281" s="1073"/>
      <c r="D281" s="1073"/>
      <c r="E281" s="1073"/>
      <c r="F281" s="1091">
        <v>780</v>
      </c>
      <c r="H281" s="1098"/>
    </row>
    <row r="282" spans="1:8" s="1067" customFormat="1" ht="14.25" customHeight="1" thickBot="1">
      <c r="A282" s="1079" t="s">
        <v>1416</v>
      </c>
      <c r="B282" s="1073" t="s">
        <v>1378</v>
      </c>
      <c r="C282" s="1073"/>
      <c r="D282" s="1073"/>
      <c r="E282" s="1073"/>
      <c r="F282" s="1091">
        <v>730</v>
      </c>
      <c r="H282" s="1098"/>
    </row>
    <row r="283" spans="1:8" s="1067" customFormat="1" ht="14.25" customHeight="1" thickBot="1">
      <c r="A283" s="1079" t="s">
        <v>1416</v>
      </c>
      <c r="B283" s="1073" t="s">
        <v>1382</v>
      </c>
      <c r="C283" s="1073"/>
      <c r="D283" s="1073"/>
      <c r="E283" s="1073"/>
      <c r="F283" s="1091">
        <v>770</v>
      </c>
      <c r="H283" s="1098"/>
    </row>
    <row r="284" spans="1:8" s="1067" customFormat="1" ht="14.25" customHeight="1" thickBot="1">
      <c r="A284" s="1079" t="s">
        <v>1416</v>
      </c>
      <c r="B284" s="1073" t="s">
        <v>1385</v>
      </c>
      <c r="C284" s="1073"/>
      <c r="D284" s="1073"/>
      <c r="E284" s="1073"/>
      <c r="F284" s="1091">
        <v>640</v>
      </c>
      <c r="H284" s="1098"/>
    </row>
    <row r="285" spans="1:8" s="1067" customFormat="1" ht="14.25" customHeight="1" thickBot="1">
      <c r="A285" s="1079" t="s">
        <v>1416</v>
      </c>
      <c r="B285" s="1073" t="s">
        <v>1388</v>
      </c>
      <c r="C285" s="1073"/>
      <c r="D285" s="1073"/>
      <c r="E285" s="1073"/>
      <c r="F285" s="1091">
        <v>640</v>
      </c>
      <c r="H285" s="1098"/>
    </row>
    <row r="286" spans="1:8" s="1067" customFormat="1" ht="14.25" customHeight="1" thickBot="1">
      <c r="A286" s="1079" t="s">
        <v>1416</v>
      </c>
      <c r="B286" s="1073" t="s">
        <v>1391</v>
      </c>
      <c r="C286" s="1073"/>
      <c r="D286" s="1073"/>
      <c r="E286" s="1073"/>
      <c r="F286" s="1091">
        <v>850</v>
      </c>
      <c r="H286" s="1098"/>
    </row>
    <row r="287" spans="1:8" s="1067" customFormat="1" ht="14.25" customHeight="1" thickBot="1">
      <c r="A287" s="1079" t="s">
        <v>1416</v>
      </c>
      <c r="B287" s="1073" t="s">
        <v>1394</v>
      </c>
      <c r="C287" s="1073"/>
      <c r="D287" s="1073"/>
      <c r="E287" s="1073"/>
      <c r="F287" s="1091">
        <v>760</v>
      </c>
      <c r="H287" s="1098"/>
    </row>
    <row r="288" spans="1:8" s="1067" customFormat="1" ht="14.25" customHeight="1" thickBot="1">
      <c r="A288" s="1079" t="s">
        <v>1416</v>
      </c>
      <c r="B288" s="1073" t="s">
        <v>1397</v>
      </c>
      <c r="C288" s="1073"/>
      <c r="D288" s="1073"/>
      <c r="E288" s="1073"/>
      <c r="F288" s="1091">
        <v>830</v>
      </c>
      <c r="H288" s="1098"/>
    </row>
    <row r="289" spans="1:8" s="1067" customFormat="1" ht="14.25" customHeight="1" thickBot="1">
      <c r="A289" s="1079" t="s">
        <v>1416</v>
      </c>
      <c r="B289" s="1089" t="s">
        <v>1400</v>
      </c>
      <c r="C289" s="1089"/>
      <c r="D289" s="1089"/>
      <c r="E289" s="1089"/>
      <c r="F289" s="1099">
        <v>680</v>
      </c>
      <c r="H289" s="1098"/>
    </row>
    <row r="290" spans="1:8" s="1067" customFormat="1" ht="14.25" customHeight="1" thickBot="1">
      <c r="A290" s="1079" t="s">
        <v>1420</v>
      </c>
      <c r="B290" s="1080" t="s">
        <v>1421</v>
      </c>
      <c r="C290" s="1080">
        <v>2770</v>
      </c>
      <c r="D290" s="1080">
        <v>2740</v>
      </c>
      <c r="E290" s="1080">
        <v>2720</v>
      </c>
      <c r="F290" s="1102"/>
      <c r="H290" s="1098"/>
    </row>
    <row r="291" spans="1:8" s="1067" customFormat="1" ht="14.25" customHeight="1" thickBot="1">
      <c r="A291" s="1079" t="s">
        <v>1420</v>
      </c>
      <c r="B291" s="1073" t="s">
        <v>1080</v>
      </c>
      <c r="C291" s="1073">
        <v>2670</v>
      </c>
      <c r="D291" s="1073">
        <v>2640</v>
      </c>
      <c r="E291" s="1073">
        <v>2620</v>
      </c>
      <c r="F291" s="1100"/>
      <c r="H291" s="1098"/>
    </row>
    <row r="292" spans="1:8" s="1067" customFormat="1" ht="14.25" customHeight="1" thickBot="1">
      <c r="A292" s="1079" t="s">
        <v>1420</v>
      </c>
      <c r="B292" s="1073" t="s">
        <v>1422</v>
      </c>
      <c r="C292" s="1073">
        <v>2180</v>
      </c>
      <c r="D292" s="1073">
        <v>2140</v>
      </c>
      <c r="E292" s="1073">
        <v>2120</v>
      </c>
      <c r="F292" s="1091">
        <v>490</v>
      </c>
      <c r="H292" s="1098"/>
    </row>
    <row r="293" spans="1:8" s="1067" customFormat="1" ht="14.25" customHeight="1" thickBot="1">
      <c r="A293" s="1079" t="s">
        <v>1420</v>
      </c>
      <c r="B293" s="1073" t="s">
        <v>1423</v>
      </c>
      <c r="C293" s="1073"/>
      <c r="D293" s="1073"/>
      <c r="E293" s="1073"/>
      <c r="F293" s="1091">
        <v>470</v>
      </c>
      <c r="H293" s="1098"/>
    </row>
    <row r="294" spans="1:8" s="1067" customFormat="1" ht="14.25" customHeight="1" thickBot="1">
      <c r="A294" s="1079" t="s">
        <v>1420</v>
      </c>
      <c r="B294" s="1073" t="s">
        <v>1424</v>
      </c>
      <c r="C294" s="1073">
        <v>2730</v>
      </c>
      <c r="D294" s="1073">
        <v>2700</v>
      </c>
      <c r="E294" s="1073">
        <v>2680</v>
      </c>
      <c r="F294" s="1091">
        <v>490</v>
      </c>
      <c r="H294" s="1098"/>
    </row>
    <row r="295" spans="1:8" s="1067" customFormat="1" ht="14.25" customHeight="1" thickBot="1">
      <c r="A295" s="1079" t="s">
        <v>1420</v>
      </c>
      <c r="B295" s="1073" t="s">
        <v>1121</v>
      </c>
      <c r="C295" s="1073">
        <v>2380</v>
      </c>
      <c r="D295" s="1073">
        <v>2350</v>
      </c>
      <c r="E295" s="1073">
        <v>2330</v>
      </c>
      <c r="F295" s="1091">
        <v>530</v>
      </c>
      <c r="H295" s="1098"/>
    </row>
    <row r="296" spans="1:8" s="1067" customFormat="1" ht="14.25" customHeight="1" thickBot="1">
      <c r="A296" s="1079" t="s">
        <v>1420</v>
      </c>
      <c r="B296" s="1073" t="s">
        <v>1132</v>
      </c>
      <c r="C296" s="1073">
        <v>2650</v>
      </c>
      <c r="D296" s="1073">
        <v>2620</v>
      </c>
      <c r="E296" s="1073">
        <v>2590</v>
      </c>
      <c r="F296" s="1091">
        <v>590</v>
      </c>
      <c r="H296" s="1098"/>
    </row>
    <row r="297" spans="1:8" s="1067" customFormat="1" ht="14.25" customHeight="1" thickBot="1">
      <c r="A297" s="1079" t="s">
        <v>1420</v>
      </c>
      <c r="B297" s="1073" t="s">
        <v>1143</v>
      </c>
      <c r="C297" s="1073">
        <v>2700</v>
      </c>
      <c r="D297" s="1073">
        <v>2670</v>
      </c>
      <c r="E297" s="1073">
        <v>2650</v>
      </c>
      <c r="F297" s="1091">
        <v>630</v>
      </c>
      <c r="H297" s="1098"/>
    </row>
    <row r="298" spans="1:8" s="1067" customFormat="1" ht="14.25" customHeight="1" thickBot="1">
      <c r="A298" s="1079" t="s">
        <v>1420</v>
      </c>
      <c r="B298" s="1073" t="s">
        <v>1154</v>
      </c>
      <c r="C298" s="1073">
        <v>2650</v>
      </c>
      <c r="D298" s="1073">
        <v>2620</v>
      </c>
      <c r="E298" s="1073">
        <v>2590</v>
      </c>
      <c r="F298" s="1091">
        <v>640</v>
      </c>
      <c r="H298" s="1098"/>
    </row>
    <row r="299" spans="1:8" s="1067" customFormat="1" ht="14.25" customHeight="1" thickBot="1">
      <c r="A299" s="1079" t="s">
        <v>1420</v>
      </c>
      <c r="B299" s="1073" t="s">
        <v>1166</v>
      </c>
      <c r="C299" s="1073">
        <v>2500</v>
      </c>
      <c r="D299" s="1073">
        <v>2480</v>
      </c>
      <c r="E299" s="1073">
        <v>2460</v>
      </c>
      <c r="F299" s="1100"/>
      <c r="H299" s="1098"/>
    </row>
    <row r="300" spans="1:8" s="1067" customFormat="1" ht="14.25" customHeight="1" thickBot="1">
      <c r="A300" s="1079" t="s">
        <v>1420</v>
      </c>
      <c r="B300" s="1073" t="s">
        <v>1176</v>
      </c>
      <c r="C300" s="1073">
        <v>2760</v>
      </c>
      <c r="D300" s="1073">
        <v>2730</v>
      </c>
      <c r="E300" s="1073">
        <v>2700</v>
      </c>
      <c r="F300" s="1091">
        <v>630</v>
      </c>
      <c r="H300" s="1098"/>
    </row>
    <row r="301" spans="1:8" s="1067" customFormat="1" ht="14.25" customHeight="1" thickBot="1">
      <c r="A301" s="1079" t="s">
        <v>1420</v>
      </c>
      <c r="B301" s="1073" t="s">
        <v>1186</v>
      </c>
      <c r="C301" s="1073">
        <v>2510</v>
      </c>
      <c r="D301" s="1073">
        <v>2480</v>
      </c>
      <c r="E301" s="1073">
        <v>2460</v>
      </c>
      <c r="F301" s="1100"/>
      <c r="H301" s="1098"/>
    </row>
    <row r="302" spans="1:8" s="1067" customFormat="1" ht="14.25" customHeight="1" thickBot="1">
      <c r="A302" s="1079" t="s">
        <v>1420</v>
      </c>
      <c r="B302" s="1073" t="s">
        <v>1196</v>
      </c>
      <c r="C302" s="1073">
        <v>2480</v>
      </c>
      <c r="D302" s="1073">
        <v>2450</v>
      </c>
      <c r="E302" s="1073">
        <v>2420</v>
      </c>
      <c r="F302" s="1091">
        <v>600</v>
      </c>
      <c r="H302" s="1098"/>
    </row>
    <row r="303" spans="1:8" s="1067" customFormat="1" ht="14.25" customHeight="1" thickBot="1">
      <c r="A303" s="1079" t="s">
        <v>1420</v>
      </c>
      <c r="B303" s="1073" t="s">
        <v>1206</v>
      </c>
      <c r="C303" s="1073">
        <v>2270</v>
      </c>
      <c r="D303" s="1073">
        <v>2240</v>
      </c>
      <c r="E303" s="1073">
        <v>2210</v>
      </c>
      <c r="F303" s="1091">
        <v>540</v>
      </c>
      <c r="H303" s="1098"/>
    </row>
    <row r="304" spans="1:8" s="1067" customFormat="1" ht="14.25" customHeight="1" thickBot="1">
      <c r="A304" s="1079" t="s">
        <v>1420</v>
      </c>
      <c r="B304" s="1073" t="s">
        <v>1216</v>
      </c>
      <c r="C304" s="1073">
        <v>2310</v>
      </c>
      <c r="D304" s="1073">
        <v>2290</v>
      </c>
      <c r="E304" s="1073">
        <v>2270</v>
      </c>
      <c r="F304" s="1100"/>
      <c r="H304" s="1098"/>
    </row>
    <row r="305" spans="1:8" s="1067" customFormat="1" ht="14.25" customHeight="1" thickBot="1">
      <c r="A305" s="1079" t="s">
        <v>1420</v>
      </c>
      <c r="B305" s="1073" t="s">
        <v>1226</v>
      </c>
      <c r="C305" s="1073">
        <v>2490</v>
      </c>
      <c r="D305" s="1073">
        <v>2470</v>
      </c>
      <c r="E305" s="1073">
        <v>2440</v>
      </c>
      <c r="F305" s="1091">
        <v>560</v>
      </c>
      <c r="H305" s="1098"/>
    </row>
    <row r="306" spans="1:8" s="1067" customFormat="1" ht="14.25" customHeight="1" thickBot="1">
      <c r="A306" s="1079" t="s">
        <v>1420</v>
      </c>
      <c r="B306" s="1073" t="s">
        <v>1236</v>
      </c>
      <c r="C306" s="1073">
        <v>2420</v>
      </c>
      <c r="D306" s="1073">
        <v>2400</v>
      </c>
      <c r="E306" s="1073">
        <v>2380</v>
      </c>
      <c r="F306" s="1100"/>
      <c r="H306" s="1098"/>
    </row>
    <row r="307" spans="1:8" s="1067" customFormat="1" ht="14.25" customHeight="1" thickBot="1">
      <c r="A307" s="1079" t="s">
        <v>1420</v>
      </c>
      <c r="B307" s="1073" t="s">
        <v>1246</v>
      </c>
      <c r="C307" s="1073">
        <v>2770</v>
      </c>
      <c r="D307" s="1073">
        <v>2740</v>
      </c>
      <c r="E307" s="1073">
        <v>2710</v>
      </c>
      <c r="F307" s="1091">
        <v>650</v>
      </c>
      <c r="H307" s="1098"/>
    </row>
    <row r="308" spans="1:8" s="1067" customFormat="1" ht="14.25" customHeight="1" thickBot="1">
      <c r="A308" s="1079" t="s">
        <v>1420</v>
      </c>
      <c r="B308" s="1073" t="s">
        <v>1256</v>
      </c>
      <c r="C308" s="1073">
        <v>2610</v>
      </c>
      <c r="D308" s="1073">
        <v>2580</v>
      </c>
      <c r="E308" s="1073">
        <v>2550</v>
      </c>
      <c r="F308" s="1091">
        <v>580</v>
      </c>
      <c r="H308" s="1098"/>
    </row>
    <row r="309" spans="1:8" s="1067" customFormat="1" ht="14.25" customHeight="1" thickBot="1">
      <c r="A309" s="1079" t="s">
        <v>1420</v>
      </c>
      <c r="B309" s="1073" t="s">
        <v>1266</v>
      </c>
      <c r="C309" s="1073">
        <v>2690</v>
      </c>
      <c r="D309" s="1073">
        <v>2670</v>
      </c>
      <c r="E309" s="1073">
        <v>2650</v>
      </c>
      <c r="F309" s="1100"/>
      <c r="H309" s="1098"/>
    </row>
    <row r="310" spans="1:8" s="1067" customFormat="1" ht="14.25" customHeight="1" thickBot="1">
      <c r="A310" s="1079" t="s">
        <v>1420</v>
      </c>
      <c r="B310" s="1073" t="s">
        <v>1275</v>
      </c>
      <c r="C310" s="1073">
        <v>2360</v>
      </c>
      <c r="D310" s="1073">
        <v>2330</v>
      </c>
      <c r="E310" s="1073">
        <v>2310</v>
      </c>
      <c r="F310" s="1091">
        <v>560</v>
      </c>
      <c r="H310" s="1098"/>
    </row>
    <row r="311" spans="1:8" s="1067" customFormat="1" ht="14.25" customHeight="1" thickBot="1">
      <c r="A311" s="1079" t="s">
        <v>1420</v>
      </c>
      <c r="B311" s="1073" t="s">
        <v>1284</v>
      </c>
      <c r="C311" s="1073">
        <v>1970</v>
      </c>
      <c r="D311" s="1073">
        <v>1950</v>
      </c>
      <c r="E311" s="1073">
        <v>1920</v>
      </c>
      <c r="F311" s="1091">
        <v>470</v>
      </c>
      <c r="H311" s="1098"/>
    </row>
    <row r="312" spans="1:8" s="1067" customFormat="1" ht="14.25" customHeight="1" thickBot="1">
      <c r="A312" s="1079" t="s">
        <v>1420</v>
      </c>
      <c r="B312" s="1073" t="s">
        <v>1292</v>
      </c>
      <c r="C312" s="1073">
        <v>2230</v>
      </c>
      <c r="D312" s="1073">
        <v>2200</v>
      </c>
      <c r="E312" s="1073">
        <v>2170</v>
      </c>
      <c r="F312" s="1091">
        <v>460</v>
      </c>
      <c r="H312" s="1098"/>
    </row>
    <row r="313" spans="1:8" s="1067" customFormat="1" ht="14.25" customHeight="1" thickBot="1">
      <c r="A313" s="1079" t="s">
        <v>1420</v>
      </c>
      <c r="B313" s="1073" t="s">
        <v>1299</v>
      </c>
      <c r="C313" s="1073">
        <v>2770</v>
      </c>
      <c r="D313" s="1073">
        <v>2740</v>
      </c>
      <c r="E313" s="1073">
        <v>2710</v>
      </c>
      <c r="F313" s="1091">
        <v>610</v>
      </c>
      <c r="H313" s="1098"/>
    </row>
    <row r="314" spans="1:8" s="1067" customFormat="1" ht="14.25" customHeight="1" thickBot="1">
      <c r="A314" s="1079" t="s">
        <v>1420</v>
      </c>
      <c r="B314" s="1073" t="s">
        <v>1306</v>
      </c>
      <c r="C314" s="1073"/>
      <c r="D314" s="1073"/>
      <c r="E314" s="1073"/>
      <c r="F314" s="1091">
        <v>490</v>
      </c>
      <c r="H314" s="1098"/>
    </row>
    <row r="315" spans="1:8" s="1067" customFormat="1" ht="14.25" customHeight="1" thickBot="1">
      <c r="A315" s="1079" t="s">
        <v>1420</v>
      </c>
      <c r="B315" s="1073" t="s">
        <v>1313</v>
      </c>
      <c r="C315" s="1073"/>
      <c r="D315" s="1073"/>
      <c r="E315" s="1073"/>
      <c r="F315" s="1091">
        <v>520</v>
      </c>
      <c r="H315" s="1098"/>
    </row>
    <row r="316" spans="1:8" s="1067" customFormat="1" ht="14.25" customHeight="1" thickBot="1">
      <c r="A316" s="1079" t="s">
        <v>1420</v>
      </c>
      <c r="B316" s="1089" t="s">
        <v>1320</v>
      </c>
      <c r="C316" s="1089"/>
      <c r="D316" s="1089"/>
      <c r="E316" s="1089"/>
      <c r="F316" s="1099">
        <v>460</v>
      </c>
      <c r="H316" s="1098"/>
    </row>
    <row r="317" spans="1:8" s="1067" customFormat="1" ht="14.25" customHeight="1" thickBot="1">
      <c r="A317" s="1079" t="s">
        <v>917</v>
      </c>
      <c r="B317" s="1080" t="s">
        <v>1425</v>
      </c>
      <c r="C317" s="1080">
        <v>1200</v>
      </c>
      <c r="D317" s="1080">
        <v>1180</v>
      </c>
      <c r="E317" s="1080">
        <v>1160</v>
      </c>
      <c r="F317" s="1081">
        <v>370</v>
      </c>
      <c r="H317" s="1064"/>
    </row>
    <row r="318" spans="1:8" s="1067" customFormat="1" ht="14.25" customHeight="1" thickBot="1">
      <c r="A318" s="1079" t="s">
        <v>917</v>
      </c>
      <c r="B318" s="1073" t="s">
        <v>1426</v>
      </c>
      <c r="C318" s="1073">
        <v>1090</v>
      </c>
      <c r="D318" s="1073">
        <v>1060</v>
      </c>
      <c r="E318" s="1073">
        <v>1040</v>
      </c>
      <c r="F318" s="1100"/>
      <c r="H318" s="1064"/>
    </row>
    <row r="319" spans="1:8" s="1067" customFormat="1" ht="14.25" customHeight="1" thickBot="1">
      <c r="A319" s="1079" t="s">
        <v>917</v>
      </c>
      <c r="B319" s="1073" t="s">
        <v>1427</v>
      </c>
      <c r="C319" s="1073">
        <v>1520</v>
      </c>
      <c r="D319" s="1073">
        <v>1470</v>
      </c>
      <c r="E319" s="1073">
        <v>1440</v>
      </c>
      <c r="F319" s="1091">
        <v>370</v>
      </c>
      <c r="H319" s="1064"/>
    </row>
    <row r="320" spans="1:8" s="1067" customFormat="1" ht="14.25" customHeight="1" thickBot="1">
      <c r="A320" s="1079" t="s">
        <v>917</v>
      </c>
      <c r="B320" s="1073" t="s">
        <v>1108</v>
      </c>
      <c r="C320" s="1073">
        <v>1360</v>
      </c>
      <c r="D320" s="1073">
        <v>1300</v>
      </c>
      <c r="E320" s="1073">
        <v>1270</v>
      </c>
      <c r="F320" s="1100"/>
      <c r="H320" s="1064"/>
    </row>
    <row r="321" spans="1:8" s="1067" customFormat="1" ht="14.25" customHeight="1" thickBot="1">
      <c r="A321" s="1079" t="s">
        <v>917</v>
      </c>
      <c r="B321" s="1073" t="s">
        <v>1122</v>
      </c>
      <c r="C321" s="1073">
        <v>1750</v>
      </c>
      <c r="D321" s="1073">
        <v>1690</v>
      </c>
      <c r="E321" s="1073">
        <v>1660</v>
      </c>
      <c r="F321" s="1100"/>
      <c r="H321" s="1064"/>
    </row>
    <row r="322" spans="1:8" s="1067" customFormat="1" ht="14.25" customHeight="1" thickBot="1">
      <c r="A322" s="1079" t="s">
        <v>917</v>
      </c>
      <c r="B322" s="1073" t="s">
        <v>1133</v>
      </c>
      <c r="C322" s="1073">
        <v>1650</v>
      </c>
      <c r="D322" s="1073">
        <v>1610</v>
      </c>
      <c r="E322" s="1073">
        <v>1580</v>
      </c>
      <c r="F322" s="1091">
        <v>500</v>
      </c>
      <c r="H322" s="1064"/>
    </row>
    <row r="323" spans="1:8" s="1067" customFormat="1" ht="14.25" customHeight="1" thickBot="1">
      <c r="A323" s="1079" t="s">
        <v>917</v>
      </c>
      <c r="B323" s="1073" t="s">
        <v>1144</v>
      </c>
      <c r="C323" s="1073">
        <v>1780</v>
      </c>
      <c r="D323" s="1073">
        <v>1740</v>
      </c>
      <c r="E323" s="1073">
        <v>1720</v>
      </c>
      <c r="F323" s="1100"/>
      <c r="H323" s="1064"/>
    </row>
    <row r="324" spans="1:8" s="1067" customFormat="1" ht="14.25" customHeight="1" thickBot="1">
      <c r="A324" s="1079" t="s">
        <v>917</v>
      </c>
      <c r="B324" s="1073" t="s">
        <v>1155</v>
      </c>
      <c r="C324" s="1073">
        <v>1650</v>
      </c>
      <c r="D324" s="1073">
        <v>1610</v>
      </c>
      <c r="E324" s="1073">
        <v>1580</v>
      </c>
      <c r="F324" s="1100"/>
      <c r="H324" s="1064"/>
    </row>
    <row r="325" spans="1:8" s="1067" customFormat="1" ht="14.25" customHeight="1" thickBot="1">
      <c r="A325" s="1079" t="s">
        <v>917</v>
      </c>
      <c r="B325" s="1073" t="s">
        <v>1167</v>
      </c>
      <c r="C325" s="1073">
        <v>1330</v>
      </c>
      <c r="D325" s="1073">
        <v>1270</v>
      </c>
      <c r="E325" s="1073">
        <v>1240</v>
      </c>
      <c r="F325" s="1091">
        <v>430</v>
      </c>
      <c r="H325" s="1064"/>
    </row>
    <row r="326" spans="1:8" s="1067" customFormat="1" ht="14.25" customHeight="1" thickBot="1">
      <c r="A326" s="1079" t="s">
        <v>917</v>
      </c>
      <c r="B326" s="1073" t="s">
        <v>1177</v>
      </c>
      <c r="C326" s="1073">
        <v>1470</v>
      </c>
      <c r="D326" s="1073">
        <v>1430</v>
      </c>
      <c r="E326" s="1073">
        <v>1400</v>
      </c>
      <c r="F326" s="1100"/>
      <c r="H326" s="1064"/>
    </row>
    <row r="327" spans="1:8" s="1067" customFormat="1" ht="14.25" customHeight="1" thickBot="1">
      <c r="A327" s="1079" t="s">
        <v>917</v>
      </c>
      <c r="B327" s="1073" t="s">
        <v>1187</v>
      </c>
      <c r="C327" s="1073">
        <v>1420</v>
      </c>
      <c r="D327" s="1073">
        <v>1380</v>
      </c>
      <c r="E327" s="1073">
        <v>1360</v>
      </c>
      <c r="F327" s="1091">
        <v>420</v>
      </c>
      <c r="H327" s="1064"/>
    </row>
    <row r="328" spans="1:8" s="1067" customFormat="1" ht="14.25" customHeight="1" thickBot="1">
      <c r="A328" s="1079" t="s">
        <v>917</v>
      </c>
      <c r="B328" s="1073" t="s">
        <v>1197</v>
      </c>
      <c r="C328" s="1073">
        <v>1400</v>
      </c>
      <c r="D328" s="1073">
        <v>1360</v>
      </c>
      <c r="E328" s="1073">
        <v>1330</v>
      </c>
      <c r="F328" s="1091">
        <v>460</v>
      </c>
      <c r="H328" s="1064"/>
    </row>
    <row r="329" spans="1:8" s="1067" customFormat="1" ht="14.25" customHeight="1" thickBot="1">
      <c r="A329" s="1079" t="s">
        <v>917</v>
      </c>
      <c r="B329" s="1073" t="s">
        <v>1207</v>
      </c>
      <c r="C329" s="1073">
        <v>1640</v>
      </c>
      <c r="D329" s="1073">
        <v>1610</v>
      </c>
      <c r="E329" s="1073">
        <v>1580</v>
      </c>
      <c r="F329" s="1091">
        <v>410</v>
      </c>
      <c r="H329" s="1064"/>
    </row>
    <row r="330" spans="1:8" s="1067" customFormat="1" ht="14.25" customHeight="1" thickBot="1">
      <c r="A330" s="1079" t="s">
        <v>917</v>
      </c>
      <c r="B330" s="1073" t="s">
        <v>1217</v>
      </c>
      <c r="C330" s="1073">
        <v>1260</v>
      </c>
      <c r="D330" s="1073">
        <v>1220</v>
      </c>
      <c r="E330" s="1073">
        <v>1200</v>
      </c>
      <c r="F330" s="1100"/>
      <c r="H330" s="1064"/>
    </row>
    <row r="331" spans="1:8" s="1067" customFormat="1" ht="14.25" customHeight="1" thickBot="1">
      <c r="A331" s="1079" t="s">
        <v>917</v>
      </c>
      <c r="B331" s="1073" t="s">
        <v>1227</v>
      </c>
      <c r="C331" s="1073">
        <v>1620</v>
      </c>
      <c r="D331" s="1073">
        <v>1560</v>
      </c>
      <c r="E331" s="1073">
        <v>1530</v>
      </c>
      <c r="F331" s="1091">
        <v>490</v>
      </c>
      <c r="H331" s="1064"/>
    </row>
    <row r="332" spans="1:8" s="1067" customFormat="1" ht="14.25" customHeight="1" thickBot="1">
      <c r="A332" s="1079" t="s">
        <v>917</v>
      </c>
      <c r="B332" s="1073" t="s">
        <v>1237</v>
      </c>
      <c r="C332" s="1073">
        <v>1520</v>
      </c>
      <c r="D332" s="1073">
        <v>1470</v>
      </c>
      <c r="E332" s="1073">
        <v>1440</v>
      </c>
      <c r="F332" s="1091">
        <v>440</v>
      </c>
      <c r="H332" s="1064"/>
    </row>
    <row r="333" spans="1:8" s="1067" customFormat="1" ht="14.25" customHeight="1" thickBot="1">
      <c r="A333" s="1079" t="s">
        <v>917</v>
      </c>
      <c r="B333" s="1073" t="s">
        <v>1247</v>
      </c>
      <c r="C333" s="1073">
        <v>1370</v>
      </c>
      <c r="D333" s="1073">
        <v>1320</v>
      </c>
      <c r="E333" s="1073">
        <v>1300</v>
      </c>
      <c r="F333" s="1091">
        <v>460</v>
      </c>
      <c r="H333" s="1064"/>
    </row>
    <row r="334" spans="1:8" s="1067" customFormat="1" ht="14.25" customHeight="1" thickBot="1">
      <c r="A334" s="1079" t="s">
        <v>917</v>
      </c>
      <c r="B334" s="1073" t="s">
        <v>1257</v>
      </c>
      <c r="C334" s="1073">
        <v>1410</v>
      </c>
      <c r="D334" s="1073">
        <v>1340</v>
      </c>
      <c r="E334" s="1073">
        <v>1310</v>
      </c>
      <c r="F334" s="1091">
        <v>410</v>
      </c>
      <c r="H334" s="1064"/>
    </row>
    <row r="335" spans="1:8" s="1067" customFormat="1" ht="14.25" customHeight="1" thickBot="1">
      <c r="A335" s="1079" t="s">
        <v>917</v>
      </c>
      <c r="B335" s="1073" t="s">
        <v>1267</v>
      </c>
      <c r="C335" s="1073">
        <v>1260</v>
      </c>
      <c r="D335" s="1073">
        <v>1220</v>
      </c>
      <c r="E335" s="1073">
        <v>1200</v>
      </c>
      <c r="F335" s="1100"/>
      <c r="H335" s="1064"/>
    </row>
    <row r="336" spans="1:8" s="1067" customFormat="1" ht="14.25" customHeight="1" thickBot="1">
      <c r="A336" s="1079" t="s">
        <v>917</v>
      </c>
      <c r="B336" s="1073" t="s">
        <v>1276</v>
      </c>
      <c r="C336" s="1073">
        <v>1160</v>
      </c>
      <c r="D336" s="1073">
        <v>1140</v>
      </c>
      <c r="E336" s="1073">
        <v>1120</v>
      </c>
      <c r="F336" s="1091">
        <v>430</v>
      </c>
      <c r="H336" s="1064"/>
    </row>
    <row r="337" spans="1:8" s="1067" customFormat="1" ht="14.25" customHeight="1" thickBot="1">
      <c r="A337" s="1079" t="s">
        <v>917</v>
      </c>
      <c r="B337" s="1089" t="s">
        <v>1285</v>
      </c>
      <c r="C337" s="1089"/>
      <c r="D337" s="1089"/>
      <c r="E337" s="1089"/>
      <c r="F337" s="1099">
        <v>380</v>
      </c>
      <c r="H337" s="1064"/>
    </row>
    <row r="338" spans="1:8" s="1067" customFormat="1" ht="14.25" customHeight="1" thickBot="1">
      <c r="A338" s="1079" t="s">
        <v>918</v>
      </c>
      <c r="B338" s="1080" t="s">
        <v>1428</v>
      </c>
      <c r="C338" s="1080">
        <v>880</v>
      </c>
      <c r="D338" s="1080">
        <v>850</v>
      </c>
      <c r="E338" s="1080">
        <v>830</v>
      </c>
      <c r="F338" s="1102"/>
      <c r="H338" s="1064"/>
    </row>
    <row r="339" spans="1:8" s="1067" customFormat="1" ht="14.25" customHeight="1" thickBot="1">
      <c r="A339" s="1079" t="s">
        <v>918</v>
      </c>
      <c r="B339" s="1073" t="s">
        <v>1429</v>
      </c>
      <c r="C339" s="1073">
        <v>830</v>
      </c>
      <c r="D339" s="1073">
        <v>800</v>
      </c>
      <c r="E339" s="1073">
        <v>780</v>
      </c>
      <c r="F339" s="1100"/>
      <c r="H339" s="1064"/>
    </row>
    <row r="340" spans="1:8" s="1067" customFormat="1" ht="14.25" customHeight="1" thickBot="1">
      <c r="A340" s="1079" t="s">
        <v>918</v>
      </c>
      <c r="B340" s="1073" t="s">
        <v>1430</v>
      </c>
      <c r="C340" s="1073">
        <v>980</v>
      </c>
      <c r="D340" s="1073">
        <v>950</v>
      </c>
      <c r="E340" s="1073">
        <v>920</v>
      </c>
      <c r="F340" s="1100"/>
      <c r="H340" s="1064"/>
    </row>
    <row r="341" spans="1:8" s="1067" customFormat="1" ht="14.25" customHeight="1" thickBot="1">
      <c r="A341" s="1079" t="s">
        <v>918</v>
      </c>
      <c r="B341" s="1073" t="s">
        <v>1431</v>
      </c>
      <c r="C341" s="1073">
        <v>760</v>
      </c>
      <c r="D341" s="1073">
        <v>720</v>
      </c>
      <c r="E341" s="1073">
        <v>690</v>
      </c>
      <c r="F341" s="1091">
        <v>350</v>
      </c>
      <c r="H341" s="1064"/>
    </row>
    <row r="342" spans="1:8" s="1067" customFormat="1" ht="14.25" customHeight="1" thickBot="1">
      <c r="A342" s="1079" t="s">
        <v>918</v>
      </c>
      <c r="B342" s="1073" t="s">
        <v>1123</v>
      </c>
      <c r="C342" s="1073">
        <v>910</v>
      </c>
      <c r="D342" s="1073">
        <v>870</v>
      </c>
      <c r="E342" s="1073">
        <v>850</v>
      </c>
      <c r="F342" s="1091">
        <v>370</v>
      </c>
      <c r="H342" s="1064"/>
    </row>
    <row r="343" spans="1:8" s="1067" customFormat="1" ht="14.25" customHeight="1" thickBot="1">
      <c r="A343" s="1079" t="s">
        <v>918</v>
      </c>
      <c r="B343" s="1073" t="s">
        <v>1134</v>
      </c>
      <c r="C343" s="1073">
        <v>800</v>
      </c>
      <c r="D343" s="1073">
        <v>760</v>
      </c>
      <c r="E343" s="1073">
        <v>730</v>
      </c>
      <c r="F343" s="1091">
        <v>340</v>
      </c>
      <c r="H343" s="1064"/>
    </row>
    <row r="344" spans="1:8" s="1067" customFormat="1" ht="14.25" customHeight="1" thickBot="1">
      <c r="A344" s="1079" t="s">
        <v>918</v>
      </c>
      <c r="B344" s="1089" t="s">
        <v>1145</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882</v>
      </c>
      <c r="B1" s="1008"/>
      <c r="C1" s="1008"/>
      <c r="D1" s="1008"/>
      <c r="E1" s="1008"/>
      <c r="F1" s="1008"/>
      <c r="G1" s="1008"/>
      <c r="H1" s="1008"/>
      <c r="I1" s="1008"/>
      <c r="J1" s="1008"/>
      <c r="K1" s="1008"/>
      <c r="L1" s="1008"/>
      <c r="M1" s="1008"/>
      <c r="N1" s="1008"/>
    </row>
    <row r="2" spans="1:14">
      <c r="A2" s="1010" t="s">
        <v>883</v>
      </c>
      <c r="B2" s="1011" t="s">
        <v>884</v>
      </c>
      <c r="C2" s="1011" t="s">
        <v>885</v>
      </c>
      <c r="D2" s="1011" t="s">
        <v>886</v>
      </c>
      <c r="E2" s="1011" t="s">
        <v>887</v>
      </c>
      <c r="F2" s="1011" t="s">
        <v>888</v>
      </c>
      <c r="G2" s="1011" t="s">
        <v>889</v>
      </c>
      <c r="H2" s="1012" t="s">
        <v>890</v>
      </c>
      <c r="I2" s="1012" t="s">
        <v>891</v>
      </c>
      <c r="J2" s="1013" t="s">
        <v>892</v>
      </c>
      <c r="K2" s="1013" t="s">
        <v>893</v>
      </c>
      <c r="L2" s="1013" t="s">
        <v>894</v>
      </c>
      <c r="M2" s="1013" t="s">
        <v>895</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904</v>
      </c>
      <c r="B103" s="1008"/>
      <c r="C103" s="1008"/>
      <c r="D103" s="1008"/>
      <c r="E103" s="1008"/>
      <c r="F103" s="1008"/>
      <c r="G103" s="1008"/>
      <c r="H103" s="1008"/>
      <c r="I103" s="1008"/>
      <c r="J103" s="1008"/>
      <c r="K103" s="1008"/>
      <c r="L103" s="1008"/>
      <c r="M103" s="1008"/>
      <c r="N103" s="1008"/>
    </row>
    <row r="104" spans="1:14" ht="14.25">
      <c r="A104" s="1010" t="s">
        <v>883</v>
      </c>
      <c r="B104" s="1011" t="s">
        <v>884</v>
      </c>
      <c r="C104" s="1011" t="s">
        <v>885</v>
      </c>
      <c r="D104" s="1011" t="s">
        <v>886</v>
      </c>
      <c r="E104" s="1011" t="s">
        <v>887</v>
      </c>
      <c r="F104" s="1011" t="s">
        <v>888</v>
      </c>
      <c r="G104" s="1011" t="s">
        <v>889</v>
      </c>
      <c r="H104" s="1012" t="s">
        <v>890</v>
      </c>
      <c r="I104" s="1012" t="s">
        <v>891</v>
      </c>
      <c r="J104" s="1013" t="s">
        <v>892</v>
      </c>
      <c r="K104" s="1013" t="s">
        <v>893</v>
      </c>
      <c r="L104" s="1013" t="s">
        <v>894</v>
      </c>
      <c r="M104" s="1013" t="s">
        <v>895</v>
      </c>
      <c r="N104" s="1008">
        <f>SUMPRODUCT((A105:A204=ROUNDDOWN(基准地价!G3,1))*(B104:M104=基准地价!G2)*(B105:M204))</f>
        <v>1</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905</v>
      </c>
      <c r="B205" s="1008"/>
      <c r="C205" s="1008"/>
      <c r="D205" s="1008"/>
      <c r="E205" s="1008"/>
      <c r="F205" s="1008"/>
      <c r="G205" s="1008"/>
      <c r="H205" s="1008"/>
      <c r="I205" s="1008"/>
      <c r="J205" s="1008"/>
      <c r="K205" s="1008"/>
      <c r="L205" s="1008"/>
      <c r="M205" s="1008"/>
    </row>
    <row r="206" spans="1:13">
      <c r="A206" s="1010" t="s">
        <v>906</v>
      </c>
      <c r="B206" s="1011" t="s">
        <v>907</v>
      </c>
      <c r="C206" s="1011" t="s">
        <v>908</v>
      </c>
      <c r="D206" s="1011" t="s">
        <v>909</v>
      </c>
      <c r="E206" s="1011" t="s">
        <v>910</v>
      </c>
      <c r="F206" s="1011" t="s">
        <v>911</v>
      </c>
      <c r="G206" s="1011" t="s">
        <v>912</v>
      </c>
      <c r="H206" s="1012" t="s">
        <v>913</v>
      </c>
      <c r="I206" s="1012" t="s">
        <v>914</v>
      </c>
      <c r="J206" s="1013" t="s">
        <v>915</v>
      </c>
      <c r="K206" s="1013" t="s">
        <v>916</v>
      </c>
      <c r="L206" s="1013" t="s">
        <v>917</v>
      </c>
      <c r="M206" s="1013" t="s">
        <v>918</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919</v>
      </c>
      <c r="B307" s="1008"/>
      <c r="C307" s="1008"/>
      <c r="D307" s="1008"/>
      <c r="E307" s="1008"/>
      <c r="F307" s="1008"/>
      <c r="G307" s="1008"/>
      <c r="H307" s="1008"/>
      <c r="I307" s="1008"/>
      <c r="J307" s="1008"/>
      <c r="K307" s="1008"/>
      <c r="L307" s="1008"/>
      <c r="M307" s="1008"/>
    </row>
    <row r="308" spans="1:13">
      <c r="A308" s="1010" t="s">
        <v>906</v>
      </c>
      <c r="B308" s="1011" t="s">
        <v>907</v>
      </c>
      <c r="C308" s="1011" t="s">
        <v>908</v>
      </c>
      <c r="D308" s="1011" t="s">
        <v>909</v>
      </c>
      <c r="E308" s="1011" t="s">
        <v>910</v>
      </c>
      <c r="F308" s="1011" t="s">
        <v>911</v>
      </c>
      <c r="G308" s="1011" t="s">
        <v>912</v>
      </c>
      <c r="H308" s="1012" t="s">
        <v>913</v>
      </c>
      <c r="I308" s="1012" t="s">
        <v>914</v>
      </c>
      <c r="J308" s="1013" t="s">
        <v>915</v>
      </c>
      <c r="K308" s="1013" t="s">
        <v>916</v>
      </c>
      <c r="L308" s="1013" t="s">
        <v>917</v>
      </c>
      <c r="M308" s="1013" t="s">
        <v>918</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568" t="s">
        <v>2082</v>
      </c>
      <c r="B1" s="3568"/>
    </row>
    <row r="2" spans="1:6" ht="14.25" thickBot="1">
      <c r="A2" s="1851"/>
      <c r="B2" s="1851"/>
    </row>
    <row r="3" spans="1:6" ht="14.25" thickBot="1">
      <c r="A3" s="1851"/>
      <c r="B3" s="1851"/>
      <c r="C3" s="1852" t="s">
        <v>2083</v>
      </c>
      <c r="D3" s="1852" t="s">
        <v>2084</v>
      </c>
      <c r="E3" s="1852" t="s">
        <v>2085</v>
      </c>
      <c r="F3" s="1852" t="s">
        <v>2086</v>
      </c>
    </row>
    <row r="4" spans="1:6" ht="14.25" thickBot="1">
      <c r="A4" s="1853" t="s">
        <v>2087</v>
      </c>
      <c r="B4" s="1854" t="s">
        <v>2088</v>
      </c>
      <c r="C4" s="1852"/>
      <c r="D4" s="1852"/>
      <c r="E4" s="1852"/>
      <c r="F4" s="1852"/>
    </row>
    <row r="5" spans="1:6" ht="14.25" thickBot="1">
      <c r="A5" s="1855" t="s">
        <v>2089</v>
      </c>
      <c r="B5" s="1856" t="s">
        <v>2090</v>
      </c>
      <c r="C5" s="1857">
        <v>8.8999999999999996E-2</v>
      </c>
      <c r="D5" s="1857">
        <v>7.3999999999999996E-2</v>
      </c>
      <c r="E5" s="1857">
        <v>7.4999999999999997E-2</v>
      </c>
      <c r="F5" s="1858">
        <v>0.1</v>
      </c>
    </row>
    <row r="6" spans="1:6" ht="14.25" thickBot="1">
      <c r="A6" s="1855" t="s">
        <v>1097</v>
      </c>
      <c r="B6" s="1859" t="s">
        <v>2091</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2092</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2093</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2094</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2095</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2096</v>
      </c>
      <c r="C72" s="1869"/>
      <c r="D72" s="1869"/>
      <c r="E72" s="1869"/>
      <c r="F72" s="1861">
        <v>0.05</v>
      </c>
    </row>
    <row r="73" spans="1:6" ht="14.25" thickBot="1">
      <c r="A73" s="1855" t="s">
        <v>925</v>
      </c>
      <c r="B73" s="1859" t="s">
        <v>2097</v>
      </c>
      <c r="C73" s="1869"/>
      <c r="D73" s="1869"/>
      <c r="E73" s="1869"/>
      <c r="F73" s="1861">
        <v>0.05</v>
      </c>
    </row>
    <row r="74" spans="1:6" ht="14.25" thickBot="1">
      <c r="A74" s="1855" t="s">
        <v>925</v>
      </c>
      <c r="B74" s="1859" t="s">
        <v>2098</v>
      </c>
      <c r="C74" s="1869"/>
      <c r="D74" s="1869"/>
      <c r="E74" s="1869"/>
      <c r="F74" s="1861">
        <v>0.05</v>
      </c>
    </row>
    <row r="75" spans="1:6" ht="14.25" thickBot="1">
      <c r="A75" s="1863" t="s">
        <v>925</v>
      </c>
      <c r="B75" s="1870" t="s">
        <v>2099</v>
      </c>
      <c r="C75" s="1866"/>
      <c r="D75" s="1866"/>
      <c r="E75" s="1866"/>
      <c r="F75" s="1871">
        <v>0.05</v>
      </c>
    </row>
    <row r="76" spans="1:6" ht="14.25" thickBot="1">
      <c r="A76" s="1855" t="s">
        <v>1408</v>
      </c>
      <c r="B76" s="1856" t="s">
        <v>2100</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2101</v>
      </c>
      <c r="C102" s="1869"/>
      <c r="D102" s="1869"/>
      <c r="E102" s="1869"/>
      <c r="F102" s="1861">
        <v>0.05</v>
      </c>
    </row>
    <row r="103" spans="1:6" ht="24.75" thickBot="1">
      <c r="A103" s="1855" t="s">
        <v>1408</v>
      </c>
      <c r="B103" s="1859" t="s">
        <v>2102</v>
      </c>
      <c r="C103" s="1869"/>
      <c r="D103" s="1869"/>
      <c r="E103" s="1869"/>
      <c r="F103" s="1861">
        <v>0.05</v>
      </c>
    </row>
    <row r="104" spans="1:6" ht="14.25" thickBot="1">
      <c r="A104" s="1855" t="s">
        <v>1408</v>
      </c>
      <c r="B104" s="1859" t="s">
        <v>2103</v>
      </c>
      <c r="C104" s="1869"/>
      <c r="D104" s="1869"/>
      <c r="E104" s="1869"/>
      <c r="F104" s="1861">
        <v>0.05</v>
      </c>
    </row>
    <row r="105" spans="1:6" ht="14.25" thickBot="1">
      <c r="A105" s="1855" t="s">
        <v>1408</v>
      </c>
      <c r="B105" s="1859" t="s">
        <v>2104</v>
      </c>
      <c r="C105" s="1869"/>
      <c r="D105" s="1869"/>
      <c r="E105" s="1869"/>
      <c r="F105" s="1861">
        <v>0.05</v>
      </c>
    </row>
    <row r="106" spans="1:6" ht="14.25" thickBot="1">
      <c r="A106" s="1855" t="s">
        <v>1408</v>
      </c>
      <c r="B106" s="1859" t="s">
        <v>2105</v>
      </c>
      <c r="C106" s="1869"/>
      <c r="D106" s="1869"/>
      <c r="E106" s="1869"/>
      <c r="F106" s="1861">
        <v>0.05</v>
      </c>
    </row>
    <row r="107" spans="1:6" ht="24.75" thickBot="1">
      <c r="A107" s="1855" t="s">
        <v>1408</v>
      </c>
      <c r="B107" s="1859" t="s">
        <v>2106</v>
      </c>
      <c r="C107" s="1869"/>
      <c r="D107" s="1869"/>
      <c r="E107" s="1869"/>
      <c r="F107" s="1861">
        <v>0.05</v>
      </c>
    </row>
    <row r="108" spans="1:6" ht="24.75" thickBot="1">
      <c r="A108" s="1855" t="s">
        <v>1408</v>
      </c>
      <c r="B108" s="1859" t="s">
        <v>2107</v>
      </c>
      <c r="C108" s="1869"/>
      <c r="D108" s="1869"/>
      <c r="E108" s="1869"/>
      <c r="F108" s="1861">
        <v>0.05</v>
      </c>
    </row>
    <row r="109" spans="1:6" ht="24.75" thickBot="1">
      <c r="A109" s="1863" t="s">
        <v>1408</v>
      </c>
      <c r="B109" s="1870" t="s">
        <v>2108</v>
      </c>
      <c r="C109" s="1866"/>
      <c r="D109" s="1866"/>
      <c r="E109" s="1866"/>
      <c r="F109" s="1871">
        <v>0.05</v>
      </c>
    </row>
    <row r="110" spans="1:6" ht="14.25" thickBot="1">
      <c r="A110" s="1855" t="s">
        <v>1410</v>
      </c>
      <c r="B110" s="1856" t="s">
        <v>2109</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2110</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2111</v>
      </c>
      <c r="C138" s="1860">
        <v>0.105</v>
      </c>
      <c r="D138" s="1860">
        <v>0.125</v>
      </c>
      <c r="E138" s="1860">
        <v>0.112</v>
      </c>
      <c r="F138" s="1868"/>
    </row>
    <row r="139" spans="1:6" ht="14.25" thickBot="1">
      <c r="A139" s="1855" t="s">
        <v>1410</v>
      </c>
      <c r="B139" s="1859" t="s">
        <v>2112</v>
      </c>
      <c r="C139" s="1860">
        <v>0.127</v>
      </c>
      <c r="D139" s="1860">
        <v>0.127</v>
      </c>
      <c r="E139" s="1860">
        <v>0.122</v>
      </c>
      <c r="F139" s="1861">
        <v>0.13</v>
      </c>
    </row>
    <row r="140" spans="1:6" ht="14.25" thickBot="1">
      <c r="A140" s="1855" t="s">
        <v>1410</v>
      </c>
      <c r="B140" s="1859" t="s">
        <v>2113</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2114</v>
      </c>
      <c r="C144" s="1873">
        <v>0.126</v>
      </c>
      <c r="D144" s="1873">
        <v>0.126</v>
      </c>
      <c r="E144" s="1873">
        <v>0.121</v>
      </c>
      <c r="F144" s="1868"/>
    </row>
    <row r="145" spans="1:6" ht="14.25" thickBot="1">
      <c r="A145" s="1863" t="s">
        <v>1410</v>
      </c>
      <c r="B145" s="1874" t="s">
        <v>2115</v>
      </c>
      <c r="C145" s="1875"/>
      <c r="D145" s="1875"/>
      <c r="E145" s="1875"/>
      <c r="F145" s="1876">
        <v>0.05</v>
      </c>
    </row>
    <row r="146" spans="1:6" ht="24.75" thickBot="1">
      <c r="A146" s="1877" t="s">
        <v>1410</v>
      </c>
      <c r="B146" s="1862" t="s">
        <v>2116</v>
      </c>
      <c r="C146" s="1869"/>
      <c r="D146" s="1869"/>
      <c r="E146" s="1869"/>
      <c r="F146" s="1878">
        <v>0.05</v>
      </c>
    </row>
    <row r="147" spans="1:6" ht="24.75" thickBot="1">
      <c r="A147" s="1855" t="s">
        <v>1410</v>
      </c>
      <c r="B147" s="1859" t="s">
        <v>2117</v>
      </c>
      <c r="C147" s="1869"/>
      <c r="D147" s="1869"/>
      <c r="E147" s="1869"/>
      <c r="F147" s="1861">
        <v>0.05</v>
      </c>
    </row>
    <row r="148" spans="1:6" ht="24.75" thickBot="1">
      <c r="A148" s="1855" t="s">
        <v>1410</v>
      </c>
      <c r="B148" s="1859" t="s">
        <v>2118</v>
      </c>
      <c r="C148" s="1869"/>
      <c r="D148" s="1869"/>
      <c r="E148" s="1869"/>
      <c r="F148" s="1861">
        <v>0.05</v>
      </c>
    </row>
    <row r="149" spans="1:6" ht="24.75" thickBot="1">
      <c r="A149" s="1855" t="s">
        <v>1410</v>
      </c>
      <c r="B149" s="1859" t="s">
        <v>2119</v>
      </c>
      <c r="C149" s="1869"/>
      <c r="D149" s="1869"/>
      <c r="E149" s="1869"/>
      <c r="F149" s="1861">
        <v>0.05</v>
      </c>
    </row>
    <row r="150" spans="1:6" ht="24.75" thickBot="1">
      <c r="A150" s="1855" t="s">
        <v>1410</v>
      </c>
      <c r="B150" s="1859" t="s">
        <v>2120</v>
      </c>
      <c r="C150" s="1869"/>
      <c r="D150" s="1869"/>
      <c r="E150" s="1869"/>
      <c r="F150" s="1861">
        <v>0.05</v>
      </c>
    </row>
    <row r="151" spans="1:6" ht="24.75" thickBot="1">
      <c r="A151" s="1855" t="s">
        <v>1410</v>
      </c>
      <c r="B151" s="1859" t="s">
        <v>2121</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2122</v>
      </c>
      <c r="C153" s="1869"/>
      <c r="D153" s="1869"/>
      <c r="E153" s="1869"/>
      <c r="F153" s="1861">
        <v>0.05</v>
      </c>
    </row>
    <row r="154" spans="1:6" ht="14.25" thickBot="1">
      <c r="A154" s="1855" t="s">
        <v>1410</v>
      </c>
      <c r="B154" s="1859" t="s">
        <v>2123</v>
      </c>
      <c r="C154" s="1869"/>
      <c r="D154" s="1869"/>
      <c r="E154" s="1869"/>
      <c r="F154" s="1861">
        <v>0.05</v>
      </c>
    </row>
    <row r="155" spans="1:6" ht="24.75" thickBot="1">
      <c r="A155" s="1855" t="s">
        <v>1410</v>
      </c>
      <c r="B155" s="1859" t="s">
        <v>2124</v>
      </c>
      <c r="C155" s="1869"/>
      <c r="D155" s="1869"/>
      <c r="E155" s="1869"/>
      <c r="F155" s="1861">
        <v>0.05</v>
      </c>
    </row>
    <row r="156" spans="1:6" ht="24.75" thickBot="1">
      <c r="A156" s="1855" t="s">
        <v>1410</v>
      </c>
      <c r="B156" s="1859" t="s">
        <v>2125</v>
      </c>
      <c r="C156" s="1869"/>
      <c r="D156" s="1869"/>
      <c r="E156" s="1869"/>
      <c r="F156" s="1861">
        <v>0.05</v>
      </c>
    </row>
    <row r="157" spans="1:6" ht="14.25" thickBot="1">
      <c r="A157" s="1863" t="s">
        <v>1410</v>
      </c>
      <c r="B157" s="1870" t="s">
        <v>2126</v>
      </c>
      <c r="C157" s="1866"/>
      <c r="D157" s="1866"/>
      <c r="E157" s="1866"/>
      <c r="F157" s="1871">
        <v>0.05</v>
      </c>
    </row>
    <row r="158" spans="1:6" ht="14.25" thickBot="1">
      <c r="A158" s="1855" t="s">
        <v>1412</v>
      </c>
      <c r="B158" s="1856" t="s">
        <v>2127</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2128</v>
      </c>
      <c r="C171" s="1860">
        <v>0.127</v>
      </c>
      <c r="D171" s="1860">
        <v>0.126</v>
      </c>
      <c r="E171" s="1860">
        <v>0.126</v>
      </c>
      <c r="F171" s="1861">
        <v>0.11799999999999999</v>
      </c>
    </row>
    <row r="172" spans="1:6" ht="14.25" thickBot="1">
      <c r="A172" s="1855" t="s">
        <v>1412</v>
      </c>
      <c r="B172" s="1859" t="s">
        <v>2129</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2130</v>
      </c>
      <c r="C174" s="1860">
        <v>0.13</v>
      </c>
      <c r="D174" s="1860">
        <v>0.13</v>
      </c>
      <c r="E174" s="1860">
        <v>0.13</v>
      </c>
      <c r="F174" s="1861">
        <v>0.13</v>
      </c>
    </row>
    <row r="175" spans="1:6" ht="14.25" thickBot="1">
      <c r="A175" s="1855" t="s">
        <v>1412</v>
      </c>
      <c r="B175" s="1859" t="s">
        <v>2131</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2132</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2133</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2134</v>
      </c>
      <c r="C185" s="1860">
        <v>0.127</v>
      </c>
      <c r="D185" s="1860">
        <v>0.127</v>
      </c>
      <c r="E185" s="1860">
        <v>0.128</v>
      </c>
      <c r="F185" s="1861">
        <v>0.13</v>
      </c>
    </row>
    <row r="186" spans="1:6" ht="24.75" thickBot="1">
      <c r="A186" s="1855" t="s">
        <v>1412</v>
      </c>
      <c r="B186" s="1859" t="s">
        <v>2135</v>
      </c>
      <c r="C186" s="1869"/>
      <c r="D186" s="1869"/>
      <c r="E186" s="1869"/>
      <c r="F186" s="1861">
        <v>0.05</v>
      </c>
    </row>
    <row r="187" spans="1:6" ht="14.25" thickBot="1">
      <c r="A187" s="1855" t="s">
        <v>1412</v>
      </c>
      <c r="B187" s="1859" t="s">
        <v>2136</v>
      </c>
      <c r="C187" s="1869"/>
      <c r="D187" s="1869"/>
      <c r="E187" s="1869"/>
      <c r="F187" s="1861">
        <v>0.05</v>
      </c>
    </row>
    <row r="188" spans="1:6" ht="14.25" thickBot="1">
      <c r="A188" s="1855" t="s">
        <v>1412</v>
      </c>
      <c r="B188" s="1859" t="s">
        <v>2137</v>
      </c>
      <c r="C188" s="1869"/>
      <c r="D188" s="1869"/>
      <c r="E188" s="1869"/>
      <c r="F188" s="1861">
        <v>0.05</v>
      </c>
    </row>
    <row r="189" spans="1:6" ht="24.75" thickBot="1">
      <c r="A189" s="1855" t="s">
        <v>1412</v>
      </c>
      <c r="B189" s="1859" t="s">
        <v>2138</v>
      </c>
      <c r="C189" s="1869"/>
      <c r="D189" s="1869"/>
      <c r="E189" s="1869"/>
      <c r="F189" s="1861">
        <v>0.05</v>
      </c>
    </row>
    <row r="190" spans="1:6" ht="24.75" thickBot="1">
      <c r="A190" s="1855" t="s">
        <v>1412</v>
      </c>
      <c r="B190" s="1859" t="s">
        <v>2139</v>
      </c>
      <c r="C190" s="1869"/>
      <c r="D190" s="1869"/>
      <c r="E190" s="1869"/>
      <c r="F190" s="1861">
        <v>0.05</v>
      </c>
    </row>
    <row r="191" spans="1:6" ht="24.75" thickBot="1">
      <c r="A191" s="1855" t="s">
        <v>1412</v>
      </c>
      <c r="B191" s="1859" t="s">
        <v>2140</v>
      </c>
      <c r="C191" s="1869"/>
      <c r="D191" s="1869"/>
      <c r="E191" s="1869"/>
      <c r="F191" s="1861">
        <v>0.05</v>
      </c>
    </row>
    <row r="192" spans="1:6" ht="24.75" thickBot="1">
      <c r="A192" s="1855" t="s">
        <v>1412</v>
      </c>
      <c r="B192" s="1859" t="s">
        <v>2141</v>
      </c>
      <c r="C192" s="1869"/>
      <c r="D192" s="1869"/>
      <c r="E192" s="1869"/>
      <c r="F192" s="1861">
        <v>0.05</v>
      </c>
    </row>
    <row r="193" spans="1:6" ht="24.75" thickBot="1">
      <c r="A193" s="1855" t="s">
        <v>1412</v>
      </c>
      <c r="B193" s="1859" t="s">
        <v>2142</v>
      </c>
      <c r="C193" s="1869"/>
      <c r="D193" s="1869"/>
      <c r="E193" s="1869"/>
      <c r="F193" s="1861">
        <v>0.05</v>
      </c>
    </row>
    <row r="194" spans="1:6" ht="24.75" thickBot="1">
      <c r="A194" s="1855" t="s">
        <v>1412</v>
      </c>
      <c r="B194" s="1859" t="s">
        <v>2143</v>
      </c>
      <c r="C194" s="1869"/>
      <c r="D194" s="1869"/>
      <c r="E194" s="1869"/>
      <c r="F194" s="1861">
        <v>0.05</v>
      </c>
    </row>
    <row r="195" spans="1:6" ht="14.25" thickBot="1">
      <c r="A195" s="1855" t="s">
        <v>1412</v>
      </c>
      <c r="B195" s="1859" t="s">
        <v>2144</v>
      </c>
      <c r="C195" s="1869"/>
      <c r="D195" s="1869"/>
      <c r="E195" s="1869"/>
      <c r="F195" s="1861">
        <v>0.05</v>
      </c>
    </row>
    <row r="196" spans="1:6" ht="24.75" thickBot="1">
      <c r="A196" s="1855" t="s">
        <v>1412</v>
      </c>
      <c r="B196" s="1859" t="s">
        <v>2145</v>
      </c>
      <c r="C196" s="1869"/>
      <c r="D196" s="1869"/>
      <c r="E196" s="1869"/>
      <c r="F196" s="1861">
        <v>0.05</v>
      </c>
    </row>
    <row r="197" spans="1:6" ht="24.75" thickBot="1">
      <c r="A197" s="1855" t="s">
        <v>1412</v>
      </c>
      <c r="B197" s="1859" t="s">
        <v>2146</v>
      </c>
      <c r="C197" s="1869"/>
      <c r="D197" s="1869"/>
      <c r="E197" s="1869"/>
      <c r="F197" s="1861">
        <v>0.05</v>
      </c>
    </row>
    <row r="198" spans="1:6" ht="24.75" thickBot="1">
      <c r="A198" s="1855" t="s">
        <v>1412</v>
      </c>
      <c r="B198" s="1859" t="s">
        <v>2147</v>
      </c>
      <c r="C198" s="1869"/>
      <c r="D198" s="1869"/>
      <c r="E198" s="1869"/>
      <c r="F198" s="1861">
        <v>0.05</v>
      </c>
    </row>
    <row r="199" spans="1:6" ht="24.75" thickBot="1">
      <c r="A199" s="1855" t="s">
        <v>1412</v>
      </c>
      <c r="B199" s="1859" t="s">
        <v>2148</v>
      </c>
      <c r="C199" s="1869"/>
      <c r="D199" s="1869"/>
      <c r="E199" s="1869"/>
      <c r="F199" s="1861">
        <v>0.05</v>
      </c>
    </row>
    <row r="200" spans="1:6" ht="24.75" thickBot="1">
      <c r="A200" s="1855" t="s">
        <v>1412</v>
      </c>
      <c r="B200" s="1859" t="s">
        <v>2149</v>
      </c>
      <c r="C200" s="1869"/>
      <c r="D200" s="1869"/>
      <c r="E200" s="1869"/>
      <c r="F200" s="1861">
        <v>0.05</v>
      </c>
    </row>
    <row r="201" spans="1:6" ht="24.75" thickBot="1">
      <c r="A201" s="1855" t="s">
        <v>1412</v>
      </c>
      <c r="B201" s="1859" t="s">
        <v>2150</v>
      </c>
      <c r="C201" s="1869"/>
      <c r="D201" s="1869"/>
      <c r="E201" s="1869"/>
      <c r="F201" s="1861">
        <v>0.05</v>
      </c>
    </row>
    <row r="202" spans="1:6" ht="24.75" thickBot="1">
      <c r="A202" s="1855" t="s">
        <v>1412</v>
      </c>
      <c r="B202" s="1859" t="s">
        <v>2151</v>
      </c>
      <c r="C202" s="1869"/>
      <c r="D202" s="1869"/>
      <c r="E202" s="1869"/>
      <c r="F202" s="1861">
        <v>0.05</v>
      </c>
    </row>
    <row r="203" spans="1:6" ht="24.75" thickBot="1">
      <c r="A203" s="1855" t="s">
        <v>1412</v>
      </c>
      <c r="B203" s="1859" t="s">
        <v>2152</v>
      </c>
      <c r="C203" s="1869"/>
      <c r="D203" s="1869"/>
      <c r="E203" s="1869"/>
      <c r="F203" s="1861">
        <v>0.05</v>
      </c>
    </row>
    <row r="204" spans="1:6" ht="14.25" thickBot="1">
      <c r="A204" s="1855" t="s">
        <v>1412</v>
      </c>
      <c r="B204" s="1859" t="s">
        <v>2153</v>
      </c>
      <c r="C204" s="1869"/>
      <c r="D204" s="1869"/>
      <c r="E204" s="1869"/>
      <c r="F204" s="1861">
        <v>0.05</v>
      </c>
    </row>
    <row r="205" spans="1:6" ht="14.25" thickBot="1">
      <c r="A205" s="1863" t="s">
        <v>1412</v>
      </c>
      <c r="B205" s="1870" t="s">
        <v>2154</v>
      </c>
      <c r="C205" s="1866"/>
      <c r="D205" s="1866"/>
      <c r="E205" s="1866"/>
      <c r="F205" s="1871">
        <v>0.05</v>
      </c>
    </row>
    <row r="206" spans="1:6" ht="14.25" thickBot="1">
      <c r="A206" s="1855" t="s">
        <v>1414</v>
      </c>
      <c r="B206" s="1856" t="s">
        <v>2155</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2156</v>
      </c>
      <c r="C210" s="1860">
        <v>0.15</v>
      </c>
      <c r="D210" s="1860">
        <v>0.15</v>
      </c>
      <c r="E210" s="1860">
        <v>0.15</v>
      </c>
      <c r="F210" s="1861">
        <v>0.13800000000000001</v>
      </c>
    </row>
    <row r="211" spans="1:6" ht="14.25" thickBot="1">
      <c r="A211" s="1855" t="s">
        <v>1414</v>
      </c>
      <c r="B211" s="1859" t="s">
        <v>2157</v>
      </c>
      <c r="C211" s="1860">
        <v>0.13700000000000001</v>
      </c>
      <c r="D211" s="1860">
        <v>0.13500000000000001</v>
      </c>
      <c r="E211" s="1860">
        <v>0.13600000000000001</v>
      </c>
      <c r="F211" s="1861">
        <v>0.1</v>
      </c>
    </row>
    <row r="212" spans="1:6" ht="14.25" thickBot="1">
      <c r="A212" s="1855" t="s">
        <v>1414</v>
      </c>
      <c r="B212" s="1859" t="s">
        <v>2158</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2159</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2160</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2161</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2162</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2163</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2164</v>
      </c>
      <c r="C231" s="1860">
        <v>0.128</v>
      </c>
      <c r="D231" s="1860">
        <v>0.125</v>
      </c>
      <c r="E231" s="1860">
        <v>0.13200000000000001</v>
      </c>
      <c r="F231" s="1868"/>
    </row>
    <row r="232" spans="1:6" ht="14.25" thickBot="1">
      <c r="A232" s="1855" t="s">
        <v>1414</v>
      </c>
      <c r="B232" s="1859" t="s">
        <v>2165</v>
      </c>
      <c r="C232" s="1860">
        <v>0.14499999999999999</v>
      </c>
      <c r="D232" s="1860">
        <v>0.14399999999999999</v>
      </c>
      <c r="E232" s="1860">
        <v>0.14599999999999999</v>
      </c>
      <c r="F232" s="1861">
        <v>0.13800000000000001</v>
      </c>
    </row>
    <row r="233" spans="1:6" ht="14.25" thickBot="1">
      <c r="A233" s="1855" t="s">
        <v>1414</v>
      </c>
      <c r="B233" s="1859" t="s">
        <v>2166</v>
      </c>
      <c r="C233" s="1860">
        <v>0.14499999999999999</v>
      </c>
      <c r="D233" s="1860">
        <v>0.14299999999999999</v>
      </c>
      <c r="E233" s="1860">
        <v>0.14199999999999999</v>
      </c>
      <c r="F233" s="1868"/>
    </row>
    <row r="234" spans="1:6" ht="14.25" thickBot="1">
      <c r="A234" s="1855" t="s">
        <v>1414</v>
      </c>
      <c r="B234" s="1859" t="s">
        <v>2167</v>
      </c>
      <c r="C234" s="1860">
        <v>0.14000000000000001</v>
      </c>
      <c r="D234" s="1860">
        <v>0.14000000000000001</v>
      </c>
      <c r="E234" s="1860">
        <v>0.14399999999999999</v>
      </c>
      <c r="F234" s="1868"/>
    </row>
    <row r="235" spans="1:6" ht="14.25" thickBot="1">
      <c r="A235" s="1855" t="s">
        <v>1414</v>
      </c>
      <c r="B235" s="1859" t="s">
        <v>2168</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2169</v>
      </c>
      <c r="C237" s="1869"/>
      <c r="D237" s="1869"/>
      <c r="E237" s="1869"/>
      <c r="F237" s="1861">
        <v>0.05</v>
      </c>
    </row>
    <row r="238" spans="1:6" ht="24.75" thickBot="1">
      <c r="A238" s="1855" t="s">
        <v>1414</v>
      </c>
      <c r="B238" s="1859" t="s">
        <v>2170</v>
      </c>
      <c r="C238" s="1869"/>
      <c r="D238" s="1869"/>
      <c r="E238" s="1869"/>
      <c r="F238" s="1861">
        <v>0.05</v>
      </c>
    </row>
    <row r="239" spans="1:6" ht="24.75" thickBot="1">
      <c r="A239" s="1855" t="s">
        <v>1414</v>
      </c>
      <c r="B239" s="1859" t="s">
        <v>2171</v>
      </c>
      <c r="C239" s="1869"/>
      <c r="D239" s="1869"/>
      <c r="E239" s="1869"/>
      <c r="F239" s="1861">
        <v>0.05</v>
      </c>
    </row>
    <row r="240" spans="1:6" ht="24.75" thickBot="1">
      <c r="A240" s="1855" t="s">
        <v>1414</v>
      </c>
      <c r="B240" s="1859" t="s">
        <v>2172</v>
      </c>
      <c r="C240" s="1869"/>
      <c r="D240" s="1869"/>
      <c r="E240" s="1869"/>
      <c r="F240" s="1861">
        <v>0.05</v>
      </c>
    </row>
    <row r="241" spans="1:6" ht="24.75" thickBot="1">
      <c r="A241" s="1855" t="s">
        <v>1414</v>
      </c>
      <c r="B241" s="1859" t="s">
        <v>2173</v>
      </c>
      <c r="C241" s="1869"/>
      <c r="D241" s="1869"/>
      <c r="E241" s="1869"/>
      <c r="F241" s="1861">
        <v>0.05</v>
      </c>
    </row>
    <row r="242" spans="1:6" ht="24.75" thickBot="1">
      <c r="A242" s="1855" t="s">
        <v>1414</v>
      </c>
      <c r="B242" s="1859" t="s">
        <v>2174</v>
      </c>
      <c r="C242" s="1869"/>
      <c r="D242" s="1869"/>
      <c r="E242" s="1869"/>
      <c r="F242" s="1861">
        <v>0.05</v>
      </c>
    </row>
    <row r="243" spans="1:6" ht="24.75" thickBot="1">
      <c r="A243" s="1855" t="s">
        <v>1414</v>
      </c>
      <c r="B243" s="1859" t="s">
        <v>2175</v>
      </c>
      <c r="C243" s="1869"/>
      <c r="D243" s="1869"/>
      <c r="E243" s="1869"/>
      <c r="F243" s="1861">
        <v>0.05</v>
      </c>
    </row>
    <row r="244" spans="1:6" ht="24.75" thickBot="1">
      <c r="A244" s="1863" t="s">
        <v>1414</v>
      </c>
      <c r="B244" s="1870" t="s">
        <v>2176</v>
      </c>
      <c r="C244" s="1866"/>
      <c r="D244" s="1866"/>
      <c r="E244" s="1866"/>
      <c r="F244" s="1871">
        <v>0.05</v>
      </c>
    </row>
    <row r="245" spans="1:6" ht="14.25" thickBot="1">
      <c r="A245" s="1855" t="s">
        <v>1416</v>
      </c>
      <c r="B245" s="1856" t="s">
        <v>2177</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2178</v>
      </c>
      <c r="C247" s="1860">
        <v>0.15</v>
      </c>
      <c r="D247" s="1860">
        <v>0.15</v>
      </c>
      <c r="E247" s="1860">
        <v>0.15</v>
      </c>
      <c r="F247" s="1861">
        <v>0.15</v>
      </c>
    </row>
    <row r="248" spans="1:6" ht="14.25" thickBot="1">
      <c r="A248" s="1855" t="s">
        <v>1416</v>
      </c>
      <c r="B248" s="1859" t="s">
        <v>2179</v>
      </c>
      <c r="C248" s="1860">
        <v>0.15</v>
      </c>
      <c r="D248" s="1860">
        <v>0.15</v>
      </c>
      <c r="E248" s="1860">
        <v>0.15</v>
      </c>
      <c r="F248" s="1861">
        <v>0.14000000000000001</v>
      </c>
    </row>
    <row r="249" spans="1:6" ht="14.25" thickBot="1">
      <c r="A249" s="1855" t="s">
        <v>1416</v>
      </c>
      <c r="B249" s="1859" t="s">
        <v>2180</v>
      </c>
      <c r="C249" s="1860">
        <v>0.15</v>
      </c>
      <c r="D249" s="1860">
        <v>0.14899999999999999</v>
      </c>
      <c r="E249" s="1860">
        <v>0.15</v>
      </c>
      <c r="F249" s="1861">
        <v>0.1</v>
      </c>
    </row>
    <row r="250" spans="1:6" ht="14.25" thickBot="1">
      <c r="A250" s="1855" t="s">
        <v>1416</v>
      </c>
      <c r="B250" s="1859" t="s">
        <v>2181</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2182</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2183</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2184</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2185</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2186</v>
      </c>
      <c r="C273" s="1860">
        <v>0.14199999999999999</v>
      </c>
      <c r="D273" s="1860">
        <v>0.14299999999999999</v>
      </c>
      <c r="E273" s="1860">
        <v>0.15</v>
      </c>
      <c r="F273" s="1861">
        <v>0.1</v>
      </c>
    </row>
    <row r="274" spans="1:6" ht="14.25" thickBot="1">
      <c r="A274" s="1855" t="s">
        <v>1416</v>
      </c>
      <c r="B274" s="1859" t="s">
        <v>2187</v>
      </c>
      <c r="C274" s="1860">
        <v>0.14799999999999999</v>
      </c>
      <c r="D274" s="1860">
        <v>0.14799999999999999</v>
      </c>
      <c r="E274" s="1860">
        <v>0.15</v>
      </c>
      <c r="F274" s="1861">
        <v>6.7000000000000004E-2</v>
      </c>
    </row>
    <row r="275" spans="1:6" ht="14.25" thickBot="1">
      <c r="A275" s="1855" t="s">
        <v>1416</v>
      </c>
      <c r="B275" s="1859" t="s">
        <v>2188</v>
      </c>
      <c r="C275" s="1860">
        <v>0.15</v>
      </c>
      <c r="D275" s="1860">
        <v>0.15</v>
      </c>
      <c r="E275" s="1860">
        <v>0.15</v>
      </c>
      <c r="F275" s="1861">
        <v>0.15</v>
      </c>
    </row>
    <row r="276" spans="1:6" ht="14.25" thickBot="1">
      <c r="A276" s="1855" t="s">
        <v>1416</v>
      </c>
      <c r="B276" s="1859" t="s">
        <v>2189</v>
      </c>
      <c r="C276" s="1860">
        <v>0.14499999999999999</v>
      </c>
      <c r="D276" s="1860">
        <v>0.14299999999999999</v>
      </c>
      <c r="E276" s="1860">
        <v>0.15</v>
      </c>
      <c r="F276" s="1861">
        <v>5.8999999999999997E-2</v>
      </c>
    </row>
    <row r="277" spans="1:6" ht="14.25" thickBot="1">
      <c r="A277" s="1855" t="s">
        <v>1416</v>
      </c>
      <c r="B277" s="1859" t="s">
        <v>2190</v>
      </c>
      <c r="C277" s="1860">
        <v>0.15</v>
      </c>
      <c r="D277" s="1860">
        <v>0.15</v>
      </c>
      <c r="E277" s="1860">
        <v>0.15</v>
      </c>
      <c r="F277" s="1861">
        <v>0.121</v>
      </c>
    </row>
    <row r="278" spans="1:6" ht="14.25" thickBot="1">
      <c r="A278" s="1855" t="s">
        <v>1416</v>
      </c>
      <c r="B278" s="1859" t="s">
        <v>2191</v>
      </c>
      <c r="C278" s="1860">
        <v>0.15</v>
      </c>
      <c r="D278" s="1860">
        <v>0.15</v>
      </c>
      <c r="E278" s="1860">
        <v>0.15</v>
      </c>
      <c r="F278" s="1861">
        <v>0.13800000000000001</v>
      </c>
    </row>
    <row r="279" spans="1:6" ht="24.75" thickBot="1">
      <c r="A279" s="1855" t="s">
        <v>1416</v>
      </c>
      <c r="B279" s="1859" t="s">
        <v>2192</v>
      </c>
      <c r="C279" s="1869"/>
      <c r="D279" s="1869"/>
      <c r="E279" s="1869"/>
      <c r="F279" s="1861">
        <v>0.05</v>
      </c>
    </row>
    <row r="280" spans="1:6" ht="24.75" thickBot="1">
      <c r="A280" s="1855" t="s">
        <v>1416</v>
      </c>
      <c r="B280" s="1859" t="s">
        <v>2193</v>
      </c>
      <c r="C280" s="1869"/>
      <c r="D280" s="1869"/>
      <c r="E280" s="1869"/>
      <c r="F280" s="1861">
        <v>0.05</v>
      </c>
    </row>
    <row r="281" spans="1:6" ht="24.75" thickBot="1">
      <c r="A281" s="1855" t="s">
        <v>1416</v>
      </c>
      <c r="B281" s="1859" t="s">
        <v>2194</v>
      </c>
      <c r="C281" s="1869"/>
      <c r="D281" s="1869"/>
      <c r="E281" s="1869"/>
      <c r="F281" s="1861">
        <v>0.05</v>
      </c>
    </row>
    <row r="282" spans="1:6" ht="24.75" thickBot="1">
      <c r="A282" s="1855" t="s">
        <v>1416</v>
      </c>
      <c r="B282" s="1859" t="s">
        <v>2195</v>
      </c>
      <c r="C282" s="1869"/>
      <c r="D282" s="1869"/>
      <c r="E282" s="1869"/>
      <c r="F282" s="1861">
        <v>0.05</v>
      </c>
    </row>
    <row r="283" spans="1:6" ht="24.75" thickBot="1">
      <c r="A283" s="1855" t="s">
        <v>1416</v>
      </c>
      <c r="B283" s="1859" t="s">
        <v>2196</v>
      </c>
      <c r="C283" s="1869"/>
      <c r="D283" s="1869"/>
      <c r="E283" s="1869"/>
      <c r="F283" s="1861">
        <v>0.05</v>
      </c>
    </row>
    <row r="284" spans="1:6" ht="24.75" thickBot="1">
      <c r="A284" s="1855" t="s">
        <v>1416</v>
      </c>
      <c r="B284" s="1859" t="s">
        <v>2197</v>
      </c>
      <c r="C284" s="1869"/>
      <c r="D284" s="1869"/>
      <c r="E284" s="1869"/>
      <c r="F284" s="1861">
        <v>0.05</v>
      </c>
    </row>
    <row r="285" spans="1:6" ht="24.75" thickBot="1">
      <c r="A285" s="1855" t="s">
        <v>1416</v>
      </c>
      <c r="B285" s="1859" t="s">
        <v>2198</v>
      </c>
      <c r="C285" s="1869"/>
      <c r="D285" s="1869"/>
      <c r="E285" s="1869"/>
      <c r="F285" s="1861">
        <v>0.05</v>
      </c>
    </row>
    <row r="286" spans="1:6" ht="24.75" thickBot="1">
      <c r="A286" s="1855" t="s">
        <v>1416</v>
      </c>
      <c r="B286" s="1859" t="s">
        <v>2199</v>
      </c>
      <c r="C286" s="1869"/>
      <c r="D286" s="1869"/>
      <c r="E286" s="1869"/>
      <c r="F286" s="1861">
        <v>0.05</v>
      </c>
    </row>
    <row r="287" spans="1:6" ht="24.75" thickBot="1">
      <c r="A287" s="1855" t="s">
        <v>1416</v>
      </c>
      <c r="B287" s="1859" t="s">
        <v>2200</v>
      </c>
      <c r="C287" s="1869"/>
      <c r="D287" s="1869"/>
      <c r="E287" s="1869"/>
      <c r="F287" s="1861">
        <v>0.05</v>
      </c>
    </row>
    <row r="288" spans="1:6" ht="24.75" thickBot="1">
      <c r="A288" s="1855" t="s">
        <v>1416</v>
      </c>
      <c r="B288" s="1859" t="s">
        <v>2201</v>
      </c>
      <c r="C288" s="1869"/>
      <c r="D288" s="1869"/>
      <c r="E288" s="1869"/>
      <c r="F288" s="1861">
        <v>0.05</v>
      </c>
    </row>
    <row r="289" spans="1:6" ht="24.75" thickBot="1">
      <c r="A289" s="1863" t="s">
        <v>1416</v>
      </c>
      <c r="B289" s="1870" t="s">
        <v>2202</v>
      </c>
      <c r="C289" s="1866"/>
      <c r="D289" s="1866"/>
      <c r="E289" s="1866"/>
      <c r="F289" s="1871">
        <v>0.05</v>
      </c>
    </row>
    <row r="290" spans="1:6" ht="14.25" thickBot="1">
      <c r="A290" s="1855" t="s">
        <v>1420</v>
      </c>
      <c r="B290" s="1856" t="s">
        <v>2203</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2204</v>
      </c>
      <c r="C292" s="1860">
        <v>0.15</v>
      </c>
      <c r="D292" s="1860">
        <v>0.15</v>
      </c>
      <c r="E292" s="1860">
        <v>0.15</v>
      </c>
      <c r="F292" s="1861">
        <v>0.14699999999999999</v>
      </c>
    </row>
    <row r="293" spans="1:6" ht="14.25" thickBot="1">
      <c r="A293" s="1855" t="s">
        <v>1420</v>
      </c>
      <c r="B293" s="1859" t="s">
        <v>2205</v>
      </c>
      <c r="C293" s="1869"/>
      <c r="D293" s="1869"/>
      <c r="E293" s="1869"/>
      <c r="F293" s="1861">
        <v>0.1</v>
      </c>
    </row>
    <row r="294" spans="1:6" ht="14.25" thickBot="1">
      <c r="A294" s="1855" t="s">
        <v>1420</v>
      </c>
      <c r="B294" s="1859" t="s">
        <v>2206</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2207</v>
      </c>
      <c r="C296" s="1860">
        <v>0.15</v>
      </c>
      <c r="D296" s="1860">
        <v>0.15</v>
      </c>
      <c r="E296" s="1860">
        <v>0.15</v>
      </c>
      <c r="F296" s="1861">
        <v>0.15</v>
      </c>
    </row>
    <row r="297" spans="1:6" ht="14.25" thickBot="1">
      <c r="A297" s="1855" t="s">
        <v>1420</v>
      </c>
      <c r="B297" s="1859" t="s">
        <v>2208</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2209</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2210</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2211</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2212</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2213</v>
      </c>
      <c r="C310" s="1860">
        <v>0.15</v>
      </c>
      <c r="D310" s="1860">
        <v>0.15</v>
      </c>
      <c r="E310" s="1860">
        <v>0.15</v>
      </c>
      <c r="F310" s="1861">
        <v>0.13700000000000001</v>
      </c>
    </row>
    <row r="311" spans="1:6" ht="14.25" thickBot="1">
      <c r="A311" s="1855" t="s">
        <v>1420</v>
      </c>
      <c r="B311" s="1859" t="s">
        <v>2214</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2215</v>
      </c>
      <c r="C313" s="1860">
        <v>0.15</v>
      </c>
      <c r="D313" s="1860">
        <v>0.15</v>
      </c>
      <c r="E313" s="1860">
        <v>0.15</v>
      </c>
      <c r="F313" s="1861">
        <v>0.15</v>
      </c>
    </row>
    <row r="314" spans="1:6" ht="24.75" thickBot="1">
      <c r="A314" s="1855" t="s">
        <v>1420</v>
      </c>
      <c r="B314" s="1859" t="s">
        <v>2216</v>
      </c>
      <c r="C314" s="1869"/>
      <c r="D314" s="1869"/>
      <c r="E314" s="1869"/>
      <c r="F314" s="1861">
        <v>0.05</v>
      </c>
    </row>
    <row r="315" spans="1:6" ht="24.75" thickBot="1">
      <c r="A315" s="1855" t="s">
        <v>1420</v>
      </c>
      <c r="B315" s="1859" t="s">
        <v>2217</v>
      </c>
      <c r="C315" s="1869"/>
      <c r="D315" s="1869"/>
      <c r="E315" s="1869"/>
      <c r="F315" s="1861">
        <v>0.05</v>
      </c>
    </row>
    <row r="316" spans="1:6" ht="24.75" thickBot="1">
      <c r="A316" s="1863" t="s">
        <v>1420</v>
      </c>
      <c r="B316" s="1870" t="s">
        <v>2218</v>
      </c>
      <c r="C316" s="1866"/>
      <c r="D316" s="1866"/>
      <c r="E316" s="1866"/>
      <c r="F316" s="1871">
        <v>0.05</v>
      </c>
    </row>
    <row r="317" spans="1:6" ht="14.25" thickBot="1">
      <c r="A317" s="1855" t="s">
        <v>2219</v>
      </c>
      <c r="B317" s="1856" t="s">
        <v>2220</v>
      </c>
      <c r="C317" s="1857">
        <v>0.15</v>
      </c>
      <c r="D317" s="1857">
        <v>0.15</v>
      </c>
      <c r="E317" s="1857">
        <v>0.15</v>
      </c>
      <c r="F317" s="1858">
        <v>0.15</v>
      </c>
    </row>
    <row r="318" spans="1:6" ht="14.25" thickBot="1">
      <c r="A318" s="1855" t="s">
        <v>2219</v>
      </c>
      <c r="B318" s="1859" t="s">
        <v>2221</v>
      </c>
      <c r="C318" s="1860">
        <v>0.107</v>
      </c>
      <c r="D318" s="1860">
        <v>0.11</v>
      </c>
      <c r="E318" s="1860">
        <v>0.112</v>
      </c>
      <c r="F318" s="1868"/>
    </row>
    <row r="319" spans="1:6" ht="14.25" thickBot="1">
      <c r="A319" s="1855" t="s">
        <v>2219</v>
      </c>
      <c r="B319" s="1859" t="s">
        <v>2222</v>
      </c>
      <c r="C319" s="1860">
        <v>0.15</v>
      </c>
      <c r="D319" s="1860">
        <v>0.15</v>
      </c>
      <c r="E319" s="1860">
        <v>0.15</v>
      </c>
      <c r="F319" s="1861">
        <v>0.15</v>
      </c>
    </row>
    <row r="320" spans="1:6" ht="14.25" thickBot="1">
      <c r="A320" s="1855" t="s">
        <v>2219</v>
      </c>
      <c r="B320" s="1859" t="s">
        <v>1108</v>
      </c>
      <c r="C320" s="1860">
        <v>0.15</v>
      </c>
      <c r="D320" s="1860">
        <v>0.15</v>
      </c>
      <c r="E320" s="1860">
        <v>0.15</v>
      </c>
      <c r="F320" s="1868"/>
    </row>
    <row r="321" spans="1:6" ht="14.25" thickBot="1">
      <c r="A321" s="1855" t="s">
        <v>2219</v>
      </c>
      <c r="B321" s="1859" t="s">
        <v>2223</v>
      </c>
      <c r="C321" s="1860">
        <v>0.15</v>
      </c>
      <c r="D321" s="1860">
        <v>0.15</v>
      </c>
      <c r="E321" s="1860">
        <v>0.15</v>
      </c>
      <c r="F321" s="1868"/>
    </row>
    <row r="322" spans="1:6" ht="14.25" thickBot="1">
      <c r="A322" s="1855" t="s">
        <v>2219</v>
      </c>
      <c r="B322" s="1859" t="s">
        <v>2224</v>
      </c>
      <c r="C322" s="1860">
        <v>0.15</v>
      </c>
      <c r="D322" s="1860">
        <v>0.15</v>
      </c>
      <c r="E322" s="1860">
        <v>0.15</v>
      </c>
      <c r="F322" s="1861">
        <v>0.15</v>
      </c>
    </row>
    <row r="323" spans="1:6" ht="14.25" thickBot="1">
      <c r="A323" s="1855" t="s">
        <v>2219</v>
      </c>
      <c r="B323" s="1859" t="s">
        <v>2225</v>
      </c>
      <c r="C323" s="1860">
        <v>0.15</v>
      </c>
      <c r="D323" s="1860">
        <v>0.15</v>
      </c>
      <c r="E323" s="1860">
        <v>0.15</v>
      </c>
      <c r="F323" s="1868"/>
    </row>
    <row r="324" spans="1:6" ht="14.25" thickBot="1">
      <c r="A324" s="1855" t="s">
        <v>2219</v>
      </c>
      <c r="B324" s="1859" t="s">
        <v>2226</v>
      </c>
      <c r="C324" s="1860">
        <v>0.15</v>
      </c>
      <c r="D324" s="1860">
        <v>0.15</v>
      </c>
      <c r="E324" s="1860">
        <v>0.15</v>
      </c>
      <c r="F324" s="1868"/>
    </row>
    <row r="325" spans="1:6" ht="14.25" thickBot="1">
      <c r="A325" s="1855" t="s">
        <v>2219</v>
      </c>
      <c r="B325" s="1859" t="s">
        <v>2227</v>
      </c>
      <c r="C325" s="1860">
        <v>0.15</v>
      </c>
      <c r="D325" s="1860">
        <v>0.15</v>
      </c>
      <c r="E325" s="1860">
        <v>0.15</v>
      </c>
      <c r="F325" s="1861">
        <v>0.14699999999999999</v>
      </c>
    </row>
    <row r="326" spans="1:6" ht="14.25" thickBot="1">
      <c r="A326" s="1855" t="s">
        <v>2219</v>
      </c>
      <c r="B326" s="1859" t="s">
        <v>1177</v>
      </c>
      <c r="C326" s="1860">
        <v>0.15</v>
      </c>
      <c r="D326" s="1860">
        <v>0.15</v>
      </c>
      <c r="E326" s="1860">
        <v>0.15</v>
      </c>
      <c r="F326" s="1868"/>
    </row>
    <row r="327" spans="1:6" ht="14.25" thickBot="1">
      <c r="A327" s="1855" t="s">
        <v>2219</v>
      </c>
      <c r="B327" s="1859" t="s">
        <v>2228</v>
      </c>
      <c r="C327" s="1860">
        <v>0.15</v>
      </c>
      <c r="D327" s="1860">
        <v>0.15</v>
      </c>
      <c r="E327" s="1860">
        <v>0.15</v>
      </c>
      <c r="F327" s="1861">
        <v>0.15</v>
      </c>
    </row>
    <row r="328" spans="1:6" ht="14.25" thickBot="1">
      <c r="A328" s="1855" t="s">
        <v>2219</v>
      </c>
      <c r="B328" s="1859" t="s">
        <v>1197</v>
      </c>
      <c r="C328" s="1860">
        <v>0.15</v>
      </c>
      <c r="D328" s="1860">
        <v>0.15</v>
      </c>
      <c r="E328" s="1860">
        <v>0.15</v>
      </c>
      <c r="F328" s="1861">
        <v>0.14099999999999999</v>
      </c>
    </row>
    <row r="329" spans="1:6" ht="14.25" thickBot="1">
      <c r="A329" s="1855" t="s">
        <v>2219</v>
      </c>
      <c r="B329" s="1859" t="s">
        <v>1207</v>
      </c>
      <c r="C329" s="1860">
        <v>0.15</v>
      </c>
      <c r="D329" s="1860">
        <v>0.15</v>
      </c>
      <c r="E329" s="1860">
        <v>0.15</v>
      </c>
      <c r="F329" s="1861">
        <v>0.15</v>
      </c>
    </row>
    <row r="330" spans="1:6" ht="14.25" thickBot="1">
      <c r="A330" s="1855" t="s">
        <v>2219</v>
      </c>
      <c r="B330" s="1859" t="s">
        <v>1217</v>
      </c>
      <c r="C330" s="1860">
        <v>0.15</v>
      </c>
      <c r="D330" s="1860">
        <v>0.15</v>
      </c>
      <c r="E330" s="1860">
        <v>0.15</v>
      </c>
      <c r="F330" s="1868"/>
    </row>
    <row r="331" spans="1:6" ht="14.25" thickBot="1">
      <c r="A331" s="1855" t="s">
        <v>2219</v>
      </c>
      <c r="B331" s="1859" t="s">
        <v>2229</v>
      </c>
      <c r="C331" s="1860">
        <v>0.15</v>
      </c>
      <c r="D331" s="1860">
        <v>0.15</v>
      </c>
      <c r="E331" s="1860">
        <v>0.15</v>
      </c>
      <c r="F331" s="1861">
        <v>0.15</v>
      </c>
    </row>
    <row r="332" spans="1:6" ht="14.25" thickBot="1">
      <c r="A332" s="1855" t="s">
        <v>2219</v>
      </c>
      <c r="B332" s="1859" t="s">
        <v>1237</v>
      </c>
      <c r="C332" s="1860">
        <v>0.15</v>
      </c>
      <c r="D332" s="1860">
        <v>0.15</v>
      </c>
      <c r="E332" s="1860">
        <v>0.15</v>
      </c>
      <c r="F332" s="1861">
        <v>0.15</v>
      </c>
    </row>
    <row r="333" spans="1:6" ht="14.25" thickBot="1">
      <c r="A333" s="1855" t="s">
        <v>2219</v>
      </c>
      <c r="B333" s="1859" t="s">
        <v>2230</v>
      </c>
      <c r="C333" s="1860">
        <v>0.15</v>
      </c>
      <c r="D333" s="1860">
        <v>0.15</v>
      </c>
      <c r="E333" s="1860">
        <v>0.15</v>
      </c>
      <c r="F333" s="1861">
        <v>0.14099999999999999</v>
      </c>
    </row>
    <row r="334" spans="1:6" ht="14.25" thickBot="1">
      <c r="A334" s="1855" t="s">
        <v>2219</v>
      </c>
      <c r="B334" s="1859" t="s">
        <v>1257</v>
      </c>
      <c r="C334" s="1860">
        <v>0.15</v>
      </c>
      <c r="D334" s="1860">
        <v>0.15</v>
      </c>
      <c r="E334" s="1860">
        <v>0.15</v>
      </c>
      <c r="F334" s="1861">
        <v>0.15</v>
      </c>
    </row>
    <row r="335" spans="1:6" ht="14.25" thickBot="1">
      <c r="A335" s="1855" t="s">
        <v>2219</v>
      </c>
      <c r="B335" s="1859" t="s">
        <v>1267</v>
      </c>
      <c r="C335" s="1860">
        <v>0.15</v>
      </c>
      <c r="D335" s="1860">
        <v>0.15</v>
      </c>
      <c r="E335" s="1860">
        <v>0.15</v>
      </c>
      <c r="F335" s="1868"/>
    </row>
    <row r="336" spans="1:6" ht="14.25" thickBot="1">
      <c r="A336" s="1855" t="s">
        <v>2219</v>
      </c>
      <c r="B336" s="1859" t="s">
        <v>2231</v>
      </c>
      <c r="C336" s="1860">
        <v>0.15</v>
      </c>
      <c r="D336" s="1860">
        <v>0.15</v>
      </c>
      <c r="E336" s="1860">
        <v>0.15</v>
      </c>
      <c r="F336" s="1861">
        <v>0.11799999999999999</v>
      </c>
    </row>
    <row r="337" spans="1:6" ht="14.25" thickBot="1">
      <c r="A337" s="1863" t="s">
        <v>2219</v>
      </c>
      <c r="B337" s="1870" t="s">
        <v>1285</v>
      </c>
      <c r="C337" s="1866"/>
      <c r="D337" s="1866"/>
      <c r="E337" s="1866"/>
      <c r="F337" s="1871">
        <v>0.14299999999999999</v>
      </c>
    </row>
    <row r="338" spans="1:6" ht="14.25" thickBot="1">
      <c r="A338" s="1855" t="s">
        <v>2232</v>
      </c>
      <c r="B338" s="1856" t="s">
        <v>2233</v>
      </c>
      <c r="C338" s="1857">
        <v>0.15</v>
      </c>
      <c r="D338" s="1857">
        <v>0.15</v>
      </c>
      <c r="E338" s="1857">
        <v>0.15</v>
      </c>
      <c r="F338" s="1879"/>
    </row>
    <row r="339" spans="1:6" ht="14.25" thickBot="1">
      <c r="A339" s="1855" t="s">
        <v>2232</v>
      </c>
      <c r="B339" s="1859" t="s">
        <v>2234</v>
      </c>
      <c r="C339" s="1860">
        <v>0.15</v>
      </c>
      <c r="D339" s="1860">
        <v>0.15</v>
      </c>
      <c r="E339" s="1860">
        <v>0.15</v>
      </c>
      <c r="F339" s="1868"/>
    </row>
    <row r="340" spans="1:6" ht="14.25" thickBot="1">
      <c r="A340" s="1855" t="s">
        <v>2232</v>
      </c>
      <c r="B340" s="1859" t="s">
        <v>2235</v>
      </c>
      <c r="C340" s="1860">
        <v>0.15</v>
      </c>
      <c r="D340" s="1860">
        <v>0.15</v>
      </c>
      <c r="E340" s="1860">
        <v>0.15</v>
      </c>
      <c r="F340" s="1868"/>
    </row>
    <row r="341" spans="1:6" ht="14.25" thickBot="1">
      <c r="A341" s="1855" t="s">
        <v>2236</v>
      </c>
      <c r="B341" s="1859" t="s">
        <v>2237</v>
      </c>
      <c r="C341" s="1860">
        <v>0.15</v>
      </c>
      <c r="D341" s="1860">
        <v>0.15</v>
      </c>
      <c r="E341" s="1860">
        <v>0.15</v>
      </c>
      <c r="F341" s="1861">
        <v>0.15</v>
      </c>
    </row>
    <row r="342" spans="1:6" ht="14.25" thickBot="1">
      <c r="A342" s="1855" t="s">
        <v>2232</v>
      </c>
      <c r="B342" s="1859" t="s">
        <v>2238</v>
      </c>
      <c r="C342" s="1860">
        <v>0.15</v>
      </c>
      <c r="D342" s="1860">
        <v>0.15</v>
      </c>
      <c r="E342" s="1860">
        <v>0.15</v>
      </c>
      <c r="F342" s="1861">
        <v>0.15</v>
      </c>
    </row>
    <row r="343" spans="1:6" ht="14.25" thickBot="1">
      <c r="A343" s="1855" t="s">
        <v>2232</v>
      </c>
      <c r="B343" s="1859" t="s">
        <v>2239</v>
      </c>
      <c r="C343" s="1860">
        <v>0.15</v>
      </c>
      <c r="D343" s="1860">
        <v>0.15</v>
      </c>
      <c r="E343" s="1860">
        <v>0.15</v>
      </c>
      <c r="F343" s="1861">
        <v>0.15</v>
      </c>
    </row>
    <row r="344" spans="1:6" ht="14.2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2951</v>
      </c>
      <c r="B1" s="3132"/>
      <c r="C1" s="3132"/>
      <c r="D1" s="3132"/>
      <c r="E1" s="3132"/>
      <c r="F1" s="3132"/>
    </row>
    <row r="2" spans="1:6" ht="14.25">
      <c r="A2" s="3133" t="s">
        <v>2945</v>
      </c>
      <c r="B2" s="3134">
        <f ca="1">SUMIF(B7:B14,"&lt;&gt;#ref!",B7:B14)</f>
        <v>35903</v>
      </c>
      <c r="C2" s="3133" t="s">
        <v>2946</v>
      </c>
      <c r="D2" s="3132"/>
      <c r="E2" s="3132"/>
      <c r="F2" s="3132"/>
    </row>
    <row r="3" spans="1:6" ht="14.25">
      <c r="A3" s="3133" t="s">
        <v>2948</v>
      </c>
      <c r="B3" s="3134" t="e">
        <f ca="1">ROUND(B2*10000/E3,0)</f>
        <v>#REF!</v>
      </c>
      <c r="C3" s="3133" t="s">
        <v>2081</v>
      </c>
      <c r="D3" s="3133" t="s">
        <v>2947</v>
      </c>
      <c r="E3" s="3134" t="e">
        <f ca="1">SUM(E7:E14)</f>
        <v>#REF!</v>
      </c>
      <c r="F3" s="3132"/>
    </row>
    <row r="4" spans="1:6" ht="14.25">
      <c r="A4" s="3133" t="s">
        <v>2955</v>
      </c>
      <c r="B4" s="3134" t="e">
        <f ca="1">ROUND(B2*10000/E4,0)</f>
        <v>#REF!</v>
      </c>
      <c r="C4" s="3133" t="s">
        <v>2081</v>
      </c>
      <c r="D4" s="3133" t="s">
        <v>2956</v>
      </c>
      <c r="E4" s="3134" t="e">
        <f ca="1">SUM(F7:F14)</f>
        <v>#REF!</v>
      </c>
      <c r="F4" s="3132"/>
    </row>
    <row r="5" spans="1:6" ht="14.25">
      <c r="A5" s="3135"/>
      <c r="B5" s="1881"/>
      <c r="C5" s="1881"/>
      <c r="D5" s="1881"/>
      <c r="E5" s="1881"/>
      <c r="F5" s="3132"/>
    </row>
    <row r="6" spans="1:6" ht="28.5">
      <c r="A6" s="3136" t="s">
        <v>2952</v>
      </c>
      <c r="B6" s="3133" t="s">
        <v>2949</v>
      </c>
      <c r="C6" s="3134"/>
      <c r="D6" s="1881"/>
      <c r="E6" s="3133" t="s">
        <v>2950</v>
      </c>
      <c r="F6" s="3133" t="s">
        <v>2954</v>
      </c>
    </row>
    <row r="7" spans="1:6" ht="14.25">
      <c r="A7" s="258" t="s">
        <v>2953</v>
      </c>
      <c r="B7" s="3137">
        <f ca="1">SUMIF(INDIRECT("'"&amp;A7&amp;"'"&amp;"!A:A"),"总价",INDIRECT("'"&amp;A7&amp;"'"&amp;"!B:B"))</f>
        <v>35903</v>
      </c>
      <c r="C7" s="3133" t="s">
        <v>2946</v>
      </c>
      <c r="D7" s="1881"/>
      <c r="E7" s="3138">
        <f ca="1">SUMIF(INDIRECT("'"&amp;A7&amp;"'"&amp;"!C:C"),"建筑面积",INDIRECT("'"&amp;A7&amp;"'"&amp;"!D:D"))</f>
        <v>10000</v>
      </c>
      <c r="F7" s="3138">
        <f ca="1">SUMIF(INDIRECT("'"&amp;A7&amp;"'"&amp;"!E:E"),"土地面积",INDIRECT("'"&amp;A7&amp;"'"&amp;"!F:F"))</f>
        <v>2079.0700000000002</v>
      </c>
    </row>
    <row r="8" spans="1:6" ht="14.25">
      <c r="A8" s="258"/>
      <c r="B8" s="3137" t="e">
        <f t="shared" ref="B8:B14" ca="1" si="0">SUMIF(INDIRECT("'"&amp;A8&amp;"'"&amp;"!A:A"),"总价",INDIRECT("'"&amp;A8&amp;"'"&amp;"!B:B"))</f>
        <v>#REF!</v>
      </c>
      <c r="C8" s="3133" t="s">
        <v>2946</v>
      </c>
      <c r="D8" s="1881"/>
      <c r="E8" s="3138" t="e">
        <f t="shared" ref="E8:E14" ca="1" si="1">SUMIF(INDIRECT("'"&amp;A8&amp;"'"&amp;"!C:C"),"建筑面积",INDIRECT("'"&amp;A8&amp;"'"&amp;"!D:D"))</f>
        <v>#REF!</v>
      </c>
      <c r="F8" s="3138" t="e">
        <f t="shared" ref="F8:F14" ca="1" si="2">SUMIF(INDIRECT("'"&amp;A8&amp;"'"&amp;"!E:E"),"土地面积",INDIRECT("'"&amp;A8&amp;"'"&amp;"!F:F"))</f>
        <v>#REF!</v>
      </c>
    </row>
    <row r="9" spans="1:6" ht="14.25">
      <c r="A9" s="258"/>
      <c r="B9" s="3137" t="e">
        <f t="shared" ca="1" si="0"/>
        <v>#REF!</v>
      </c>
      <c r="C9" s="3133" t="s">
        <v>2946</v>
      </c>
      <c r="D9" s="1881"/>
      <c r="E9" s="3138" t="e">
        <f t="shared" ca="1" si="1"/>
        <v>#REF!</v>
      </c>
      <c r="F9" s="3138" t="e">
        <f t="shared" ca="1" si="2"/>
        <v>#REF!</v>
      </c>
    </row>
    <row r="10" spans="1:6" ht="14.25">
      <c r="A10" s="258"/>
      <c r="B10" s="3137" t="e">
        <f t="shared" ca="1" si="0"/>
        <v>#REF!</v>
      </c>
      <c r="C10" s="3133" t="s">
        <v>2946</v>
      </c>
      <c r="D10" s="1881"/>
      <c r="E10" s="3138" t="e">
        <f t="shared" ca="1" si="1"/>
        <v>#REF!</v>
      </c>
      <c r="F10" s="3138" t="e">
        <f t="shared" ca="1" si="2"/>
        <v>#REF!</v>
      </c>
    </row>
    <row r="11" spans="1:6" ht="14.25">
      <c r="A11" s="258"/>
      <c r="B11" s="3137" t="e">
        <f t="shared" ca="1" si="0"/>
        <v>#REF!</v>
      </c>
      <c r="C11" s="3133" t="s">
        <v>2946</v>
      </c>
      <c r="D11" s="1881"/>
      <c r="E11" s="3138" t="e">
        <f t="shared" ca="1" si="1"/>
        <v>#REF!</v>
      </c>
      <c r="F11" s="3138" t="e">
        <f t="shared" ca="1" si="2"/>
        <v>#REF!</v>
      </c>
    </row>
    <row r="12" spans="1:6" ht="14.25">
      <c r="A12" s="258"/>
      <c r="B12" s="3137" t="e">
        <f t="shared" ca="1" si="0"/>
        <v>#REF!</v>
      </c>
      <c r="C12" s="3133" t="s">
        <v>2946</v>
      </c>
      <c r="D12" s="1881"/>
      <c r="E12" s="3138" t="e">
        <f t="shared" ca="1" si="1"/>
        <v>#REF!</v>
      </c>
      <c r="F12" s="3138" t="e">
        <f t="shared" ca="1" si="2"/>
        <v>#REF!</v>
      </c>
    </row>
    <row r="13" spans="1:6" ht="14.25">
      <c r="A13" s="258"/>
      <c r="B13" s="3137" t="e">
        <f t="shared" ca="1" si="0"/>
        <v>#REF!</v>
      </c>
      <c r="C13" s="3133" t="s">
        <v>2946</v>
      </c>
      <c r="D13" s="1881"/>
      <c r="E13" s="3138" t="e">
        <f t="shared" ca="1" si="1"/>
        <v>#REF!</v>
      </c>
      <c r="F13" s="3138" t="e">
        <f t="shared" ca="1" si="2"/>
        <v>#REF!</v>
      </c>
    </row>
    <row r="14" spans="1:6" ht="14.25">
      <c r="A14" s="3131"/>
      <c r="B14" s="3137" t="e">
        <f t="shared" ca="1" si="0"/>
        <v>#REF!</v>
      </c>
      <c r="C14" s="3133" t="s">
        <v>2946</v>
      </c>
      <c r="D14" s="1881"/>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0" t="s">
        <v>628</v>
      </c>
      <c r="B1" s="736"/>
      <c r="C1" s="771"/>
      <c r="D1" s="2050"/>
      <c r="E1" s="2411" t="s">
        <v>2378</v>
      </c>
      <c r="F1" s="2412">
        <f ca="1">J54</f>
        <v>0</v>
      </c>
      <c r="G1" s="772">
        <f>MATCH(C1,'数据-取费表'!A6:A16,0)+5</f>
        <v>7</v>
      </c>
      <c r="H1" s="1348"/>
      <c r="I1" s="2051"/>
      <c r="J1" s="2051"/>
      <c r="K1" s="2052"/>
      <c r="L1" s="2051"/>
      <c r="M1" s="2051"/>
      <c r="N1" s="2053"/>
      <c r="O1" s="2053"/>
      <c r="P1" s="2053"/>
      <c r="Q1" s="2053"/>
      <c r="R1" s="2053"/>
      <c r="S1" s="2053"/>
      <c r="T1" s="2053"/>
      <c r="U1" s="2053"/>
      <c r="V1" s="2053"/>
      <c r="W1" s="2053"/>
      <c r="X1" s="2053"/>
      <c r="Y1" s="2053"/>
    </row>
    <row r="2" spans="1:25" ht="18" customHeight="1">
      <c r="A2" s="1643" t="s">
        <v>629</v>
      </c>
      <c r="B2" s="773">
        <f ca="1">IF(ISERROR(C45+J31),0,C45+J31)</f>
        <v>0</v>
      </c>
      <c r="C2" s="1349"/>
      <c r="D2" s="2055"/>
      <c r="E2" s="2056"/>
      <c r="F2" s="2056"/>
      <c r="G2" s="1589"/>
      <c r="H2" s="1361"/>
      <c r="I2" s="2057"/>
      <c r="J2" s="2057"/>
      <c r="K2" s="2058"/>
      <c r="L2" s="2057"/>
      <c r="M2" s="2057"/>
    </row>
    <row r="3" spans="1:25" ht="18" customHeight="1">
      <c r="A3" s="1644" t="s">
        <v>1687</v>
      </c>
      <c r="B3" s="1390">
        <f ca="1">ROUND(B2*10000/'数据-汇总表'!E3,0)</f>
        <v>0</v>
      </c>
      <c r="C3" s="1349"/>
      <c r="D3" s="2055"/>
      <c r="E3" s="2056"/>
      <c r="F3" s="2056"/>
      <c r="G3" s="1589"/>
      <c r="H3" s="774" t="s">
        <v>695</v>
      </c>
      <c r="I3" s="2057"/>
      <c r="J3" s="2057"/>
      <c r="K3" s="2058"/>
      <c r="L3" s="2057"/>
      <c r="M3" s="2057"/>
    </row>
    <row r="4" spans="1:25" ht="18" customHeight="1">
      <c r="A4" s="1645" t="s">
        <v>696</v>
      </c>
      <c r="B4" s="1350">
        <f ca="1">ROUND(B2*10000/'数据-汇总表'!D3,0)</f>
        <v>0</v>
      </c>
      <c r="C4" s="426"/>
      <c r="D4" s="2055"/>
      <c r="E4" s="2056"/>
      <c r="F4" s="2056"/>
      <c r="G4" s="1589"/>
      <c r="H4" s="774"/>
      <c r="I4" s="2057"/>
      <c r="J4" s="2057"/>
      <c r="K4" s="2058"/>
      <c r="L4" s="2057"/>
      <c r="M4" s="2057"/>
    </row>
    <row r="5" spans="1:25" ht="18" customHeight="1" thickBot="1">
      <c r="A5" s="1646"/>
      <c r="B5" s="428">
        <f ca="1">ROUND(B2/('数据-汇总表'!D3/666.67),0)</f>
        <v>0</v>
      </c>
      <c r="C5" s="429" t="s">
        <v>697</v>
      </c>
      <c r="D5" s="2055"/>
      <c r="E5" s="2056"/>
      <c r="F5" s="2056"/>
      <c r="G5" s="1589"/>
      <c r="H5" s="774"/>
      <c r="I5" s="2057"/>
      <c r="J5" s="2057"/>
      <c r="K5" s="2058"/>
      <c r="L5" s="2057"/>
      <c r="M5" s="2057"/>
    </row>
    <row r="6" spans="1:25" ht="18" customHeight="1">
      <c r="A6" s="1828" t="s">
        <v>698</v>
      </c>
      <c r="B6" s="1820" t="s">
        <v>699</v>
      </c>
      <c r="C6" s="1820" t="s">
        <v>632</v>
      </c>
      <c r="D6" s="1820" t="s">
        <v>633</v>
      </c>
      <c r="E6" s="777" t="s">
        <v>634</v>
      </c>
      <c r="F6" s="778"/>
      <c r="G6" s="1591"/>
      <c r="H6" s="1828" t="s">
        <v>630</v>
      </c>
      <c r="I6" s="1820" t="s">
        <v>631</v>
      </c>
      <c r="J6" s="1820" t="s">
        <v>632</v>
      </c>
      <c r="K6" s="1820" t="s">
        <v>633</v>
      </c>
      <c r="L6" s="777" t="s">
        <v>634</v>
      </c>
      <c r="M6" s="778"/>
    </row>
    <row r="7" spans="1:25" ht="18" customHeight="1">
      <c r="A7" s="779">
        <v>1</v>
      </c>
      <c r="B7" s="780" t="s">
        <v>2462</v>
      </c>
      <c r="C7" s="51">
        <f ca="1">C8+C12+C14</f>
        <v>0</v>
      </c>
      <c r="D7" s="2518" t="s">
        <v>2465</v>
      </c>
      <c r="E7" s="2512"/>
      <c r="F7" s="2513"/>
      <c r="G7" s="1591"/>
      <c r="H7" s="779">
        <v>1</v>
      </c>
      <c r="I7" s="780" t="s">
        <v>2462</v>
      </c>
      <c r="J7" s="51">
        <f ca="1">J8+J12+J14</f>
        <v>0</v>
      </c>
      <c r="K7" s="2518" t="s">
        <v>2465</v>
      </c>
      <c r="L7" s="2512"/>
      <c r="M7" s="2513"/>
    </row>
    <row r="8" spans="1:25" ht="18" customHeight="1">
      <c r="A8" s="1830" t="s">
        <v>1825</v>
      </c>
      <c r="B8" s="3570" t="s">
        <v>2467</v>
      </c>
      <c r="C8" s="1825">
        <f ca="1">ROUND(F8*F10*F9*(1-F11)/10000,0)</f>
        <v>0</v>
      </c>
      <c r="D8" s="1822" t="s">
        <v>2538</v>
      </c>
      <c r="E8" s="59" t="s">
        <v>637</v>
      </c>
      <c r="F8" s="783">
        <f ca="1">INDIRECT("'数据-取费表'!u"&amp;$G$1)</f>
        <v>0</v>
      </c>
      <c r="G8" s="1591"/>
      <c r="H8" s="2526" t="s">
        <v>1825</v>
      </c>
      <c r="I8" s="3570" t="s">
        <v>2467</v>
      </c>
      <c r="J8" s="781">
        <f ca="1">ROUND(M8*M10*M9*(1-M11)/10000,0)</f>
        <v>0</v>
      </c>
      <c r="K8" s="339" t="s">
        <v>2538</v>
      </c>
      <c r="L8" s="782" t="s">
        <v>1739</v>
      </c>
      <c r="M8" s="783">
        <f ca="1">INDIRECT("'数据-取费表'!z"&amp;$G$1)</f>
        <v>0</v>
      </c>
    </row>
    <row r="9" spans="1:25" ht="18" customHeight="1">
      <c r="A9" s="2522"/>
      <c r="B9" s="3571"/>
      <c r="C9" s="1826"/>
      <c r="D9" s="1823"/>
      <c r="E9" s="59" t="s">
        <v>638</v>
      </c>
      <c r="F9" s="783">
        <f ca="1">IF(INDIRECT("'数据-取费表'!ah"&amp;$G$1)="",INDIRECT("'数据-取费表'!k"&amp;$G$1),INDIRECT("'数据-取费表'!ah"&amp;$G$1))</f>
        <v>0</v>
      </c>
      <c r="G9" s="1591"/>
      <c r="H9" s="2511"/>
      <c r="I9" s="3571"/>
      <c r="J9" s="786"/>
      <c r="K9" s="787"/>
      <c r="L9" s="782" t="s">
        <v>1740</v>
      </c>
      <c r="M9" s="783">
        <f ca="1">F9</f>
        <v>0</v>
      </c>
    </row>
    <row r="10" spans="1:25" ht="18" customHeight="1">
      <c r="A10" s="2515"/>
      <c r="B10" s="3572"/>
      <c r="C10" s="1826"/>
      <c r="D10" s="1823"/>
      <c r="E10" s="59" t="s">
        <v>639</v>
      </c>
      <c r="F10" s="783">
        <f ca="1">INDIRECT("'数据-取费表'!ai"&amp;$G$1)</f>
        <v>0</v>
      </c>
      <c r="G10" s="1591"/>
      <c r="H10" s="2511"/>
      <c r="I10" s="3572"/>
      <c r="J10" s="786"/>
      <c r="K10" s="787"/>
      <c r="L10" s="782" t="s">
        <v>1741</v>
      </c>
      <c r="M10" s="783">
        <f ca="1">INDIRECT("'数据-取费表'!ai"&amp;$G$1)</f>
        <v>0</v>
      </c>
    </row>
    <row r="11" spans="1:25" ht="18" customHeight="1">
      <c r="A11" s="784"/>
      <c r="B11" s="3573"/>
      <c r="C11" s="1826"/>
      <c r="D11" s="1823"/>
      <c r="E11" s="59" t="s">
        <v>640</v>
      </c>
      <c r="F11" s="792">
        <f ca="1">INDIRECT("'数据-取费表'!w"&amp;$G$1)</f>
        <v>0</v>
      </c>
      <c r="G11" s="1591"/>
      <c r="H11" s="2527"/>
      <c r="I11" s="3572"/>
      <c r="J11" s="786"/>
      <c r="K11" s="787"/>
      <c r="L11" s="793" t="s">
        <v>1742</v>
      </c>
      <c r="M11" s="794">
        <f ca="1">INDIRECT("'数据-取费表'!ab"&amp;$G$1)</f>
        <v>0</v>
      </c>
    </row>
    <row r="12" spans="1:25" ht="18" customHeight="1">
      <c r="A12" s="1830" t="s">
        <v>1826</v>
      </c>
      <c r="B12" s="2516" t="s">
        <v>2463</v>
      </c>
      <c r="C12" s="797">
        <f ca="1">ROUND(IF(F12="押一",C8/12*F13,IF(F12="押二",C8/12*2*F13,IF(F12="押三",C8/12*3*F13,C13*F13))),0)</f>
        <v>0</v>
      </c>
      <c r="D12" s="2523" t="s">
        <v>2976</v>
      </c>
      <c r="E12" s="2520" t="s">
        <v>2468</v>
      </c>
      <c r="F12" s="2643"/>
      <c r="G12" s="1591"/>
      <c r="H12" s="2583" t="s">
        <v>1826</v>
      </c>
      <c r="I12" s="2588" t="s">
        <v>2463</v>
      </c>
      <c r="J12" s="781">
        <f ca="1">ROUND(IF(M12="押一",J8/12*M13,IF(M12="押二",J8/12*2*M13,IF(M12="押三",J8/12*3*M13,J13*M13))),0)</f>
        <v>0</v>
      </c>
      <c r="K12" s="2523" t="s">
        <v>2976</v>
      </c>
      <c r="L12" s="2520" t="s">
        <v>2468</v>
      </c>
      <c r="M12" s="2643"/>
    </row>
    <row r="13" spans="1:25" ht="18" customHeight="1">
      <c r="A13" s="788"/>
      <c r="B13" s="2517" t="s">
        <v>2577</v>
      </c>
      <c r="C13" s="2521"/>
      <c r="D13" s="787"/>
      <c r="E13" s="2520" t="s">
        <v>2460</v>
      </c>
      <c r="F13" s="794">
        <f ca="1">'数据-取费表'!B39</f>
        <v>1.4999999999999999E-2</v>
      </c>
      <c r="G13" s="1591"/>
      <c r="H13" s="2584"/>
      <c r="I13" s="2517" t="s">
        <v>2577</v>
      </c>
      <c r="J13" s="2521"/>
      <c r="K13" s="2585"/>
      <c r="L13" s="2520" t="s">
        <v>2460</v>
      </c>
      <c r="M13" s="2514">
        <f ca="1">'数据-取费表'!B39</f>
        <v>1.4999999999999999E-2</v>
      </c>
    </row>
    <row r="14" spans="1:25" ht="18" customHeight="1" thickBot="1">
      <c r="A14" s="2559" t="s">
        <v>2471</v>
      </c>
      <c r="B14" s="2560" t="s">
        <v>2464</v>
      </c>
      <c r="C14" s="2561"/>
      <c r="D14" s="2562"/>
      <c r="E14" s="2563"/>
      <c r="F14" s="2564"/>
      <c r="G14" s="1591"/>
      <c r="H14" s="2573" t="s">
        <v>2471</v>
      </c>
      <c r="I14" s="2586" t="s">
        <v>2464</v>
      </c>
      <c r="J14" s="2587"/>
      <c r="K14" s="2562"/>
      <c r="L14" s="2563"/>
      <c r="M14" s="2576"/>
    </row>
    <row r="15" spans="1:25" ht="18" customHeight="1" thickTop="1">
      <c r="A15" s="1829" t="s">
        <v>1875</v>
      </c>
      <c r="B15" s="1827" t="s">
        <v>641</v>
      </c>
      <c r="C15" s="790">
        <f ca="1">ROUND(C31*F15,0)</f>
        <v>0</v>
      </c>
      <c r="D15" s="1834" t="s">
        <v>642</v>
      </c>
      <c r="E15" s="793" t="s">
        <v>643</v>
      </c>
      <c r="F15" s="798">
        <f ca="1">INDIRECT("'数据-取费表'!y"&amp;$G$1)</f>
        <v>0</v>
      </c>
      <c r="G15" s="1591"/>
      <c r="H15" s="1829" t="s">
        <v>1827</v>
      </c>
      <c r="I15" s="1827" t="s">
        <v>644</v>
      </c>
      <c r="J15" s="1819">
        <f ca="1">ROUND(J16*J17,0)</f>
        <v>0</v>
      </c>
      <c r="K15" s="1821" t="s">
        <v>642</v>
      </c>
      <c r="L15" s="799"/>
      <c r="M15" s="800"/>
    </row>
    <row r="16" spans="1:25" ht="18" customHeight="1">
      <c r="A16" s="801" t="s">
        <v>1876</v>
      </c>
      <c r="B16" s="782" t="s">
        <v>645</v>
      </c>
      <c r="C16" s="802">
        <f ca="1">INDIRECT("'数据-取费表'!m"&amp;$G$1)+INDIRECT("'数据-取费表'!t"&amp;$G$1)</f>
        <v>0</v>
      </c>
      <c r="D16" s="1979" t="s">
        <v>646</v>
      </c>
      <c r="E16" s="1980"/>
      <c r="F16" s="803"/>
      <c r="G16" s="1591"/>
      <c r="H16" s="801" t="s">
        <v>2072</v>
      </c>
      <c r="I16" s="2231" t="s">
        <v>2828</v>
      </c>
      <c r="J16" s="51">
        <f ca="1">C31</f>
        <v>0</v>
      </c>
      <c r="K16" s="24"/>
      <c r="L16" s="799"/>
      <c r="M16" s="800"/>
    </row>
    <row r="17" spans="1:25" s="2064" customFormat="1" ht="18" customHeight="1">
      <c r="A17" s="801" t="s">
        <v>1850</v>
      </c>
      <c r="B17" s="782" t="s">
        <v>647</v>
      </c>
      <c r="C17" s="51">
        <f ca="1">ROUND(C16*F17,0)</f>
        <v>0</v>
      </c>
      <c r="D17" s="804" t="s">
        <v>648</v>
      </c>
      <c r="E17" s="804" t="s">
        <v>649</v>
      </c>
      <c r="F17" s="805">
        <f>'数据-取费表'!B33</f>
        <v>0.03</v>
      </c>
      <c r="G17" s="1592"/>
      <c r="H17" s="801" t="s">
        <v>2073</v>
      </c>
      <c r="I17" s="782" t="s">
        <v>643</v>
      </c>
      <c r="J17" s="806">
        <f ca="1">INDIRECT("'数据-取费表'!ad"&amp;$G$1)</f>
        <v>0</v>
      </c>
      <c r="K17" s="24"/>
      <c r="L17" s="799"/>
      <c r="M17" s="800"/>
      <c r="N17" s="2063"/>
      <c r="O17" s="2063"/>
      <c r="P17" s="2063"/>
      <c r="Q17" s="2063"/>
      <c r="R17" s="2063"/>
      <c r="S17" s="2063"/>
      <c r="T17" s="2063"/>
      <c r="U17" s="2063"/>
      <c r="V17" s="2063"/>
      <c r="W17" s="2063"/>
      <c r="X17" s="2063"/>
      <c r="Y17" s="2063"/>
    </row>
    <row r="18" spans="1:25" ht="18" customHeight="1">
      <c r="A18" s="801" t="s">
        <v>1851</v>
      </c>
      <c r="B18" s="782" t="s">
        <v>650</v>
      </c>
      <c r="C18" s="51">
        <f ca="1">ROUND(INDIRECT("'数据-取费表'!m"&amp;$G$1)*F18,0)</f>
        <v>0</v>
      </c>
      <c r="D18" s="782" t="s">
        <v>648</v>
      </c>
      <c r="E18" s="782" t="s">
        <v>649</v>
      </c>
      <c r="F18" s="807">
        <f ca="1">IF(INDIRECT("'数据-取费表'!c"&amp;$G$1)="住宅",'数据-取费表'!B34,0)</f>
        <v>0</v>
      </c>
      <c r="G18" s="1591"/>
      <c r="H18" s="795" t="s">
        <v>1828</v>
      </c>
      <c r="I18" s="796" t="s">
        <v>651</v>
      </c>
      <c r="J18" s="797">
        <f ca="1">ROUND(J19+J24+J25+J26,0)</f>
        <v>0</v>
      </c>
      <c r="K18" s="24" t="s">
        <v>652</v>
      </c>
      <c r="L18" s="1982"/>
      <c r="M18" s="54"/>
    </row>
    <row r="19" spans="1:25" s="2064" customFormat="1" ht="18" customHeight="1">
      <c r="A19" s="801" t="s">
        <v>1852</v>
      </c>
      <c r="B19" s="782" t="s">
        <v>653</v>
      </c>
      <c r="C19" s="51">
        <f ca="1">ROUND(F19*(INDIRECT("'数据-取费表'!k"&amp;$G$1)+INDIRECT("'数据-取费表'!S"&amp;$G$1))/10000,0)</f>
        <v>0</v>
      </c>
      <c r="D19" s="782" t="s">
        <v>654</v>
      </c>
      <c r="E19" s="782" t="s">
        <v>655</v>
      </c>
      <c r="F19" s="54">
        <f>'数据-取费表'!B35</f>
        <v>200</v>
      </c>
      <c r="G19" s="1592"/>
      <c r="H19" s="801" t="s">
        <v>2072</v>
      </c>
      <c r="I19" s="782" t="s">
        <v>656</v>
      </c>
      <c r="J19" s="51">
        <f ca="1">ROUND(IF(项目基本情况!B11="自然人",J7*M19,J20+J21+J22),0)</f>
        <v>0</v>
      </c>
      <c r="K19" s="1979" t="s">
        <v>657</v>
      </c>
      <c r="L19" s="1977" t="s">
        <v>658</v>
      </c>
      <c r="M19" s="808"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1" t="s">
        <v>1853</v>
      </c>
      <c r="B20" s="782" t="s">
        <v>659</v>
      </c>
      <c r="C20" s="51">
        <f ca="1">ROUND(C16*F20,0)</f>
        <v>0</v>
      </c>
      <c r="D20" s="782" t="s">
        <v>648</v>
      </c>
      <c r="E20" s="782" t="s">
        <v>649</v>
      </c>
      <c r="F20" s="807">
        <f>'数据-取费表'!B36</f>
        <v>1.4999999999999999E-2</v>
      </c>
      <c r="G20" s="1592"/>
      <c r="H20" s="801" t="s">
        <v>1832</v>
      </c>
      <c r="I20" s="782" t="s">
        <v>660</v>
      </c>
      <c r="J20" s="51">
        <f ca="1">ROUND(J7*M20/1.05,1)</f>
        <v>0</v>
      </c>
      <c r="K20" s="1977" t="s">
        <v>661</v>
      </c>
      <c r="L20" s="782" t="s">
        <v>649</v>
      </c>
      <c r="M20" s="807">
        <f>'数据-取费表'!B41</f>
        <v>5.6000000000000001E-2</v>
      </c>
      <c r="N20" s="2063"/>
      <c r="O20" s="2063"/>
      <c r="P20" s="2063"/>
      <c r="Q20" s="2063"/>
      <c r="R20" s="2063"/>
      <c r="S20" s="2063"/>
      <c r="T20" s="2063"/>
      <c r="U20" s="2063"/>
      <c r="V20" s="2063"/>
      <c r="W20" s="2063"/>
      <c r="X20" s="2063"/>
      <c r="Y20" s="2063"/>
    </row>
    <row r="21" spans="1:25" ht="18" customHeight="1">
      <c r="A21" s="801" t="s">
        <v>1877</v>
      </c>
      <c r="B21" s="782" t="s">
        <v>662</v>
      </c>
      <c r="C21" s="51">
        <f ca="1">SUM(C16:C20)</f>
        <v>0</v>
      </c>
      <c r="D21" s="259" t="s">
        <v>663</v>
      </c>
      <c r="E21" s="1982"/>
      <c r="F21" s="54"/>
      <c r="G21" s="1591"/>
      <c r="H21" s="1830" t="s">
        <v>1850</v>
      </c>
      <c r="I21" s="782" t="s">
        <v>664</v>
      </c>
      <c r="J21" s="51">
        <f ca="1">IF(K21="按租金收入计税",ROUND(J7*M21,1),ROUND(C31*F35*0.7,1))</f>
        <v>0</v>
      </c>
      <c r="K21" s="809" t="s">
        <v>665</v>
      </c>
      <c r="L21" s="782" t="s">
        <v>649</v>
      </c>
      <c r="M21" s="807">
        <f>IF(K21="按租金收入计税",'数据-取费表'!B51,'数据-取费表'!B50)</f>
        <v>1.2E-2</v>
      </c>
    </row>
    <row r="22" spans="1:25" s="2064" customFormat="1" ht="18" customHeight="1">
      <c r="A22" s="801" t="s">
        <v>1878</v>
      </c>
      <c r="B22" s="782" t="s">
        <v>666</v>
      </c>
      <c r="C22" s="51">
        <f ca="1">ROUND(C21*F22,0)</f>
        <v>0</v>
      </c>
      <c r="D22" s="810" t="s">
        <v>667</v>
      </c>
      <c r="E22" s="782" t="s">
        <v>649</v>
      </c>
      <c r="F22" s="807">
        <f>'数据-取费表'!B37</f>
        <v>0.02</v>
      </c>
      <c r="G22" s="1592"/>
      <c r="H22" s="1832" t="s">
        <v>1851</v>
      </c>
      <c r="I22" s="1822" t="s">
        <v>668</v>
      </c>
      <c r="J22" s="52">
        <f ca="1">ROUND(M22*M23/10000,0)</f>
        <v>0</v>
      </c>
      <c r="K22" s="812" t="s">
        <v>669</v>
      </c>
      <c r="L22" s="782" t="s">
        <v>670</v>
      </c>
      <c r="M22" s="638">
        <f>'数据-取费表'!B52</f>
        <v>0</v>
      </c>
      <c r="N22" s="2063"/>
      <c r="O22" s="2063"/>
      <c r="P22" s="2063"/>
      <c r="Q22" s="2063"/>
      <c r="R22" s="2063"/>
      <c r="S22" s="2063"/>
      <c r="T22" s="2063"/>
      <c r="U22" s="2063"/>
      <c r="V22" s="2063"/>
      <c r="W22" s="2063"/>
      <c r="X22" s="2063"/>
      <c r="Y22" s="2063"/>
    </row>
    <row r="23" spans="1:25" s="2064" customFormat="1" ht="18" customHeight="1">
      <c r="A23" s="801" t="s">
        <v>1879</v>
      </c>
      <c r="B23" s="782" t="s">
        <v>671</v>
      </c>
      <c r="C23" s="51" t="s">
        <v>1</v>
      </c>
      <c r="D23" s="810" t="s">
        <v>672</v>
      </c>
      <c r="E23" s="782" t="s">
        <v>673</v>
      </c>
      <c r="F23" s="807">
        <f>'数据-取费表'!B38</f>
        <v>0.02</v>
      </c>
      <c r="G23" s="1592"/>
      <c r="H23" s="1833"/>
      <c r="I23" s="1824"/>
      <c r="J23" s="67"/>
      <c r="K23" s="814"/>
      <c r="L23" s="782" t="s">
        <v>674</v>
      </c>
      <c r="M23" s="783">
        <f ca="1">INDIRECT("'数据-取费表'!r"&amp;$G$1)</f>
        <v>0</v>
      </c>
      <c r="N23" s="2063"/>
      <c r="O23" s="2063"/>
      <c r="P23" s="2063"/>
      <c r="Q23" s="2063"/>
      <c r="R23" s="2063"/>
      <c r="S23" s="2063"/>
      <c r="T23" s="2063"/>
      <c r="U23" s="2063"/>
      <c r="V23" s="2063"/>
      <c r="W23" s="2063"/>
      <c r="X23" s="2063"/>
      <c r="Y23" s="2063"/>
    </row>
    <row r="24" spans="1:25" ht="18" customHeight="1">
      <c r="A24" s="801" t="s">
        <v>1880</v>
      </c>
      <c r="B24" s="782" t="s">
        <v>675</v>
      </c>
      <c r="C24" s="51"/>
      <c r="D24" s="2594" t="str">
        <f>IF(F25&lt;=1,"单利计息。","复利计息。")&amp;"建造成本、管理费用、销售费用产生的利息。"</f>
        <v>复利计息。建造成本、管理费用、销售费用产生的利息。</v>
      </c>
      <c r="E24" s="1982"/>
      <c r="F24" s="54"/>
      <c r="G24" s="1591"/>
      <c r="H24" s="1831" t="s">
        <v>2073</v>
      </c>
      <c r="I24" s="782" t="s">
        <v>676</v>
      </c>
      <c r="J24" s="51">
        <f ca="1">ROUND(J16*M24,0)</f>
        <v>0</v>
      </c>
      <c r="K24" s="1977" t="s">
        <v>677</v>
      </c>
      <c r="L24" s="782" t="s">
        <v>649</v>
      </c>
      <c r="M24" s="815">
        <f ca="1">INDIRECT("'数据-取费表'!Ak"&amp;$G$1)</f>
        <v>0</v>
      </c>
    </row>
    <row r="25" spans="1:25" s="2064" customFormat="1" ht="18" customHeight="1">
      <c r="A25" s="801" t="s">
        <v>1876</v>
      </c>
      <c r="B25" s="782" t="s">
        <v>2441</v>
      </c>
      <c r="C25" s="51">
        <f ca="1">ROUND(IF('数据-取费表'!B22&lt;=1,(C21+C22)*F26*F25/2,(C21+C22)*(POWER((1+F26),F25/2)-1)),0)</f>
        <v>0</v>
      </c>
      <c r="D25" s="2593" t="str">
        <f>IF(F25&lt;=1,"(建造成本+管理费用)×利率×(建设周期÷2)","(建造成本+管理费用)×((1+利率)^(建设周期÷2)-1)")</f>
        <v>(建造成本+管理费用)×((1+利率)^(建设周期÷2)-1)</v>
      </c>
      <c r="E25" s="782" t="s">
        <v>678</v>
      </c>
      <c r="F25" s="638">
        <f>'数据-取费表'!B20</f>
        <v>1.5</v>
      </c>
      <c r="G25" s="1592"/>
      <c r="H25" s="801" t="s">
        <v>1879</v>
      </c>
      <c r="I25" s="782" t="s">
        <v>679</v>
      </c>
      <c r="J25" s="51">
        <f ca="1">ROUND(J15*M25,0)</f>
        <v>0</v>
      </c>
      <c r="K25" s="1977" t="s">
        <v>680</v>
      </c>
      <c r="L25" s="782" t="s">
        <v>649</v>
      </c>
      <c r="M25" s="816">
        <f ca="1">INDIRECT("'数据-取费表'!Al"&amp;$G$1)</f>
        <v>0</v>
      </c>
      <c r="N25" s="2063"/>
      <c r="O25" s="2063"/>
      <c r="P25" s="2063"/>
      <c r="Q25" s="2063"/>
      <c r="R25" s="2063"/>
      <c r="S25" s="2063"/>
      <c r="T25" s="2063"/>
      <c r="U25" s="2063"/>
      <c r="V25" s="2063"/>
      <c r="W25" s="2063"/>
      <c r="X25" s="2063"/>
      <c r="Y25" s="2063"/>
    </row>
    <row r="26" spans="1:25" s="2064" customFormat="1" ht="18" customHeight="1">
      <c r="A26" s="801" t="s">
        <v>1850</v>
      </c>
      <c r="B26" s="782" t="s">
        <v>681</v>
      </c>
      <c r="C26" s="51">
        <f ca="1">ROUND(IF('数据-取费表'!B22&lt;=1,F23*F26*F25/2,F23*(POWER((1+F26),F25/2)-1)),4)</f>
        <v>6.9999999999999999E-4</v>
      </c>
      <c r="D26" s="2593" t="str">
        <f>IF(F25&lt;=1,"销售费用×利率×(建设周期÷2)","销售费用×((1+利率)^(建设周期÷2)-1)")</f>
        <v>销售费用×((1+利率)^(建设周期÷2)-1)</v>
      </c>
      <c r="E26" s="782" t="s">
        <v>682</v>
      </c>
      <c r="F26" s="817">
        <f ca="1">'数据-取费表'!B40</f>
        <v>4.7500000000000001E-2</v>
      </c>
      <c r="G26" s="1592"/>
      <c r="H26" s="801" t="s">
        <v>1880</v>
      </c>
      <c r="I26" s="782" t="s">
        <v>666</v>
      </c>
      <c r="J26" s="51">
        <f ca="1">ROUND(J7*M26,0)</f>
        <v>0</v>
      </c>
      <c r="K26" s="1977" t="s">
        <v>683</v>
      </c>
      <c r="L26" s="782" t="s">
        <v>649</v>
      </c>
      <c r="M26" s="792">
        <f ca="1">INDIRECT("'数据-取费表'!Am"&amp;$G$1)</f>
        <v>0</v>
      </c>
      <c r="N26" s="2063"/>
      <c r="O26" s="2063"/>
      <c r="P26" s="2063"/>
      <c r="Q26" s="2063"/>
      <c r="R26" s="2063"/>
      <c r="S26" s="2063"/>
      <c r="T26" s="2063"/>
      <c r="U26" s="2063"/>
      <c r="V26" s="2063"/>
      <c r="W26" s="2063"/>
      <c r="X26" s="2063"/>
      <c r="Y26" s="2063"/>
    </row>
    <row r="27" spans="1:25" ht="18" customHeight="1">
      <c r="A27" s="801" t="s">
        <v>1882</v>
      </c>
      <c r="B27" s="782" t="s">
        <v>684</v>
      </c>
      <c r="C27" s="51"/>
      <c r="D27" s="259" t="s">
        <v>685</v>
      </c>
      <c r="E27" s="1982"/>
      <c r="F27" s="54"/>
      <c r="G27" s="1591"/>
      <c r="H27" s="795" t="s">
        <v>1829</v>
      </c>
      <c r="I27" s="3033" t="s">
        <v>2825</v>
      </c>
      <c r="J27" s="797">
        <f ca="1">J7-J18</f>
        <v>0</v>
      </c>
      <c r="K27" s="1979" t="s">
        <v>700</v>
      </c>
      <c r="L27" s="1981"/>
      <c r="M27" s="818"/>
    </row>
    <row r="28" spans="1:25" ht="18" customHeight="1">
      <c r="A28" s="801" t="s">
        <v>1876</v>
      </c>
      <c r="B28" s="782" t="s">
        <v>2442</v>
      </c>
      <c r="C28" s="51">
        <f ca="1">ROUND((C21+C22)*F28,0)</f>
        <v>0</v>
      </c>
      <c r="D28" s="810" t="s">
        <v>701</v>
      </c>
      <c r="E28" s="793" t="s">
        <v>702</v>
      </c>
      <c r="F28" s="792">
        <f ca="1">INDIRECT("'数据-取费表'!q"&amp;$G$1)</f>
        <v>0</v>
      </c>
      <c r="G28" s="1591"/>
      <c r="H28" s="779" t="s">
        <v>1838</v>
      </c>
      <c r="I28" s="780" t="s">
        <v>703</v>
      </c>
      <c r="J28" s="781">
        <f ca="1">IF(J7&lt;&gt;0,ROUND(J27*(1-((1+M30)/(1+M28))^M29)/(M28-M30),0),0)</f>
        <v>0</v>
      </c>
      <c r="K28" s="812" t="s">
        <v>704</v>
      </c>
      <c r="L28" s="782" t="s">
        <v>705</v>
      </c>
      <c r="M28" s="792">
        <f ca="1">INDIRECT("'数据-取费表'!I"&amp;$G$1)</f>
        <v>0</v>
      </c>
    </row>
    <row r="29" spans="1:25" ht="18" customHeight="1">
      <c r="A29" s="801" t="s">
        <v>1850</v>
      </c>
      <c r="B29" s="782" t="s">
        <v>686</v>
      </c>
      <c r="C29" s="51">
        <f ca="1">ROUND(F23*F28,4)</f>
        <v>0</v>
      </c>
      <c r="D29" s="810" t="s">
        <v>706</v>
      </c>
      <c r="E29" s="804"/>
      <c r="F29" s="805"/>
      <c r="G29" s="1591"/>
      <c r="H29" s="784"/>
      <c r="I29" s="785"/>
      <c r="J29" s="786"/>
      <c r="K29" s="819" t="s">
        <v>707</v>
      </c>
      <c r="L29" s="782" t="s">
        <v>708</v>
      </c>
      <c r="M29" s="820">
        <f ca="1">INDIRECT("'数据-取费表'!ag"&amp;$G$1)</f>
        <v>0</v>
      </c>
    </row>
    <row r="30" spans="1:25" s="2064" customFormat="1" ht="18" customHeight="1">
      <c r="A30" s="801" t="s">
        <v>1883</v>
      </c>
      <c r="B30" s="782" t="s">
        <v>687</v>
      </c>
      <c r="C30" s="51">
        <f>ROUND(F30/(1+'数据-取费表'!C42),4)</f>
        <v>5.33E-2</v>
      </c>
      <c r="D30" s="810" t="s">
        <v>709</v>
      </c>
      <c r="E30" s="782" t="s">
        <v>649</v>
      </c>
      <c r="F30" s="807">
        <f>'数据-取费表'!B41</f>
        <v>5.6000000000000001E-2</v>
      </c>
      <c r="G30" s="1592"/>
      <c r="H30" s="788"/>
      <c r="I30" s="789"/>
      <c r="J30" s="790"/>
      <c r="K30" s="814"/>
      <c r="L30" s="782" t="s">
        <v>710</v>
      </c>
      <c r="M30" s="792">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2" t="s">
        <v>1884</v>
      </c>
      <c r="B31" s="2563" t="s">
        <v>2826</v>
      </c>
      <c r="C31" s="2566">
        <f ca="1">ROUND((C21+C22+C25+C28)/(1-F23-C26-C29-C30),0)</f>
        <v>0</v>
      </c>
      <c r="D31" s="2567"/>
      <c r="E31" s="2568"/>
      <c r="F31" s="2569"/>
      <c r="G31" s="1592"/>
      <c r="H31" s="821" t="s">
        <v>1873</v>
      </c>
      <c r="I31" s="3034" t="s">
        <v>2827</v>
      </c>
      <c r="J31" s="823">
        <f ca="1">ROUND(J28/(1+F45)^F46,0)</f>
        <v>0</v>
      </c>
      <c r="K31" s="824" t="s">
        <v>688</v>
      </c>
      <c r="L31" s="825"/>
      <c r="M31" s="826">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0">
        <f ca="1">ROUND(C33+C38+C39+C40,0)</f>
        <v>0</v>
      </c>
      <c r="D32" s="1821" t="s">
        <v>652</v>
      </c>
      <c r="E32" s="2509"/>
      <c r="F32" s="2513"/>
      <c r="G32" s="2062"/>
      <c r="H32" s="2065"/>
      <c r="I32" s="2066"/>
      <c r="J32" s="2067"/>
      <c r="K32" s="2068"/>
      <c r="L32" s="2069"/>
      <c r="M32" s="2070"/>
    </row>
    <row r="33" spans="1:18" ht="18" customHeight="1">
      <c r="A33" s="801" t="s">
        <v>1877</v>
      </c>
      <c r="B33" s="782" t="s">
        <v>656</v>
      </c>
      <c r="C33" s="51">
        <f ca="1">ROUND(IF(项目基本情况!B11="自然人",C7*F33,C34+C35+C36),1)</f>
        <v>0</v>
      </c>
      <c r="D33" s="1979" t="s">
        <v>657</v>
      </c>
      <c r="E33" s="1977" t="s">
        <v>690</v>
      </c>
      <c r="F33" s="808" t="str">
        <f ca="1">IF(项目基本情况!B11="企业","",IF(INDIRECT("'数据-取费表'!c"&amp;$G$1)="住宅",5%,IF(F8*F9*F10/12/(1+'数据-取费表'!C42)&gt;20000,12%,7%)))</f>
        <v/>
      </c>
      <c r="G33" s="2062"/>
      <c r="H33" s="2065"/>
      <c r="I33" s="2066"/>
      <c r="J33" s="2067"/>
      <c r="K33" s="2068"/>
      <c r="L33" s="2069"/>
      <c r="M33" s="2070"/>
    </row>
    <row r="34" spans="1:18" ht="18" customHeight="1">
      <c r="A34" s="801" t="s">
        <v>1876</v>
      </c>
      <c r="B34" s="782" t="s">
        <v>660</v>
      </c>
      <c r="C34" s="51">
        <f ca="1">ROUND(C7*F34/1.05,1)</f>
        <v>0</v>
      </c>
      <c r="D34" s="1977" t="s">
        <v>661</v>
      </c>
      <c r="E34" s="782" t="s">
        <v>649</v>
      </c>
      <c r="F34" s="807">
        <f>'数据-取费表'!B41</f>
        <v>5.6000000000000001E-2</v>
      </c>
      <c r="G34" s="2062"/>
      <c r="H34" s="2071"/>
      <c r="I34" s="2072"/>
      <c r="J34" s="2073"/>
      <c r="K34" s="2074"/>
      <c r="L34" s="2075"/>
      <c r="M34" s="2076"/>
    </row>
    <row r="35" spans="1:18" ht="18" customHeight="1">
      <c r="A35" s="801" t="s">
        <v>1850</v>
      </c>
      <c r="B35" s="782" t="s">
        <v>664</v>
      </c>
      <c r="C35" s="51">
        <f ca="1">IF(D35="按租金收入计税",ROUND(C7*F35,1),IF(D35="按房产原值计税",ROUND(C31*F35*0.7,1),INDIRECT("'数据-取费表'!Aj"&amp;$G$1)))</f>
        <v>0</v>
      </c>
      <c r="D35" s="809" t="s">
        <v>1681</v>
      </c>
      <c r="E35" s="782" t="s">
        <v>649</v>
      </c>
      <c r="F35" s="807">
        <f>IF(D35="按租金收入计税",'数据-取费表'!B51,'数据-取费表'!B50)</f>
        <v>1.2E-2</v>
      </c>
      <c r="G35" s="2062"/>
      <c r="H35" s="2077"/>
      <c r="I35" s="2077"/>
      <c r="J35" s="2077"/>
      <c r="K35" s="2078"/>
      <c r="L35" s="2077"/>
      <c r="M35" s="2077"/>
    </row>
    <row r="36" spans="1:18" ht="18" customHeight="1">
      <c r="A36" s="811" t="s">
        <v>1881</v>
      </c>
      <c r="B36" s="339" t="s">
        <v>668</v>
      </c>
      <c r="C36" s="52">
        <f ca="1">ROUND(F36*F37/10000,1)</f>
        <v>0</v>
      </c>
      <c r="D36" s="812" t="s">
        <v>669</v>
      </c>
      <c r="E36" s="782" t="s">
        <v>670</v>
      </c>
      <c r="F36" s="638">
        <f>'数据-取费表'!B52</f>
        <v>0</v>
      </c>
      <c r="G36" s="2062"/>
      <c r="H36" s="2065"/>
      <c r="I36" s="3569"/>
      <c r="J36" s="2079"/>
      <c r="K36" s="2080"/>
      <c r="L36" s="2079"/>
      <c r="M36" s="2079"/>
    </row>
    <row r="37" spans="1:18" ht="18" customHeight="1">
      <c r="A37" s="813"/>
      <c r="B37" s="791"/>
      <c r="C37" s="67"/>
      <c r="D37" s="814"/>
      <c r="E37" s="782" t="s">
        <v>674</v>
      </c>
      <c r="F37" s="783">
        <f ca="1">INDIRECT("'数据-取费表'!r"&amp;$G$1)</f>
        <v>0</v>
      </c>
      <c r="G37" s="2062"/>
      <c r="H37" s="2065"/>
      <c r="I37" s="3569"/>
      <c r="J37" s="2077"/>
      <c r="K37" s="2078"/>
      <c r="L37" s="2077"/>
      <c r="M37" s="2077"/>
    </row>
    <row r="38" spans="1:18" ht="18" customHeight="1">
      <c r="A38" s="801" t="s">
        <v>1878</v>
      </c>
      <c r="B38" s="782" t="s">
        <v>676</v>
      </c>
      <c r="C38" s="51">
        <f ca="1">ROUND(C31*F38,1)</f>
        <v>0</v>
      </c>
      <c r="D38" s="1977" t="s">
        <v>691</v>
      </c>
      <c r="E38" s="782" t="s">
        <v>649</v>
      </c>
      <c r="F38" s="815">
        <f ca="1">INDIRECT("'数据-取费表'!Ak"&amp;$G$1)</f>
        <v>0</v>
      </c>
      <c r="G38" s="2062"/>
      <c r="H38" s="2077"/>
      <c r="I38" s="2081"/>
      <c r="J38" s="1988"/>
      <c r="K38" s="2082"/>
      <c r="L38" s="2077"/>
      <c r="M38" s="2077"/>
    </row>
    <row r="39" spans="1:18" ht="18" customHeight="1">
      <c r="A39" s="801" t="s">
        <v>1879</v>
      </c>
      <c r="B39" s="782" t="s">
        <v>679</v>
      </c>
      <c r="C39" s="51">
        <f ca="1">ROUND(C15*F39,1)</f>
        <v>0</v>
      </c>
      <c r="D39" s="1977" t="s">
        <v>680</v>
      </c>
      <c r="E39" s="782" t="s">
        <v>649</v>
      </c>
      <c r="F39" s="816">
        <f ca="1">INDIRECT("'数据-取费表'!Al"&amp;$G$1)</f>
        <v>0</v>
      </c>
      <c r="G39" s="2062"/>
      <c r="H39" s="2077"/>
      <c r="I39" s="2081"/>
      <c r="J39" s="1988"/>
      <c r="K39" s="2082"/>
      <c r="L39" s="2077"/>
      <c r="M39" s="2077"/>
    </row>
    <row r="40" spans="1:18" ht="18" customHeight="1" thickBot="1">
      <c r="A40" s="2582" t="s">
        <v>1880</v>
      </c>
      <c r="B40" s="2568" t="s">
        <v>666</v>
      </c>
      <c r="C40" s="2566">
        <f ca="1">ROUND(C7*F40,1)</f>
        <v>0</v>
      </c>
      <c r="D40" s="2567" t="s">
        <v>683</v>
      </c>
      <c r="E40" s="2568" t="s">
        <v>649</v>
      </c>
      <c r="F40" s="2564">
        <f ca="1">INDIRECT("'数据-取费表'!Am"&amp;$G$1)</f>
        <v>0</v>
      </c>
      <c r="G40" s="2062"/>
      <c r="H40" s="2077"/>
      <c r="I40" s="2081"/>
      <c r="J40" s="1988"/>
      <c r="K40" s="2083"/>
      <c r="L40" s="2077"/>
      <c r="M40" s="2077"/>
    </row>
    <row r="41" spans="1:18" ht="18" customHeight="1" thickTop="1">
      <c r="A41" s="1829">
        <v>4</v>
      </c>
      <c r="B41" s="1827" t="s">
        <v>692</v>
      </c>
      <c r="C41" s="1351"/>
      <c r="D41" s="1352"/>
      <c r="E41" s="1352"/>
      <c r="F41" s="1353"/>
      <c r="G41" s="2062"/>
      <c r="H41" s="2062"/>
      <c r="I41" s="2062"/>
      <c r="J41" s="2062"/>
      <c r="K41" s="2083"/>
      <c r="L41" s="2062"/>
      <c r="M41" s="2062"/>
    </row>
    <row r="42" spans="1:18" ht="18" customHeight="1">
      <c r="A42" s="801" t="s">
        <v>1877</v>
      </c>
      <c r="B42" s="833" t="s">
        <v>693</v>
      </c>
      <c r="C42" s="827">
        <f ca="1">C7-C32</f>
        <v>0</v>
      </c>
      <c r="D42" s="1979" t="s">
        <v>694</v>
      </c>
      <c r="E42" s="1981"/>
      <c r="F42" s="818"/>
      <c r="G42" s="2062"/>
      <c r="H42" s="2062"/>
      <c r="I42" s="2062"/>
      <c r="J42" s="2062"/>
      <c r="K42" s="2083"/>
      <c r="L42" s="2062"/>
      <c r="M42" s="2062"/>
    </row>
    <row r="43" spans="1:18" ht="18" customHeight="1">
      <c r="A43" s="801" t="s">
        <v>1878</v>
      </c>
      <c r="B43" s="833" t="s">
        <v>711</v>
      </c>
      <c r="C43" s="834">
        <f ca="1">ROUND(C15*F43,0)</f>
        <v>0</v>
      </c>
      <c r="D43" s="1354" t="s">
        <v>712</v>
      </c>
      <c r="E43" s="3151" t="s">
        <v>2964</v>
      </c>
      <c r="F43" s="3152">
        <f ca="1">INDIRECT("'数据-取费表'!j"&amp;$G$1)</f>
        <v>0</v>
      </c>
      <c r="G43" s="2062"/>
      <c r="H43" s="2062"/>
      <c r="I43" s="2062"/>
      <c r="J43" s="2062"/>
      <c r="K43" s="2083"/>
      <c r="L43" s="2062"/>
      <c r="M43" s="2062"/>
    </row>
    <row r="44" spans="1:18" ht="18" customHeight="1">
      <c r="A44" s="801" t="s">
        <v>1879</v>
      </c>
      <c r="B44" s="833" t="s">
        <v>713</v>
      </c>
      <c r="C44" s="1355">
        <f ca="1">C42-C43</f>
        <v>0</v>
      </c>
      <c r="D44" s="461" t="s">
        <v>714</v>
      </c>
      <c r="E44" s="462"/>
      <c r="F44" s="463"/>
      <c r="G44" s="2062"/>
      <c r="H44" s="2062"/>
      <c r="I44" s="2062"/>
      <c r="J44" s="2062"/>
      <c r="K44" s="2083"/>
      <c r="L44" s="2062"/>
      <c r="M44" s="2062"/>
    </row>
    <row r="45" spans="1:18" ht="18" customHeight="1">
      <c r="A45" s="801" t="s">
        <v>1880</v>
      </c>
      <c r="B45" s="1354" t="s">
        <v>715</v>
      </c>
      <c r="C45" s="3060">
        <f ca="1">ROUND(-PV(F45,F46,C44,0),0)</f>
        <v>0</v>
      </c>
      <c r="D45" s="1356" t="s">
        <v>716</v>
      </c>
      <c r="E45" s="804" t="s">
        <v>717</v>
      </c>
      <c r="F45" s="828">
        <f ca="1">INDIRECT("'数据-取费表'!h"&amp;$G$1)</f>
        <v>0</v>
      </c>
      <c r="G45" s="2062"/>
      <c r="H45" s="2062"/>
      <c r="I45" s="2062"/>
      <c r="J45" s="2062"/>
      <c r="K45" s="2083"/>
      <c r="L45" s="2062"/>
      <c r="M45" s="2062"/>
    </row>
    <row r="46" spans="1:18" ht="18" customHeight="1" thickBot="1">
      <c r="A46" s="829"/>
      <c r="B46" s="1357"/>
      <c r="C46" s="1358"/>
      <c r="D46" s="1359"/>
      <c r="E46" s="3153" t="s">
        <v>2967</v>
      </c>
      <c r="F46" s="826">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2381" t="e">
        <f ca="1">IF(M48="住宅",0,IF(L49&gt;J52,L61,J61))</f>
        <v>#DIV/0!</v>
      </c>
      <c r="O47" s="2418" t="s">
        <v>2414</v>
      </c>
      <c r="P47" s="1591"/>
      <c r="Q47" s="1603"/>
      <c r="R47" s="1591"/>
    </row>
    <row r="48" spans="1:18" s="2059" customFormat="1" ht="18" customHeight="1" thickBot="1">
      <c r="A48" s="2084"/>
      <c r="C48" s="2087"/>
      <c r="D48" s="2088"/>
      <c r="E48" s="2088"/>
      <c r="F48" s="2089"/>
      <c r="G48" s="2090"/>
      <c r="I48" s="2382" t="s">
        <v>2347</v>
      </c>
      <c r="J48" s="2387"/>
      <c r="K48" s="2388" t="s">
        <v>2353</v>
      </c>
      <c r="L48" s="2389">
        <f ca="1">INDIRECT("'数据-取费表'!d"&amp;$G$1)</f>
        <v>50</v>
      </c>
      <c r="M48" s="3148" t="str">
        <f>IF(ISNUMBER(FIND("住宅",C1)),"住宅","非住宅")</f>
        <v>非住宅</v>
      </c>
      <c r="O48" s="2419" t="s">
        <v>2379</v>
      </c>
      <c r="P48" s="2420" t="s">
        <v>2380</v>
      </c>
      <c r="Q48" s="2421" t="s">
        <v>2381</v>
      </c>
      <c r="R48" s="2420" t="s">
        <v>2382</v>
      </c>
    </row>
    <row r="49" spans="1:18" s="2059" customFormat="1" ht="18" customHeight="1" thickBot="1">
      <c r="A49" s="2084"/>
      <c r="D49" s="2091"/>
      <c r="E49" s="2092"/>
      <c r="F49" s="2089"/>
      <c r="G49" s="2090"/>
      <c r="H49" s="2093"/>
      <c r="I49" s="2383" t="s">
        <v>2348</v>
      </c>
      <c r="J49" s="2390"/>
      <c r="K49" s="2391" t="s">
        <v>2355</v>
      </c>
      <c r="L49" s="2392">
        <f ca="1">INDIRECT("'数据-取费表'!f"&amp;$G$1)</f>
        <v>50</v>
      </c>
      <c r="O49" s="2422" t="s">
        <v>2383</v>
      </c>
      <c r="P49" s="2423" t="s">
        <v>2409</v>
      </c>
      <c r="Q49" s="2424">
        <f ca="1">C41+J31</f>
        <v>0</v>
      </c>
      <c r="R49" s="2423" t="s">
        <v>2384</v>
      </c>
    </row>
    <row r="50" spans="1:18" s="2059" customFormat="1" ht="18" customHeight="1" thickBot="1">
      <c r="A50" s="2084"/>
      <c r="D50" s="2094"/>
      <c r="E50" s="2094"/>
      <c r="F50" s="2088"/>
      <c r="G50" s="2095"/>
      <c r="H50" s="2093"/>
      <c r="I50" s="2383" t="s">
        <v>2349</v>
      </c>
      <c r="J50" s="2393"/>
      <c r="K50" s="2394" t="s">
        <v>2356</v>
      </c>
      <c r="L50" s="2395"/>
      <c r="O50" s="2422" t="s">
        <v>2385</v>
      </c>
      <c r="P50" s="2423" t="s">
        <v>2410</v>
      </c>
      <c r="Q50" s="2424" t="str">
        <f ca="1">J61</f>
        <v>0</v>
      </c>
      <c r="R50" s="2423" t="s">
        <v>2386</v>
      </c>
    </row>
    <row r="51" spans="1:18" s="2059" customFormat="1" ht="18" customHeight="1" thickBot="1">
      <c r="A51" s="2096"/>
      <c r="D51" s="2094"/>
      <c r="E51" s="2094"/>
      <c r="F51" s="2085"/>
      <c r="H51" s="2093"/>
      <c r="I51" s="2383" t="s">
        <v>2350</v>
      </c>
      <c r="J51" s="2396">
        <f>SUMPRODUCT((I64:I66=J48)*(J63:L63=J49)*(J64:L66))</f>
        <v>0</v>
      </c>
      <c r="K51" s="2394" t="s">
        <v>2357</v>
      </c>
      <c r="L51" s="2395"/>
      <c r="O51" s="2425" t="s">
        <v>2387</v>
      </c>
      <c r="P51" s="2423" t="s">
        <v>2411</v>
      </c>
      <c r="Q51" s="2424">
        <f ca="1">C31</f>
        <v>0</v>
      </c>
      <c r="R51" s="2423" t="s">
        <v>2384</v>
      </c>
    </row>
    <row r="52" spans="1:18" s="2059" customFormat="1" ht="18" customHeight="1" thickBot="1">
      <c r="A52" s="2096"/>
      <c r="F52" s="2085"/>
      <c r="I52" s="2384" t="s">
        <v>2351</v>
      </c>
      <c r="J52" s="2397">
        <f>IF(J50="",J51,J50+J51-YEAR('数据-取费表'!B3))</f>
        <v>0</v>
      </c>
      <c r="K52" s="2383" t="s">
        <v>2358</v>
      </c>
      <c r="L52" s="2398">
        <f ca="1">ROUND(-PV(INDIRECT("'数据-取费表'!h"&amp;$G$1),L49,(C40-C14*J36),0),0)</f>
        <v>0</v>
      </c>
      <c r="O52" s="2425" t="s">
        <v>2388</v>
      </c>
      <c r="P52" s="2423" t="s">
        <v>2389</v>
      </c>
      <c r="Q52" s="2426" t="e">
        <f ca="1">J59</f>
        <v>#VALUE!</v>
      </c>
      <c r="R52" s="2427"/>
    </row>
    <row r="53" spans="1:18" s="2059" customFormat="1" ht="18" customHeight="1" thickBot="1">
      <c r="A53" s="2096"/>
      <c r="F53" s="2085"/>
      <c r="I53" s="2385" t="s">
        <v>2425</v>
      </c>
      <c r="J53" s="2399"/>
      <c r="K53" s="2385" t="s">
        <v>2424</v>
      </c>
      <c r="L53" s="2399"/>
      <c r="O53" s="2425" t="s">
        <v>2390</v>
      </c>
      <c r="P53" s="2423" t="s">
        <v>2391</v>
      </c>
      <c r="Q53" s="2426">
        <f>J53</f>
        <v>0</v>
      </c>
      <c r="R53" s="2427"/>
    </row>
    <row r="54" spans="1:18" s="2059" customFormat="1" ht="43.5" thickBot="1">
      <c r="A54" s="2096"/>
      <c r="I54" s="2386" t="s">
        <v>2352</v>
      </c>
      <c r="J54" s="2400">
        <f ca="1">IF(M48="住宅",J52,IF(J52&gt;L49,L49-'数据-取费表'!B25,J52))</f>
        <v>0</v>
      </c>
      <c r="K54" s="3574"/>
      <c r="L54" s="3575"/>
      <c r="O54" s="2425" t="s">
        <v>2392</v>
      </c>
      <c r="P54" s="2423" t="s">
        <v>2393</v>
      </c>
      <c r="Q54" s="2424">
        <f ca="1">J54</f>
        <v>0</v>
      </c>
      <c r="R54" s="2423" t="s">
        <v>2394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2395</v>
      </c>
      <c r="P55" s="2423" t="s">
        <v>2412</v>
      </c>
      <c r="Q55" s="2424">
        <f ca="1">Q49+Q50</f>
        <v>0</v>
      </c>
      <c r="R55" s="2427" t="s">
        <v>2396</v>
      </c>
    </row>
    <row r="56" spans="1:18" s="2059" customFormat="1" ht="16.5" thickBot="1">
      <c r="A56" s="2096"/>
      <c r="B56" s="2097"/>
      <c r="C56" s="2097"/>
      <c r="I56" s="3125" t="s">
        <v>2359</v>
      </c>
      <c r="J56" s="3149" t="e">
        <f ca="1">ROUND(IF(J48="钢混",J58/J51,1-(1-2%)*(J51-J58)/J51),3)</f>
        <v>#VALUE!</v>
      </c>
      <c r="K56" s="2401" t="s">
        <v>2360</v>
      </c>
      <c r="L56" s="2402"/>
      <c r="O56" s="2428" t="s">
        <v>2415</v>
      </c>
      <c r="P56" s="1591"/>
      <c r="Q56" s="1603"/>
      <c r="R56" s="1591"/>
    </row>
    <row r="57" spans="1:18" s="2059" customFormat="1" ht="43.5" thickBot="1">
      <c r="A57" s="2096"/>
      <c r="B57" s="2097"/>
      <c r="C57" s="2097"/>
      <c r="I57" s="2403" t="s">
        <v>2361</v>
      </c>
      <c r="J57" s="3148" t="s">
        <v>1679</v>
      </c>
      <c r="K57" s="2383" t="s">
        <v>2366</v>
      </c>
      <c r="L57" s="2392">
        <f ca="1">IF(L49&lt;J52,"——",L49-J52)</f>
        <v>50</v>
      </c>
      <c r="O57" s="2419" t="s">
        <v>2379</v>
      </c>
      <c r="P57" s="2420" t="s">
        <v>2380</v>
      </c>
      <c r="Q57" s="2421" t="s">
        <v>2381</v>
      </c>
      <c r="R57" s="2420" t="s">
        <v>2382</v>
      </c>
    </row>
    <row r="58" spans="1:18" s="2059" customFormat="1" ht="29.25" thickBot="1">
      <c r="A58" s="2096"/>
      <c r="B58" s="2097"/>
      <c r="C58" s="2097"/>
      <c r="I58" s="2404" t="s">
        <v>2362</v>
      </c>
      <c r="J58" s="2406" t="str">
        <f ca="1">IF(OR(M48="住宅",J52&lt;L49,J57="是"),"——",J52-L49)</f>
        <v>——</v>
      </c>
      <c r="K58" s="2383" t="s">
        <v>2367</v>
      </c>
      <c r="L58" s="2392">
        <f ca="1">IF(L49&lt;J52,"——",IF(L56="比较法",L50,IF(L56="基准地价",L51,L52)))</f>
        <v>0</v>
      </c>
      <c r="O58" s="2422" t="s">
        <v>2383</v>
      </c>
      <c r="P58" s="2423" t="s">
        <v>2409</v>
      </c>
      <c r="Q58" s="2424">
        <f ca="1">C41+J31</f>
        <v>0</v>
      </c>
      <c r="R58" s="2423" t="s">
        <v>2384</v>
      </c>
    </row>
    <row r="59" spans="1:18" s="2059" customFormat="1" ht="29.25" thickBot="1">
      <c r="A59" s="2096"/>
      <c r="B59" s="2097"/>
      <c r="C59" s="2097"/>
      <c r="I59" s="2404" t="s">
        <v>2363</v>
      </c>
      <c r="J59" s="3150" t="e">
        <f ca="1">IF(J56&lt;0.4,0.4,J56)</f>
        <v>#VALUE!</v>
      </c>
      <c r="K59" s="2383" t="s">
        <v>2368</v>
      </c>
      <c r="L59" s="2392">
        <f ca="1">IF(ISERROR(POWER(1+L53,L48-L49)*(POWER(1+L53,L49)-1)/(POWER(1+L53,L48)-1)),0,POWER(1+L53,L48-L49)*(POWER(1+L53,L49)-1)/(POWER(1+L53,L48)-1))</f>
        <v>0</v>
      </c>
      <c r="O59" s="2422" t="s">
        <v>2385</v>
      </c>
      <c r="P59" s="2423" t="s">
        <v>2416</v>
      </c>
      <c r="Q59" s="2424" t="e">
        <f ca="1">L61</f>
        <v>#DIV/0!</v>
      </c>
      <c r="R59" s="2427" t="s">
        <v>2418</v>
      </c>
    </row>
    <row r="60" spans="1:18" s="2059" customFormat="1" ht="29.25" thickBot="1">
      <c r="A60" s="2096"/>
      <c r="B60" s="2097"/>
      <c r="C60" s="2097"/>
      <c r="I60" s="2404" t="s">
        <v>2364</v>
      </c>
      <c r="J60" s="2406" t="str">
        <f ca="1">IF(OR(M48="住宅",J52&lt;L49,J57="是"),"——",ROUND(C30*J59,0))</f>
        <v>——</v>
      </c>
      <c r="K60" s="2383" t="s">
        <v>2369</v>
      </c>
      <c r="L60" s="2392">
        <f ca="1">IF(ISERROR(POWER(1+L53,L48-J52)*(POWER(1+L53,J52)-1)/(POWER(1+L53,L48)-1)),0,POWER(1+L53,L48-J52)*(POWER(1+L53,J52)-1)/(POWER(1+L53,L48)-1))</f>
        <v>0</v>
      </c>
      <c r="O60" s="2425" t="s">
        <v>2387</v>
      </c>
      <c r="P60" s="2423" t="s">
        <v>2417</v>
      </c>
      <c r="Q60" s="2424">
        <f>IF(L56="比较法",L50,IF(L56="基准地价",L51,0))</f>
        <v>0</v>
      </c>
      <c r="R60" s="2423" t="s">
        <v>2384</v>
      </c>
    </row>
    <row r="61" spans="1:18" s="2059" customFormat="1" ht="15.75" thickBot="1">
      <c r="A61" s="2096"/>
      <c r="B61" s="2097"/>
      <c r="C61" s="2097"/>
      <c r="I61" s="2405" t="s">
        <v>2365</v>
      </c>
      <c r="J61" s="2407" t="str">
        <f ca="1">IF(OR(M48="住宅",J52&lt;L49,J57="是"),"0",ROUND(J60/(1+J53)^J54,0))</f>
        <v>0</v>
      </c>
      <c r="K61" s="2408" t="s">
        <v>2370</v>
      </c>
      <c r="L61" s="2407" t="e">
        <f ca="1">IF(OR(M48="住宅",L49&lt;J52),0,ROUND(L58*(L59/L60-1),0))</f>
        <v>#DIV/0!</v>
      </c>
      <c r="O61" s="2425" t="s">
        <v>2388</v>
      </c>
      <c r="P61" s="2423" t="s">
        <v>2397</v>
      </c>
      <c r="Q61" s="2426">
        <f>L53</f>
        <v>0</v>
      </c>
      <c r="R61" s="2427"/>
    </row>
    <row r="62" spans="1:18" s="2059" customFormat="1" ht="20.25" thickBot="1">
      <c r="A62" s="2096"/>
      <c r="B62" s="2097"/>
      <c r="C62" s="2097"/>
      <c r="K62" s="2086"/>
      <c r="O62" s="2425" t="s">
        <v>2390</v>
      </c>
      <c r="P62" s="2423" t="s">
        <v>2398</v>
      </c>
      <c r="Q62" s="2424">
        <f ca="1">L59</f>
        <v>0</v>
      </c>
      <c r="R62" s="2427" t="s">
        <v>2399</v>
      </c>
    </row>
    <row r="63" spans="1:18" s="2059" customFormat="1" ht="20.25" thickBot="1">
      <c r="A63" s="2096"/>
      <c r="B63" s="2097"/>
      <c r="C63" s="2097"/>
      <c r="I63" s="2409" t="s">
        <v>2371</v>
      </c>
      <c r="J63" s="2410" t="s">
        <v>2372</v>
      </c>
      <c r="K63" s="2410" t="s">
        <v>2373</v>
      </c>
      <c r="L63" s="2410" t="s">
        <v>2354</v>
      </c>
      <c r="M63" s="3127" t="s">
        <v>2943</v>
      </c>
      <c r="O63" s="2425" t="s">
        <v>2392</v>
      </c>
      <c r="P63" s="2423" t="s">
        <v>2400</v>
      </c>
      <c r="Q63" s="2424">
        <f ca="1">L60</f>
        <v>0</v>
      </c>
      <c r="R63" s="2427" t="s">
        <v>2401</v>
      </c>
    </row>
    <row r="64" spans="1:18" s="2059" customFormat="1" ht="15.75" thickBot="1">
      <c r="A64" s="2096"/>
      <c r="B64" s="2097"/>
      <c r="C64" s="2097"/>
      <c r="I64" s="2409" t="s">
        <v>2374</v>
      </c>
      <c r="J64" s="2410">
        <v>70</v>
      </c>
      <c r="K64" s="2410">
        <v>50</v>
      </c>
      <c r="L64" s="2410">
        <v>80</v>
      </c>
      <c r="M64" s="3128">
        <v>0.02</v>
      </c>
      <c r="O64" s="2422" t="s">
        <v>2395</v>
      </c>
      <c r="P64" s="2423" t="s">
        <v>2412</v>
      </c>
      <c r="Q64" s="2424" t="e">
        <f ca="1">Q58+Q59</f>
        <v>#DIV/0!</v>
      </c>
      <c r="R64" s="2427" t="s">
        <v>2396</v>
      </c>
    </row>
    <row r="65" spans="1:18" s="2059" customFormat="1" ht="16.5" thickBot="1">
      <c r="A65" s="2096"/>
      <c r="B65" s="2097"/>
      <c r="C65" s="2097"/>
      <c r="I65" s="2409" t="s">
        <v>2375</v>
      </c>
      <c r="J65" s="2410">
        <v>50</v>
      </c>
      <c r="K65" s="2410">
        <v>35</v>
      </c>
      <c r="L65" s="2410">
        <v>60</v>
      </c>
      <c r="M65" s="3129">
        <v>0</v>
      </c>
      <c r="O65" s="2428" t="s">
        <v>2419</v>
      </c>
      <c r="P65" s="1591"/>
      <c r="Q65" s="1603"/>
      <c r="R65" s="1591"/>
    </row>
    <row r="66" spans="1:18" s="2059" customFormat="1" ht="15.75" thickBot="1">
      <c r="A66" s="2096"/>
      <c r="B66" s="2097"/>
      <c r="C66" s="2097"/>
      <c r="I66" s="2409" t="s">
        <v>2376</v>
      </c>
      <c r="J66" s="2410">
        <v>40</v>
      </c>
      <c r="K66" s="2410">
        <v>30</v>
      </c>
      <c r="L66" s="2410">
        <v>50</v>
      </c>
      <c r="M66" s="3128">
        <v>0.02</v>
      </c>
      <c r="O66" s="2419" t="s">
        <v>2379</v>
      </c>
      <c r="P66" s="2420" t="s">
        <v>2380</v>
      </c>
      <c r="Q66" s="2421" t="s">
        <v>2381</v>
      </c>
      <c r="R66" s="2420" t="s">
        <v>2382</v>
      </c>
    </row>
    <row r="67" spans="1:18" s="2059" customFormat="1" ht="15.75" thickBot="1">
      <c r="A67" s="2096"/>
      <c r="B67" s="2097"/>
      <c r="C67" s="2097"/>
      <c r="K67" s="2086"/>
      <c r="O67" s="2422" t="s">
        <v>2383</v>
      </c>
      <c r="P67" s="2423" t="s">
        <v>2409</v>
      </c>
      <c r="Q67" s="2424">
        <f ca="1">C41+J31</f>
        <v>0</v>
      </c>
      <c r="R67" s="2423" t="s">
        <v>2384</v>
      </c>
    </row>
    <row r="68" spans="1:18" s="2059" customFormat="1" ht="20.25" thickBot="1">
      <c r="A68" s="2096"/>
      <c r="B68" s="2097"/>
      <c r="C68" s="2097"/>
      <c r="K68" s="2086"/>
      <c r="O68" s="2422" t="s">
        <v>2385</v>
      </c>
      <c r="P68" s="2423" t="s">
        <v>2416</v>
      </c>
      <c r="Q68" s="2424" t="e">
        <f ca="1">L61</f>
        <v>#DIV/0!</v>
      </c>
      <c r="R68" s="2427" t="s">
        <v>2418</v>
      </c>
    </row>
    <row r="69" spans="1:18" s="2059" customFormat="1" ht="21.75" thickBot="1">
      <c r="A69" s="2096"/>
      <c r="B69" s="2097"/>
      <c r="C69" s="2097"/>
      <c r="K69" s="2086"/>
      <c r="O69" s="2425" t="s">
        <v>2387</v>
      </c>
      <c r="P69" s="2423" t="s">
        <v>2417</v>
      </c>
      <c r="Q69" s="2429">
        <f ca="1">L52</f>
        <v>0</v>
      </c>
      <c r="R69" s="2430" t="s">
        <v>2420</v>
      </c>
    </row>
    <row r="70" spans="1:18" s="2059" customFormat="1" ht="20.25" thickBot="1">
      <c r="A70" s="2096"/>
      <c r="B70" s="2097"/>
      <c r="C70" s="2097"/>
      <c r="K70" s="2086"/>
      <c r="O70" s="2425" t="s">
        <v>2388</v>
      </c>
      <c r="P70" s="2431" t="s">
        <v>2402</v>
      </c>
      <c r="Q70" s="2424">
        <f ca="1">ROUND(Q71-Q72*Q73,0)</f>
        <v>0</v>
      </c>
      <c r="R70" s="2427"/>
    </row>
    <row r="71" spans="1:18" s="2059" customFormat="1" ht="15.75" thickBot="1">
      <c r="A71" s="2096"/>
      <c r="B71" s="2097"/>
      <c r="C71" s="2097"/>
      <c r="K71" s="2086"/>
      <c r="O71" s="2425" t="s">
        <v>2403</v>
      </c>
      <c r="P71" s="2431" t="s">
        <v>2404</v>
      </c>
      <c r="Q71" s="2424">
        <f ca="1">C42</f>
        <v>0</v>
      </c>
      <c r="R71" s="2423" t="s">
        <v>2384</v>
      </c>
    </row>
    <row r="72" spans="1:18" s="2059" customFormat="1" ht="15.75" thickBot="1">
      <c r="A72" s="2096"/>
      <c r="B72" s="2097"/>
      <c r="C72" s="2097"/>
      <c r="K72" s="2086"/>
      <c r="O72" s="2425" t="s">
        <v>2405</v>
      </c>
      <c r="P72" s="2431" t="s">
        <v>2406</v>
      </c>
      <c r="Q72" s="2424">
        <f ca="1">C15</f>
        <v>0</v>
      </c>
      <c r="R72" s="2423" t="s">
        <v>2384</v>
      </c>
    </row>
    <row r="73" spans="1:18" s="2059" customFormat="1" ht="15.75" thickBot="1">
      <c r="A73" s="2096"/>
      <c r="B73" s="2097"/>
      <c r="C73" s="2097"/>
      <c r="K73" s="2086"/>
      <c r="O73" s="2425" t="s">
        <v>2407</v>
      </c>
      <c r="P73" s="2431" t="s">
        <v>2408</v>
      </c>
      <c r="Q73" s="2426">
        <f ca="1">F43</f>
        <v>0</v>
      </c>
      <c r="R73" s="2427"/>
    </row>
    <row r="74" spans="1:18" s="2059" customFormat="1" ht="15.75" thickBot="1">
      <c r="A74" s="2096"/>
      <c r="B74" s="2097"/>
      <c r="C74" s="2097"/>
      <c r="K74" s="2086"/>
      <c r="O74" s="2425" t="s">
        <v>2390</v>
      </c>
      <c r="P74" s="2423" t="s">
        <v>2397</v>
      </c>
      <c r="Q74" s="2426">
        <f>L53</f>
        <v>0</v>
      </c>
      <c r="R74" s="2427"/>
    </row>
    <row r="75" spans="1:18" s="2059" customFormat="1" ht="20.25" thickBot="1">
      <c r="A75" s="2096"/>
      <c r="B75" s="2097"/>
      <c r="C75" s="2097"/>
      <c r="K75" s="2086"/>
      <c r="O75" s="2425" t="s">
        <v>2392</v>
      </c>
      <c r="P75" s="2423" t="s">
        <v>2398</v>
      </c>
      <c r="Q75" s="2424">
        <f ca="1">L59</f>
        <v>0</v>
      </c>
      <c r="R75" s="2427" t="s">
        <v>2399</v>
      </c>
    </row>
    <row r="76" spans="1:18" s="2059" customFormat="1" ht="20.25" thickBot="1">
      <c r="A76" s="2096"/>
      <c r="B76" s="2097"/>
      <c r="C76" s="2097"/>
      <c r="K76" s="2086"/>
      <c r="O76" s="2425" t="s">
        <v>2421</v>
      </c>
      <c r="P76" s="2423" t="s">
        <v>2400</v>
      </c>
      <c r="Q76" s="2424">
        <f ca="1">L60</f>
        <v>0</v>
      </c>
      <c r="R76" s="2427" t="s">
        <v>2401</v>
      </c>
    </row>
    <row r="77" spans="1:18" s="2059" customFormat="1" ht="15.75" thickBot="1">
      <c r="A77" s="2096"/>
      <c r="B77" s="2097"/>
      <c r="C77" s="2097"/>
      <c r="K77" s="2086"/>
      <c r="O77" s="2422" t="s">
        <v>2395</v>
      </c>
      <c r="P77" s="2423" t="s">
        <v>2412</v>
      </c>
      <c r="Q77" s="2424" t="e">
        <f ca="1">Q67+Q68</f>
        <v>#DIV/0!</v>
      </c>
      <c r="R77" s="2427" t="s">
        <v>2396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6" priority="6">
      <formula>$F$12="自定义"</formula>
    </cfRule>
  </conditionalFormatting>
  <conditionalFormatting sqref="J13">
    <cfRule type="expression" dxfId="95" priority="5">
      <formula>$M$10="自定义"</formula>
    </cfRule>
  </conditionalFormatting>
  <conditionalFormatting sqref="K56">
    <cfRule type="expression" dxfId="94" priority="3">
      <formula>$L$48&gt;$J$51</formula>
    </cfRule>
  </conditionalFormatting>
  <conditionalFormatting sqref="I56">
    <cfRule type="expression" dxfId="93" priority="4">
      <formula>$J$51&gt;$L$48</formula>
    </cfRule>
  </conditionalFormatting>
  <conditionalFormatting sqref="I61">
    <cfRule type="expression" dxfId="92" priority="2">
      <formula>$J$51&gt;$L$48</formula>
    </cfRule>
  </conditionalFormatting>
  <conditionalFormatting sqref="K61">
    <cfRule type="expression" dxfId="9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28"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受贵公司委托，我公司对北京市出让国有建设用地使用权市场价格进行了预评估。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56.25">
      <c r="A7" s="1795" t="s">
        <v>2751</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2029</v>
      </c>
    </row>
    <row r="11" spans="1:4" ht="18.75">
      <c r="A11" s="1780" t="str">
        <f>TEXT(项目基本情况!D3,"yyyy年m月d日;;")&amp;IF(项目基本情况!B3=项目基本情况!D3,"（评估专业人员勘察现场之日）","")</f>
        <v>2018年5月10日</v>
      </c>
    </row>
    <row r="12" spans="1:4" ht="18.75">
      <c r="A12" s="1797" t="s">
        <v>2028</v>
      </c>
    </row>
    <row r="13" spans="1:4" ht="18.75">
      <c r="A13" s="1791" t="s">
        <v>2942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18.75">
      <c r="A21" s="1791" t="s">
        <v>2077</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上办公2080年1月1日地下仓储2080年1月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W14" sqref="W14"/>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582" t="s">
        <v>2580</v>
      </c>
      <c r="C1" s="3582"/>
      <c r="D1" s="3582"/>
      <c r="E1" s="3582"/>
      <c r="F1" s="3582"/>
      <c r="G1" s="3581" t="s">
        <v>2581</v>
      </c>
      <c r="H1" s="3581"/>
      <c r="I1" s="3581"/>
      <c r="J1" s="3581"/>
      <c r="K1" s="3581"/>
      <c r="L1" s="3581"/>
      <c r="N1" s="3581" t="s">
        <v>2582</v>
      </c>
      <c r="O1" s="3581"/>
      <c r="P1" s="3581"/>
      <c r="Q1" s="3581"/>
      <c r="R1" s="2676"/>
      <c r="S1" s="3581" t="s">
        <v>2583</v>
      </c>
      <c r="T1" s="3581"/>
      <c r="U1" s="3581"/>
      <c r="V1" s="3581"/>
      <c r="X1" s="3580" t="s">
        <v>2643</v>
      </c>
      <c r="Y1" s="3581"/>
      <c r="Z1" s="3581"/>
      <c r="AA1" s="3581"/>
      <c r="AB1" s="3581"/>
      <c r="AD1" s="3580" t="s">
        <v>2647</v>
      </c>
      <c r="AE1" s="3581"/>
      <c r="AF1" s="3581"/>
      <c r="AG1" s="3581"/>
      <c r="AH1" s="3581"/>
    </row>
    <row r="2" spans="1:34" s="2778" customFormat="1" ht="14.25" thickBot="1">
      <c r="B2" s="2786" t="s">
        <v>2584</v>
      </c>
      <c r="C2" s="2786" t="s">
        <v>2645</v>
      </c>
      <c r="D2" s="2779" t="s">
        <v>1645</v>
      </c>
      <c r="E2" s="2779" t="s">
        <v>1952</v>
      </c>
      <c r="F2" s="2786" t="s">
        <v>2646</v>
      </c>
      <c r="G2" s="2782"/>
      <c r="H2" s="2781"/>
      <c r="I2" s="2786" t="s">
        <v>2958</v>
      </c>
      <c r="J2" s="2779" t="s">
        <v>2960</v>
      </c>
      <c r="K2" s="2779" t="s">
        <v>2961</v>
      </c>
      <c r="L2" s="2786" t="s">
        <v>2962</v>
      </c>
      <c r="N2" s="2786" t="s">
        <v>2584</v>
      </c>
      <c r="O2" s="2779" t="s">
        <v>2959</v>
      </c>
      <c r="P2" s="2779" t="s">
        <v>1952</v>
      </c>
      <c r="Q2" s="2786" t="s">
        <v>2646</v>
      </c>
      <c r="R2" s="2780"/>
      <c r="S2" s="2786" t="s">
        <v>2584</v>
      </c>
      <c r="T2" s="2779" t="s">
        <v>2959</v>
      </c>
      <c r="U2" s="2779" t="s">
        <v>1952</v>
      </c>
      <c r="V2" s="2786" t="s">
        <v>2646</v>
      </c>
      <c r="X2" s="2786" t="s">
        <v>2584</v>
      </c>
      <c r="Y2" s="2786" t="s">
        <v>2645</v>
      </c>
      <c r="Z2" s="2779" t="s">
        <v>1645</v>
      </c>
      <c r="AA2" s="2779" t="s">
        <v>1952</v>
      </c>
      <c r="AB2" s="2786" t="s">
        <v>2646</v>
      </c>
      <c r="AD2" s="2786" t="s">
        <v>2584</v>
      </c>
      <c r="AE2" s="2786" t="s">
        <v>2645</v>
      </c>
      <c r="AF2" s="2779" t="s">
        <v>1645</v>
      </c>
      <c r="AG2" s="2779" t="s">
        <v>1952</v>
      </c>
      <c r="AH2" s="2786" t="s">
        <v>2646</v>
      </c>
    </row>
    <row r="3" spans="1:34" s="3163" customFormat="1" ht="14.25">
      <c r="A3" s="3175" t="s">
        <v>2971</v>
      </c>
      <c r="B3" s="3164"/>
      <c r="C3" s="3164"/>
      <c r="D3" s="3165"/>
      <c r="E3" s="3165"/>
      <c r="F3" s="3164"/>
      <c r="G3" s="3166"/>
      <c r="H3" s="3167"/>
      <c r="I3" s="3174">
        <f>ROUND(AVERAGE($I7:$I22),2)</f>
        <v>2.4500000000000002</v>
      </c>
      <c r="J3" s="3174">
        <f>ROUND(AVERAGE($J7:$J22),2)</f>
        <v>1.65</v>
      </c>
      <c r="K3" s="3174">
        <f>ROUND(AVERAGE($K7:$K22),2)</f>
        <v>2.71</v>
      </c>
      <c r="L3" s="3174">
        <f>ROUND(AVERAGE($L7:$L22),2)</f>
        <v>1.39</v>
      </c>
      <c r="N3" s="3166"/>
      <c r="O3" s="3168"/>
      <c r="P3" s="3168"/>
      <c r="Q3" s="3168"/>
      <c r="R3" s="3168"/>
      <c r="S3" s="3166"/>
      <c r="T3" s="3168"/>
      <c r="U3" s="3168"/>
      <c r="V3" s="3168"/>
      <c r="W3" s="3171"/>
      <c r="X3" s="3169">
        <f>ROUND(SUMPRODUCT(PRODUCT(1+N3:N$21)),4)</f>
        <v>1.4517</v>
      </c>
      <c r="Y3" s="3169">
        <f>ROUND(SUMPRODUCT(PRODUCT(1+O3:O$21)),4)</f>
        <v>1.2928999999999999</v>
      </c>
      <c r="Z3" s="3169">
        <f t="shared" ref="Z3:Z19" si="0">Y3</f>
        <v>1.2928999999999999</v>
      </c>
      <c r="AA3" s="3169">
        <f>ROUND(SUMPRODUCT(PRODUCT(1+P3:P$21)),4)</f>
        <v>1.5068999999999999</v>
      </c>
      <c r="AB3" s="3169">
        <f>ROUND(SUMPRODUCT(PRODUCT(1+Q3:Q$21)),4)</f>
        <v>1.2557</v>
      </c>
      <c r="AD3" s="3170">
        <f>ROUND(AVERAGE(I3:I$22)/100,4)</f>
        <v>2.2800000000000001E-2</v>
      </c>
      <c r="AE3" s="3170">
        <f>ROUND(AVERAGE(J3:J$22)/100,4)</f>
        <v>1.5699999999999999E-2</v>
      </c>
      <c r="AF3" s="3170">
        <f t="shared" ref="AF3:AF20" si="1">AE3</f>
        <v>1.5699999999999999E-2</v>
      </c>
      <c r="AG3" s="3170">
        <f>ROUND(AVERAGE(K3:K$22)/100,4)</f>
        <v>2.5100000000000001E-2</v>
      </c>
      <c r="AH3" s="3170">
        <f>ROUND(AVERAGE(L3:L$22)/100,4)</f>
        <v>1.35E-2</v>
      </c>
    </row>
    <row r="4" spans="1:34" s="2771" customFormat="1" ht="14.25">
      <c r="B4" s="2772"/>
      <c r="C4" s="2772"/>
      <c r="D4" s="2773"/>
      <c r="E4" s="2773"/>
      <c r="F4" s="2772"/>
      <c r="G4" s="2777"/>
      <c r="H4" s="2774"/>
      <c r="I4" s="3156"/>
      <c r="J4" s="3156"/>
      <c r="K4" s="3156"/>
      <c r="L4" s="3156"/>
      <c r="N4" s="2777"/>
      <c r="O4" s="2775"/>
      <c r="P4" s="2775"/>
      <c r="Q4" s="2775"/>
      <c r="R4" s="2775"/>
      <c r="S4" s="2777"/>
      <c r="T4" s="2775"/>
      <c r="U4" s="2775"/>
      <c r="V4" s="2775"/>
      <c r="W4" s="3172"/>
      <c r="X4" s="2776"/>
      <c r="Y4" s="2776"/>
      <c r="Z4" s="2776"/>
      <c r="AA4" s="2776"/>
      <c r="AB4" s="2776"/>
      <c r="AD4" s="2696"/>
      <c r="AE4" s="2696"/>
      <c r="AF4" s="2696"/>
      <c r="AG4" s="2696"/>
      <c r="AH4" s="2696"/>
    </row>
    <row r="5" spans="1:34" s="3142" customFormat="1">
      <c r="A5" s="3140" t="s">
        <v>2978</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41">
        <v>2</v>
      </c>
      <c r="I5" s="3157">
        <v>0</v>
      </c>
      <c r="J5" s="3157">
        <v>0</v>
      </c>
      <c r="K5" s="3157">
        <v>0</v>
      </c>
      <c r="L5" s="3157">
        <v>0</v>
      </c>
      <c r="N5" s="2784">
        <f t="shared" ref="N5" si="6">I5/100</f>
        <v>0</v>
      </c>
      <c r="O5" s="2784">
        <f t="shared" ref="O5" si="7">J5/100</f>
        <v>0</v>
      </c>
      <c r="P5" s="2784">
        <f t="shared" ref="P5" si="8">K5/100</f>
        <v>0</v>
      </c>
      <c r="Q5" s="2784">
        <f t="shared" ref="Q5" si="9">L5/100</f>
        <v>0</v>
      </c>
      <c r="R5" s="3143"/>
      <c r="S5" s="3144"/>
      <c r="T5" s="3143"/>
      <c r="U5" s="3143"/>
      <c r="V5" s="3143"/>
      <c r="W5" s="3173" t="s">
        <v>2972</v>
      </c>
      <c r="X5" s="3145">
        <f>ROUND(SUMPRODUCT(PRODUCT(1+N5:N$22)),4)</f>
        <v>1.4947999999999999</v>
      </c>
      <c r="Y5" s="3145">
        <f>ROUND(SUMPRODUCT(PRODUCT(1+O5:O$22)),4)</f>
        <v>1.3230999999999999</v>
      </c>
      <c r="Z5" s="3145">
        <f t="shared" ref="Z5" si="10">Y5</f>
        <v>1.3230999999999999</v>
      </c>
      <c r="AA5" s="3145">
        <f>ROUND(SUMPRODUCT(PRODUCT(1+P5:P$22)),4)</f>
        <v>1.5564</v>
      </c>
      <c r="AB5" s="3145">
        <f>ROUND(SUMPRODUCT(PRODUCT(1+Q5:Q$22)),4)</f>
        <v>1.2726999999999999</v>
      </c>
      <c r="AD5" s="3146">
        <f>ROUND(AVERAGE(I5:I$22)/100,4)</f>
        <v>2.2700000000000001E-2</v>
      </c>
      <c r="AE5" s="3146">
        <f>ROUND(AVERAGE(J5:J$22)/100,4)</f>
        <v>1.5699999999999999E-2</v>
      </c>
      <c r="AF5" s="3146">
        <f t="shared" ref="AF5" si="11">AE5</f>
        <v>1.5699999999999999E-2</v>
      </c>
      <c r="AG5" s="3146">
        <f>ROUND(AVERAGE(K5:K$22)/100,4)</f>
        <v>2.5000000000000001E-2</v>
      </c>
      <c r="AH5" s="3146">
        <f>ROUND(AVERAGE(L5:L$22)/100,4)</f>
        <v>1.35E-2</v>
      </c>
    </row>
    <row r="6" spans="1:34" s="2783" customFormat="1" ht="13.5" thickBot="1">
      <c r="A6" s="2677" t="s">
        <v>2979</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62">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2969</v>
      </c>
      <c r="B7" s="3177">
        <v>439</v>
      </c>
      <c r="C7" s="3177">
        <v>327</v>
      </c>
      <c r="D7" s="3177">
        <f t="shared" si="13"/>
        <v>327</v>
      </c>
      <c r="E7" s="3177">
        <v>627</v>
      </c>
      <c r="F7" s="3178">
        <v>283</v>
      </c>
      <c r="G7" s="3160">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2973</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62"/>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2585</v>
      </c>
      <c r="B9" s="2691">
        <f t="shared" si="25"/>
        <v>419.31181600000002</v>
      </c>
      <c r="C9" s="2691">
        <f t="shared" si="25"/>
        <v>313.95436800000004</v>
      </c>
      <c r="D9" s="2691">
        <f t="shared" si="13"/>
        <v>313.95436800000004</v>
      </c>
      <c r="E9" s="2691">
        <f t="shared" si="26"/>
        <v>596.63028431999999</v>
      </c>
      <c r="F9" s="2691">
        <f t="shared" si="26"/>
        <v>274.74220703999998</v>
      </c>
      <c r="G9" s="3161"/>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2586</v>
      </c>
      <c r="B10" s="2691">
        <f t="shared" si="25"/>
        <v>405.524</v>
      </c>
      <c r="C10" s="2691">
        <f t="shared" si="25"/>
        <v>307.79840000000002</v>
      </c>
      <c r="D10" s="2691">
        <f t="shared" si="13"/>
        <v>307.79840000000002</v>
      </c>
      <c r="E10" s="2691">
        <f t="shared" si="26"/>
        <v>574.67759999999998</v>
      </c>
      <c r="F10" s="2691">
        <f t="shared" si="26"/>
        <v>270.20280000000002</v>
      </c>
      <c r="G10" s="3162"/>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971</v>
      </c>
      <c r="B11" s="2683">
        <v>392</v>
      </c>
      <c r="C11" s="2683">
        <v>302</v>
      </c>
      <c r="D11" s="2683">
        <f t="shared" si="13"/>
        <v>302</v>
      </c>
      <c r="E11" s="2683">
        <v>553</v>
      </c>
      <c r="F11" s="2684">
        <v>266</v>
      </c>
      <c r="G11" s="3579">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970</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577"/>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960</v>
      </c>
      <c r="B13" s="2691">
        <f t="shared" si="34"/>
        <v>360.06949782209392</v>
      </c>
      <c r="C13" s="2691">
        <f t="shared" si="34"/>
        <v>289.84672674747821</v>
      </c>
      <c r="D13" s="2691">
        <f t="shared" si="35"/>
        <v>289.84672674747821</v>
      </c>
      <c r="E13" s="2691">
        <f t="shared" si="36"/>
        <v>501.06543001181495</v>
      </c>
      <c r="F13" s="2691">
        <f t="shared" si="36"/>
        <v>256.82882500744967</v>
      </c>
      <c r="G13" s="3577"/>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969</v>
      </c>
      <c r="B14" s="2691">
        <f t="shared" si="34"/>
        <v>346.720748986128</v>
      </c>
      <c r="C14" s="2691">
        <f t="shared" si="34"/>
        <v>284.30282172386285</v>
      </c>
      <c r="D14" s="2691">
        <f t="shared" si="35"/>
        <v>284.30282172386285</v>
      </c>
      <c r="E14" s="2691">
        <f t="shared" si="36"/>
        <v>479.58023546306947</v>
      </c>
      <c r="F14" s="2691">
        <f t="shared" si="36"/>
        <v>253.25788877571213</v>
      </c>
      <c r="G14" s="3578"/>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968</v>
      </c>
      <c r="B15" s="2683">
        <v>333</v>
      </c>
      <c r="C15" s="2683">
        <v>277</v>
      </c>
      <c r="D15" s="2683">
        <f t="shared" si="35"/>
        <v>277</v>
      </c>
      <c r="E15" s="2683">
        <v>459</v>
      </c>
      <c r="F15" s="2684">
        <v>249</v>
      </c>
      <c r="G15" s="3576">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967</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577"/>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966</v>
      </c>
      <c r="B17" s="2691">
        <f t="shared" si="38"/>
        <v>322.34053690220776</v>
      </c>
      <c r="C17" s="2691">
        <f t="shared" si="38"/>
        <v>271.46160770422546</v>
      </c>
      <c r="D17" s="2691">
        <f t="shared" si="35"/>
        <v>271.46160770422546</v>
      </c>
      <c r="E17" s="2691">
        <f t="shared" si="39"/>
        <v>442.69434542172456</v>
      </c>
      <c r="F17" s="2691">
        <f t="shared" si="39"/>
        <v>241.34030753190925</v>
      </c>
      <c r="G17" s="3577"/>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965</v>
      </c>
      <c r="B18" s="2691">
        <f t="shared" si="38"/>
        <v>319.87748030386797</v>
      </c>
      <c r="C18" s="2691">
        <f t="shared" si="38"/>
        <v>269.60135833173649</v>
      </c>
      <c r="D18" s="2691">
        <f t="shared" si="35"/>
        <v>269.60135833173649</v>
      </c>
      <c r="E18" s="2691">
        <f t="shared" si="39"/>
        <v>439.18089823583784</v>
      </c>
      <c r="F18" s="2691">
        <f t="shared" si="39"/>
        <v>239.23503918706311</v>
      </c>
      <c r="G18" s="3578"/>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964</v>
      </c>
      <c r="B19" s="2705">
        <v>318</v>
      </c>
      <c r="C19" s="2705">
        <v>268</v>
      </c>
      <c r="D19" s="2705">
        <f t="shared" si="35"/>
        <v>268</v>
      </c>
      <c r="E19" s="2705">
        <v>437</v>
      </c>
      <c r="F19" s="2706">
        <v>237</v>
      </c>
      <c r="G19" s="3576">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963</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577"/>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962</v>
      </c>
      <c r="B21" s="2691">
        <f t="shared" si="40"/>
        <v>314.72141172386546</v>
      </c>
      <c r="C21" s="2691">
        <f t="shared" si="40"/>
        <v>263.03901319069001</v>
      </c>
      <c r="D21" s="2691">
        <f t="shared" si="35"/>
        <v>263.03901319069001</v>
      </c>
      <c r="E21" s="2691">
        <f t="shared" si="41"/>
        <v>433.65745506782821</v>
      </c>
      <c r="F21" s="2691">
        <f t="shared" si="41"/>
        <v>233.23005080045735</v>
      </c>
      <c r="G21" s="3577"/>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961</v>
      </c>
      <c r="B22" s="2710">
        <f t="shared" si="40"/>
        <v>307.34512863658733</v>
      </c>
      <c r="C22" s="2710">
        <f t="shared" si="40"/>
        <v>257.80556031626975</v>
      </c>
      <c r="D22" s="2710">
        <f t="shared" si="35"/>
        <v>257.80556031626975</v>
      </c>
      <c r="E22" s="2710">
        <f t="shared" si="41"/>
        <v>422.70928459677179</v>
      </c>
      <c r="F22" s="2710">
        <f t="shared" si="41"/>
        <v>229.73803270336617</v>
      </c>
      <c r="G22" s="3578"/>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2644</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2587</v>
      </c>
      <c r="B23" s="2683">
        <v>299</v>
      </c>
      <c r="C23" s="2683">
        <v>252</v>
      </c>
      <c r="D23" s="2683">
        <f t="shared" si="35"/>
        <v>252</v>
      </c>
      <c r="E23" s="2683">
        <v>409</v>
      </c>
      <c r="F23" s="2684">
        <v>227</v>
      </c>
      <c r="G23" s="3583">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2588</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584"/>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2589</v>
      </c>
      <c r="B25" s="2691">
        <f t="shared" si="44"/>
        <v>288.2649053828776</v>
      </c>
      <c r="C25" s="2691">
        <f t="shared" si="44"/>
        <v>243.64564425013293</v>
      </c>
      <c r="D25" s="2691">
        <f t="shared" si="35"/>
        <v>243.64564425013293</v>
      </c>
      <c r="E25" s="2691">
        <f t="shared" si="45"/>
        <v>393.31080825986544</v>
      </c>
      <c r="F25" s="2691">
        <f t="shared" si="45"/>
        <v>223.07903790551154</v>
      </c>
      <c r="G25" s="3584"/>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2590</v>
      </c>
      <c r="B26" s="2691">
        <f t="shared" si="44"/>
        <v>282.50186729015837</v>
      </c>
      <c r="C26" s="2691">
        <f t="shared" si="44"/>
        <v>238.09796174155468</v>
      </c>
      <c r="D26" s="2691">
        <f t="shared" si="35"/>
        <v>238.09796174155468</v>
      </c>
      <c r="E26" s="2691">
        <f t="shared" si="45"/>
        <v>385.33438646014054</v>
      </c>
      <c r="F26" s="2691">
        <f t="shared" si="45"/>
        <v>221.55034055567739</v>
      </c>
      <c r="G26" s="3585"/>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2591</v>
      </c>
      <c r="B27" s="2721">
        <v>278</v>
      </c>
      <c r="C27" s="2721">
        <v>234</v>
      </c>
      <c r="D27" s="2721">
        <f t="shared" si="35"/>
        <v>234</v>
      </c>
      <c r="E27" s="2721">
        <v>379</v>
      </c>
      <c r="F27" s="2722">
        <v>220</v>
      </c>
      <c r="G27" s="3576">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2592</v>
      </c>
      <c r="B28" s="2691">
        <f>B27/(1+N27)</f>
        <v>275.49301357645425</v>
      </c>
      <c r="C28" s="2691">
        <f>C27/(1+O27)</f>
        <v>232.41954707985698</v>
      </c>
      <c r="D28" s="2691">
        <f t="shared" si="35"/>
        <v>232.41954707985698</v>
      </c>
      <c r="E28" s="2691">
        <f t="shared" ref="E28:F30" si="46">E27/(1+P27)</f>
        <v>375.32184591008121</v>
      </c>
      <c r="F28" s="2691">
        <f t="shared" si="46"/>
        <v>218.03766105054513</v>
      </c>
      <c r="G28" s="3577"/>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2593</v>
      </c>
      <c r="B29" s="2691">
        <f>B28/(1+N28)</f>
        <v>275.24529281292263</v>
      </c>
      <c r="C29" s="2691">
        <f>C28/(1+O28)</f>
        <v>231.74747938962707</v>
      </c>
      <c r="D29" s="2691">
        <f t="shared" si="35"/>
        <v>231.74747938962707</v>
      </c>
      <c r="E29" s="2691">
        <f t="shared" si="46"/>
        <v>375.35938184826603</v>
      </c>
      <c r="F29" s="2691">
        <f t="shared" si="46"/>
        <v>216.78033510692495</v>
      </c>
      <c r="G29" s="3577"/>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2594</v>
      </c>
      <c r="B30" s="2691">
        <f>B29/(1+N29)</f>
        <v>275.19025476197027</v>
      </c>
      <c r="C30" s="2723">
        <v>232</v>
      </c>
      <c r="D30" s="2723">
        <f t="shared" si="35"/>
        <v>232</v>
      </c>
      <c r="E30" s="2691">
        <f t="shared" si="46"/>
        <v>375.65990977608692</v>
      </c>
      <c r="F30" s="2691">
        <f t="shared" si="46"/>
        <v>214.12518283971252</v>
      </c>
      <c r="G30" s="3578"/>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2595</v>
      </c>
      <c r="B31" s="2683">
        <v>275</v>
      </c>
      <c r="C31" s="2683">
        <v>232</v>
      </c>
      <c r="D31" s="2683">
        <f t="shared" si="35"/>
        <v>232</v>
      </c>
      <c r="E31" s="2683">
        <v>376</v>
      </c>
      <c r="F31" s="2684">
        <v>213</v>
      </c>
      <c r="G31" s="3576">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2596</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577">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2597</v>
      </c>
      <c r="B33" s="2691">
        <f t="shared" si="47"/>
        <v>275.19335084830601</v>
      </c>
      <c r="C33" s="2691">
        <f t="shared" si="47"/>
        <v>230.18088050139744</v>
      </c>
      <c r="D33" s="2691">
        <f t="shared" si="35"/>
        <v>230.18088050139744</v>
      </c>
      <c r="E33" s="2691">
        <f t="shared" si="48"/>
        <v>377.58482925212331</v>
      </c>
      <c r="F33" s="2691">
        <f t="shared" si="48"/>
        <v>210.90687997847917</v>
      </c>
      <c r="G33" s="3577">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2598</v>
      </c>
      <c r="B34" s="2691">
        <f t="shared" si="47"/>
        <v>276.29854502841971</v>
      </c>
      <c r="C34" s="2691">
        <f t="shared" si="47"/>
        <v>229.79023709833027</v>
      </c>
      <c r="D34" s="2691">
        <f t="shared" si="35"/>
        <v>229.79023709833027</v>
      </c>
      <c r="E34" s="2691">
        <f t="shared" si="48"/>
        <v>379.78759731655936</v>
      </c>
      <c r="F34" s="2691">
        <f t="shared" si="48"/>
        <v>211.32953905659235</v>
      </c>
      <c r="G34" s="3578">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2599</v>
      </c>
      <c r="B35" s="2683">
        <v>269</v>
      </c>
      <c r="C35" s="2683">
        <v>221</v>
      </c>
      <c r="D35" s="2683">
        <f t="shared" si="35"/>
        <v>221</v>
      </c>
      <c r="E35" s="2683">
        <v>373</v>
      </c>
      <c r="F35" s="2684">
        <v>196</v>
      </c>
      <c r="G35" s="3576">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2600</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577">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2601</v>
      </c>
      <c r="B37" s="2691">
        <f t="shared" si="49"/>
        <v>242.95398227588385</v>
      </c>
      <c r="C37" s="2691">
        <f t="shared" si="49"/>
        <v>199.59137053614126</v>
      </c>
      <c r="D37" s="2691">
        <f t="shared" si="35"/>
        <v>199.59137053614126</v>
      </c>
      <c r="E37" s="2691">
        <f t="shared" si="50"/>
        <v>335.92189522342125</v>
      </c>
      <c r="F37" s="2691">
        <f t="shared" si="50"/>
        <v>183.10139991109489</v>
      </c>
      <c r="G37" s="3577">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2602</v>
      </c>
      <c r="B38" s="2691">
        <f t="shared" si="49"/>
        <v>232.06990378821649</v>
      </c>
      <c r="C38" s="2691">
        <f t="shared" si="49"/>
        <v>192.74878854286936</v>
      </c>
      <c r="D38" s="2691">
        <f t="shared" si="35"/>
        <v>192.74878854286936</v>
      </c>
      <c r="E38" s="2691">
        <f t="shared" si="50"/>
        <v>319.71247284992984</v>
      </c>
      <c r="F38" s="2691">
        <f t="shared" si="50"/>
        <v>175.67053622862409</v>
      </c>
      <c r="G38" s="3578">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2603</v>
      </c>
      <c r="B39" s="2683">
        <v>220</v>
      </c>
      <c r="C39" s="2683">
        <v>187</v>
      </c>
      <c r="D39" s="2683">
        <f t="shared" si="35"/>
        <v>187</v>
      </c>
      <c r="E39" s="2683">
        <v>301</v>
      </c>
      <c r="F39" s="2684">
        <v>168</v>
      </c>
      <c r="G39" s="3576">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2604</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577">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2605</v>
      </c>
      <c r="B41" s="2691">
        <f t="shared" si="51"/>
        <v>210.630522469011</v>
      </c>
      <c r="C41" s="2691">
        <f t="shared" si="51"/>
        <v>181.69567812247232</v>
      </c>
      <c r="D41" s="2691">
        <f t="shared" si="35"/>
        <v>181.69567812247232</v>
      </c>
      <c r="E41" s="2691">
        <f t="shared" si="52"/>
        <v>286.13517466736738</v>
      </c>
      <c r="F41" s="2691">
        <f t="shared" si="52"/>
        <v>165.47535084591149</v>
      </c>
      <c r="G41" s="3577">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2606</v>
      </c>
      <c r="B42" s="2691">
        <f t="shared" si="51"/>
        <v>208.83454537875372</v>
      </c>
      <c r="C42" s="2691">
        <f t="shared" si="51"/>
        <v>183.77230517090351</v>
      </c>
      <c r="D42" s="2691">
        <f t="shared" si="35"/>
        <v>183.77230517090351</v>
      </c>
      <c r="E42" s="2691">
        <f t="shared" si="52"/>
        <v>281.10342338870947</v>
      </c>
      <c r="F42" s="2691">
        <f t="shared" si="52"/>
        <v>168.97309388942256</v>
      </c>
      <c r="G42" s="3578">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2607</v>
      </c>
      <c r="B43" s="2721">
        <v>214</v>
      </c>
      <c r="C43" s="2721">
        <v>188</v>
      </c>
      <c r="D43" s="2721">
        <f t="shared" si="35"/>
        <v>188</v>
      </c>
      <c r="E43" s="2721">
        <v>289</v>
      </c>
      <c r="F43" s="2722">
        <v>166</v>
      </c>
      <c r="G43" s="3576">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2608</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577">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2609</v>
      </c>
      <c r="B45" s="2691">
        <f t="shared" si="53"/>
        <v>206.31694671589116</v>
      </c>
      <c r="C45" s="2691">
        <f t="shared" si="53"/>
        <v>183.61041121036101</v>
      </c>
      <c r="D45" s="2691">
        <f t="shared" si="35"/>
        <v>183.61041121036101</v>
      </c>
      <c r="E45" s="2691">
        <f t="shared" si="54"/>
        <v>276.66850301795557</v>
      </c>
      <c r="F45" s="2691">
        <f t="shared" si="54"/>
        <v>165.1360938278614</v>
      </c>
      <c r="G45" s="3577">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2610</v>
      </c>
      <c r="B46" s="2724">
        <f t="shared" si="53"/>
        <v>196.62341248059772</v>
      </c>
      <c r="C46" s="2724">
        <f t="shared" si="53"/>
        <v>170.99125648199012</v>
      </c>
      <c r="D46" s="2724">
        <f t="shared" si="35"/>
        <v>170.99125648199012</v>
      </c>
      <c r="E46" s="2724">
        <f t="shared" si="54"/>
        <v>266.07857570490052</v>
      </c>
      <c r="F46" s="2724">
        <f t="shared" si="54"/>
        <v>154.53499328828505</v>
      </c>
      <c r="G46" s="3578">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2611</v>
      </c>
      <c r="B47" s="2683">
        <v>188</v>
      </c>
      <c r="C47" s="2683">
        <v>165</v>
      </c>
      <c r="D47" s="2683">
        <f t="shared" si="35"/>
        <v>165</v>
      </c>
      <c r="E47" s="2683">
        <v>254</v>
      </c>
      <c r="F47" s="2684">
        <v>148</v>
      </c>
      <c r="G47" s="3576">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2612</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577">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2613</v>
      </c>
      <c r="B49" s="2691">
        <f t="shared" si="57"/>
        <v>168.82017748715555</v>
      </c>
      <c r="C49" s="2691">
        <f t="shared" si="57"/>
        <v>148.06267029972753</v>
      </c>
      <c r="D49" s="2691">
        <f t="shared" si="35"/>
        <v>148.06267029972753</v>
      </c>
      <c r="E49" s="2691">
        <f t="shared" si="58"/>
        <v>216.46288379323747</v>
      </c>
      <c r="F49" s="2691">
        <f t="shared" si="58"/>
        <v>134.23529411764704</v>
      </c>
      <c r="G49" s="3577">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2614</v>
      </c>
      <c r="B50" s="2691">
        <f t="shared" si="57"/>
        <v>163.84913591779542</v>
      </c>
      <c r="C50" s="2691">
        <f t="shared" si="57"/>
        <v>145.0283378746594</v>
      </c>
      <c r="D50" s="2691">
        <f t="shared" si="35"/>
        <v>145.0283378746594</v>
      </c>
      <c r="E50" s="2691">
        <f t="shared" si="58"/>
        <v>204.95180722891567</v>
      </c>
      <c r="F50" s="2691">
        <f t="shared" si="58"/>
        <v>125.95920303605313</v>
      </c>
      <c r="G50" s="3578">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2615</v>
      </c>
      <c r="B51" s="2705">
        <v>159</v>
      </c>
      <c r="C51" s="2705">
        <v>141</v>
      </c>
      <c r="D51" s="2705">
        <f t="shared" si="35"/>
        <v>141</v>
      </c>
      <c r="E51" s="2705">
        <v>195</v>
      </c>
      <c r="F51" s="2706">
        <v>122</v>
      </c>
      <c r="G51" s="3576">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2616</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577">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2617</v>
      </c>
      <c r="B53" s="2691">
        <f t="shared" si="61"/>
        <v>146.57412060301507</v>
      </c>
      <c r="C53" s="2691">
        <f t="shared" si="61"/>
        <v>136.46831955922866</v>
      </c>
      <c r="D53" s="2691">
        <f t="shared" si="35"/>
        <v>136.46831955922866</v>
      </c>
      <c r="E53" s="2691">
        <f t="shared" si="62"/>
        <v>166.73864894795128</v>
      </c>
      <c r="F53" s="2691">
        <f t="shared" si="62"/>
        <v>115.05882352941177</v>
      </c>
      <c r="G53" s="3577">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2618</v>
      </c>
      <c r="B54" s="2691">
        <f t="shared" si="61"/>
        <v>144.04145728643215</v>
      </c>
      <c r="C54" s="2691">
        <f t="shared" si="61"/>
        <v>136.12396694214877</v>
      </c>
      <c r="D54" s="2691">
        <f t="shared" si="35"/>
        <v>136.12396694214877</v>
      </c>
      <c r="E54" s="2691">
        <f t="shared" si="62"/>
        <v>158.32225913621264</v>
      </c>
      <c r="F54" s="2691">
        <f t="shared" si="62"/>
        <v>114.04278074866311</v>
      </c>
      <c r="G54" s="3578">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2619</v>
      </c>
      <c r="B55" s="2705">
        <v>138</v>
      </c>
      <c r="C55" s="2705">
        <v>131</v>
      </c>
      <c r="D55" s="2705">
        <f t="shared" si="35"/>
        <v>131</v>
      </c>
      <c r="E55" s="2705">
        <v>155</v>
      </c>
      <c r="F55" s="2706">
        <v>114</v>
      </c>
      <c r="G55" s="3576">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2620</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577">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2621</v>
      </c>
      <c r="B57" s="2691">
        <f t="shared" si="65"/>
        <v>124.29032258064517</v>
      </c>
      <c r="C57" s="2691">
        <f t="shared" si="65"/>
        <v>123.8968609865471</v>
      </c>
      <c r="D57" s="2691">
        <f t="shared" si="35"/>
        <v>123.8968609865471</v>
      </c>
      <c r="E57" s="2691">
        <f t="shared" si="66"/>
        <v>138.00507614213197</v>
      </c>
      <c r="F57" s="2691">
        <f t="shared" si="66"/>
        <v>107.96106557377048</v>
      </c>
      <c r="G57" s="3577">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2622</v>
      </c>
      <c r="B58" s="2691">
        <f t="shared" si="65"/>
        <v>122.57204301075269</v>
      </c>
      <c r="C58" s="2691">
        <f t="shared" si="65"/>
        <v>123.4932735426009</v>
      </c>
      <c r="D58" s="2691">
        <f t="shared" si="35"/>
        <v>123.4932735426009</v>
      </c>
      <c r="E58" s="2691">
        <f t="shared" si="66"/>
        <v>129.82233502538071</v>
      </c>
      <c r="F58" s="2691">
        <f t="shared" si="66"/>
        <v>107.39446721311475</v>
      </c>
      <c r="G58" s="3578">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2623</v>
      </c>
      <c r="B59" s="2721">
        <v>121</v>
      </c>
      <c r="C59" s="2721">
        <v>122</v>
      </c>
      <c r="D59" s="2721">
        <f t="shared" si="35"/>
        <v>122</v>
      </c>
      <c r="E59" s="2721">
        <v>124</v>
      </c>
      <c r="F59" s="2722">
        <v>107</v>
      </c>
      <c r="G59" s="3576">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2624</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577">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2625</v>
      </c>
      <c r="B61" s="2691">
        <f t="shared" si="69"/>
        <v>116.99099099099099</v>
      </c>
      <c r="C61" s="2691">
        <f t="shared" si="69"/>
        <v>118.84848484848486</v>
      </c>
      <c r="D61" s="2691">
        <f t="shared" si="35"/>
        <v>118.84848484848486</v>
      </c>
      <c r="E61" s="2691">
        <f t="shared" si="70"/>
        <v>117.60960960960961</v>
      </c>
      <c r="F61" s="2691">
        <f t="shared" si="70"/>
        <v>104</v>
      </c>
      <c r="G61" s="3577">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2626</v>
      </c>
      <c r="B62" s="2724">
        <f t="shared" si="69"/>
        <v>112.48648648648648</v>
      </c>
      <c r="C62" s="2724">
        <f t="shared" si="69"/>
        <v>115.21212121212122</v>
      </c>
      <c r="D62" s="2724">
        <f t="shared" si="35"/>
        <v>115.21212121212122</v>
      </c>
      <c r="E62" s="2724">
        <f t="shared" si="70"/>
        <v>110.4024024024024</v>
      </c>
      <c r="F62" s="2724">
        <f t="shared" si="70"/>
        <v>104</v>
      </c>
      <c r="G62" s="3578">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2627</v>
      </c>
      <c r="B63" s="2742">
        <v>111</v>
      </c>
      <c r="C63" s="2742">
        <v>114</v>
      </c>
      <c r="D63" s="2742">
        <f t="shared" si="35"/>
        <v>114</v>
      </c>
      <c r="E63" s="2742">
        <v>108</v>
      </c>
      <c r="F63" s="2743">
        <v>104</v>
      </c>
      <c r="G63" s="3576">
        <v>2003</v>
      </c>
      <c r="H63" s="2732">
        <v>4</v>
      </c>
      <c r="I63" s="2744"/>
      <c r="J63" s="2744"/>
      <c r="K63" s="2744"/>
      <c r="L63" s="2744"/>
      <c r="N63" s="2745"/>
      <c r="O63" s="2744"/>
      <c r="P63" s="2744"/>
      <c r="Q63" s="2744"/>
      <c r="S63" s="2745"/>
      <c r="T63" s="2744"/>
      <c r="U63" s="2744"/>
      <c r="V63" s="2744"/>
      <c r="X63" s="2736"/>
      <c r="Y63" s="2736"/>
      <c r="Z63" s="2736"/>
    </row>
    <row r="64" spans="1:26">
      <c r="A64" s="2677" t="s">
        <v>2628</v>
      </c>
      <c r="B64" s="2746">
        <f t="shared" ref="B64:C66" si="71">B65+(B$63-B$67)/4</f>
        <v>109.75</v>
      </c>
      <c r="C64" s="2746">
        <f t="shared" si="71"/>
        <v>112.25</v>
      </c>
      <c r="D64" s="2746">
        <f t="shared" si="35"/>
        <v>112.25</v>
      </c>
      <c r="E64" s="2746">
        <f t="shared" ref="E64:F66" si="72">E65+(E$63-E$67)/4</f>
        <v>107.25</v>
      </c>
      <c r="F64" s="2746">
        <f t="shared" si="72"/>
        <v>103.5</v>
      </c>
      <c r="G64" s="3577">
        <v>2003</v>
      </c>
      <c r="H64" s="2702">
        <v>3</v>
      </c>
      <c r="I64" s="2744"/>
      <c r="J64" s="2744"/>
      <c r="K64" s="2744"/>
      <c r="L64" s="2744"/>
      <c r="X64" s="2736"/>
      <c r="Y64" s="2736"/>
      <c r="Z64" s="2736"/>
    </row>
    <row r="65" spans="1:26">
      <c r="A65" s="2677" t="s">
        <v>2629</v>
      </c>
      <c r="B65" s="2746">
        <f t="shared" si="71"/>
        <v>108.5</v>
      </c>
      <c r="C65" s="2746">
        <f t="shared" si="71"/>
        <v>110.5</v>
      </c>
      <c r="D65" s="2746">
        <f t="shared" si="35"/>
        <v>110.5</v>
      </c>
      <c r="E65" s="2746">
        <f t="shared" si="72"/>
        <v>106.5</v>
      </c>
      <c r="F65" s="2746">
        <f t="shared" si="72"/>
        <v>103</v>
      </c>
      <c r="G65" s="3577">
        <v>2003</v>
      </c>
      <c r="H65" s="2682">
        <v>2</v>
      </c>
      <c r="I65" s="2744"/>
      <c r="J65" s="2744"/>
      <c r="K65" s="2744"/>
      <c r="L65" s="2744"/>
      <c r="X65" s="2736"/>
      <c r="Y65" s="2736"/>
      <c r="Z65" s="2736"/>
    </row>
    <row r="66" spans="1:26" ht="13.5" thickBot="1">
      <c r="A66" s="2677" t="s">
        <v>2630</v>
      </c>
      <c r="B66" s="2746">
        <f t="shared" si="71"/>
        <v>107.25</v>
      </c>
      <c r="C66" s="2746">
        <f t="shared" si="71"/>
        <v>108.75</v>
      </c>
      <c r="D66" s="2746">
        <f t="shared" si="35"/>
        <v>108.75</v>
      </c>
      <c r="E66" s="2746">
        <f t="shared" si="72"/>
        <v>105.75</v>
      </c>
      <c r="F66" s="2746">
        <f t="shared" si="72"/>
        <v>102.5</v>
      </c>
      <c r="G66" s="3578">
        <v>2003</v>
      </c>
      <c r="H66" s="2747">
        <v>1</v>
      </c>
      <c r="I66" s="2744"/>
      <c r="J66" s="2744"/>
      <c r="K66" s="2744"/>
      <c r="L66" s="2744"/>
      <c r="S66" s="2686"/>
      <c r="T66" s="2687"/>
      <c r="U66" s="2687"/>
      <c r="X66" s="2736"/>
      <c r="Y66" s="2736"/>
      <c r="Z66" s="2736"/>
    </row>
    <row r="67" spans="1:26" ht="13.5" thickBot="1">
      <c r="A67" s="2677" t="s">
        <v>2631</v>
      </c>
      <c r="B67" s="2748">
        <v>106</v>
      </c>
      <c r="C67" s="2748">
        <v>107</v>
      </c>
      <c r="D67" s="2748">
        <f t="shared" si="35"/>
        <v>107</v>
      </c>
      <c r="E67" s="2748">
        <v>105</v>
      </c>
      <c r="F67" s="2749">
        <v>102</v>
      </c>
      <c r="G67" s="3576">
        <v>2002</v>
      </c>
      <c r="H67" s="2697">
        <v>4</v>
      </c>
      <c r="I67" s="2744"/>
      <c r="J67" s="2744"/>
      <c r="K67" s="2744"/>
      <c r="L67" s="2744"/>
      <c r="N67" s="2745"/>
      <c r="O67" s="2744"/>
      <c r="P67" s="2744"/>
      <c r="Q67" s="2744"/>
      <c r="S67" s="2745"/>
      <c r="T67" s="2744"/>
      <c r="U67" s="2744"/>
      <c r="V67" s="2744"/>
      <c r="X67" s="2736"/>
      <c r="Y67" s="2736"/>
      <c r="Z67" s="2736"/>
    </row>
    <row r="68" spans="1:26">
      <c r="A68" s="2677" t="s">
        <v>2632</v>
      </c>
      <c r="B68" s="2746">
        <f t="shared" ref="B68:C70" si="73">B69+(B$67-B$71)/4</f>
        <v>105</v>
      </c>
      <c r="C68" s="2746">
        <f t="shared" si="73"/>
        <v>106</v>
      </c>
      <c r="D68" s="2746">
        <f t="shared" si="35"/>
        <v>106</v>
      </c>
      <c r="E68" s="2746">
        <f t="shared" ref="E68:F70" si="74">E69+(E$67-E$71)/4</f>
        <v>104.5</v>
      </c>
      <c r="F68" s="2746">
        <f t="shared" si="74"/>
        <v>101.5</v>
      </c>
      <c r="G68" s="3577">
        <v>2002</v>
      </c>
      <c r="H68" s="2702">
        <v>3</v>
      </c>
      <c r="I68" s="2744"/>
      <c r="J68" s="2744"/>
      <c r="K68" s="2744"/>
      <c r="L68" s="2744"/>
      <c r="X68" s="2736"/>
      <c r="Y68" s="2736"/>
      <c r="Z68" s="2736"/>
    </row>
    <row r="69" spans="1:26">
      <c r="A69" s="2677" t="s">
        <v>2633</v>
      </c>
      <c r="B69" s="2746">
        <f t="shared" si="73"/>
        <v>104</v>
      </c>
      <c r="C69" s="2746">
        <f t="shared" si="73"/>
        <v>105</v>
      </c>
      <c r="D69" s="2746">
        <f t="shared" si="35"/>
        <v>105</v>
      </c>
      <c r="E69" s="2746">
        <f t="shared" si="74"/>
        <v>104</v>
      </c>
      <c r="F69" s="2746">
        <f t="shared" si="74"/>
        <v>101</v>
      </c>
      <c r="G69" s="3577">
        <v>2002</v>
      </c>
      <c r="H69" s="2682">
        <v>2</v>
      </c>
      <c r="I69" s="2744"/>
      <c r="J69" s="2744"/>
      <c r="K69" s="2744"/>
      <c r="L69" s="2744"/>
      <c r="X69" s="2736"/>
      <c r="Y69" s="2736"/>
      <c r="Z69" s="2736"/>
    </row>
    <row r="70" spans="1:26" s="2713" customFormat="1" ht="13.5" thickBot="1">
      <c r="A70" s="2709" t="s">
        <v>2634</v>
      </c>
      <c r="B70" s="2750">
        <f t="shared" si="73"/>
        <v>103</v>
      </c>
      <c r="C70" s="2750">
        <f t="shared" si="73"/>
        <v>104</v>
      </c>
      <c r="D70" s="2750">
        <f t="shared" si="35"/>
        <v>104</v>
      </c>
      <c r="E70" s="2750">
        <f t="shared" si="74"/>
        <v>103.5</v>
      </c>
      <c r="F70" s="2750">
        <f t="shared" si="74"/>
        <v>100.5</v>
      </c>
      <c r="G70" s="3578">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2635</v>
      </c>
      <c r="G73" s="2760"/>
      <c r="N73" s="2760"/>
      <c r="S73" s="2760"/>
    </row>
    <row r="74" spans="1:26" s="2759" customFormat="1">
      <c r="A74" s="2759" t="s">
        <v>2636</v>
      </c>
      <c r="G74" s="2760"/>
      <c r="N74" s="2760"/>
      <c r="S74" s="2760"/>
    </row>
    <row r="75" spans="1:26" s="2759" customFormat="1">
      <c r="A75" s="2759" t="s">
        <v>2637</v>
      </c>
      <c r="G75" s="2760"/>
      <c r="I75" s="2761"/>
      <c r="J75" s="2761"/>
      <c r="K75" s="2761"/>
      <c r="L75" s="2761"/>
      <c r="N75" s="2762"/>
      <c r="O75" s="2761"/>
      <c r="P75" s="2761"/>
      <c r="Q75" s="2761"/>
      <c r="S75" s="2762"/>
      <c r="T75" s="2761"/>
      <c r="U75" s="2761"/>
      <c r="V75" s="2761"/>
    </row>
    <row r="76" spans="1:26" s="2759" customFormat="1">
      <c r="A76" s="2759" t="s">
        <v>2638</v>
      </c>
      <c r="G76" s="2760"/>
      <c r="N76" s="2760"/>
      <c r="S76" s="2760"/>
    </row>
    <row r="83" spans="7:22" ht="13.5" thickBot="1"/>
    <row r="84" spans="7:22">
      <c r="G84" s="2685"/>
      <c r="S84" s="2763" t="s">
        <v>2639</v>
      </c>
      <c r="T84" s="2764" t="s">
        <v>2640</v>
      </c>
      <c r="U84" s="2764" t="s">
        <v>2641</v>
      </c>
      <c r="V84" s="2764" t="s">
        <v>2642</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C34" zoomScale="80" zoomScaleNormal="80" workbookViewId="0">
      <selection activeCell="K45" sqref="K45"/>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0" t="s">
        <v>1726</v>
      </c>
      <c r="B1" s="736"/>
      <c r="C1" s="771"/>
      <c r="D1" s="3154" t="s">
        <v>952</v>
      </c>
      <c r="E1" s="2411" t="s">
        <v>2378</v>
      </c>
      <c r="F1" s="2412">
        <f ca="1">J53</f>
        <v>0</v>
      </c>
      <c r="G1" s="772">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1" t="s">
        <v>1727</v>
      </c>
      <c r="B2" s="773" t="e">
        <f ca="1">C40+J29+L46</f>
        <v>#DIV/0!</v>
      </c>
      <c r="C2" s="2057"/>
      <c r="D2" s="2055"/>
      <c r="E2" s="2056"/>
      <c r="F2" s="2056"/>
      <c r="G2" s="1589"/>
      <c r="H2" s="2057"/>
      <c r="I2" s="2057"/>
      <c r="J2" s="2057"/>
      <c r="K2" s="2058"/>
      <c r="L2" s="2057"/>
      <c r="M2" s="2057"/>
    </row>
    <row r="3" spans="1:33" ht="18" customHeight="1" thickBot="1">
      <c r="A3" s="831" t="s">
        <v>1728</v>
      </c>
      <c r="B3" s="832">
        <f ca="1">IF(ISERROR(B2*10000/F43),0,ROUND(B2*10000/F43,0))</f>
        <v>0</v>
      </c>
      <c r="C3" s="2057"/>
      <c r="D3" s="2055"/>
      <c r="E3" s="2056"/>
      <c r="F3" s="2056"/>
      <c r="G3" s="1589"/>
      <c r="H3" s="774" t="s">
        <v>695</v>
      </c>
      <c r="I3" s="1361"/>
      <c r="J3" s="1361"/>
      <c r="K3" s="1590"/>
      <c r="L3" s="1361"/>
      <c r="M3" s="1361"/>
    </row>
    <row r="4" spans="1:33" ht="18" customHeight="1">
      <c r="A4" s="775" t="s">
        <v>1729</v>
      </c>
      <c r="B4" s="776" t="s">
        <v>1730</v>
      </c>
      <c r="C4" s="776" t="s">
        <v>1731</v>
      </c>
      <c r="D4" s="776" t="s">
        <v>633</v>
      </c>
      <c r="E4" s="777" t="s">
        <v>1732</v>
      </c>
      <c r="F4" s="778"/>
      <c r="G4" s="1591"/>
      <c r="H4" s="775" t="s">
        <v>1733</v>
      </c>
      <c r="I4" s="776" t="s">
        <v>1734</v>
      </c>
      <c r="J4" s="776" t="s">
        <v>1735</v>
      </c>
      <c r="K4" s="776" t="s">
        <v>1736</v>
      </c>
      <c r="L4" s="777" t="s">
        <v>1737</v>
      </c>
      <c r="M4" s="778"/>
    </row>
    <row r="5" spans="1:33" ht="18" customHeight="1">
      <c r="A5" s="779">
        <v>1</v>
      </c>
      <c r="B5" s="780" t="s">
        <v>2462</v>
      </c>
      <c r="C5" s="53">
        <f ca="1">C6+C10+C12</f>
        <v>0</v>
      </c>
      <c r="D5" s="2518" t="s">
        <v>2465</v>
      </c>
      <c r="E5" s="2512"/>
      <c r="F5" s="2513"/>
      <c r="G5" s="1591"/>
      <c r="H5" s="779">
        <v>1</v>
      </c>
      <c r="I5" s="780" t="s">
        <v>2462</v>
      </c>
      <c r="J5" s="53">
        <f ca="1">J6+J10+J12</f>
        <v>0</v>
      </c>
      <c r="K5" s="2518" t="s">
        <v>2465</v>
      </c>
      <c r="L5" s="2512"/>
      <c r="M5" s="2513"/>
    </row>
    <row r="6" spans="1:33" ht="18" customHeight="1">
      <c r="A6" s="1830" t="s">
        <v>1825</v>
      </c>
      <c r="B6" s="3570" t="s">
        <v>2467</v>
      </c>
      <c r="C6" s="781">
        <f ca="1">ROUND(F6*F8*F7*(1-F9)/10000,0)</f>
        <v>0</v>
      </c>
      <c r="D6" s="2519" t="s">
        <v>2466</v>
      </c>
      <c r="E6" s="782" t="s">
        <v>1739</v>
      </c>
      <c r="F6" s="783">
        <f ca="1">INDIRECT("'数据-取费表'!u"&amp;$G$1)</f>
        <v>0</v>
      </c>
      <c r="G6" s="1591"/>
      <c r="H6" s="2526" t="s">
        <v>2472</v>
      </c>
      <c r="I6" s="3570" t="s">
        <v>2467</v>
      </c>
      <c r="J6" s="781">
        <f ca="1">ROUND(M6*M8*M7*(1-M9)/10000,0)</f>
        <v>0</v>
      </c>
      <c r="K6" s="339" t="s">
        <v>1738</v>
      </c>
      <c r="L6" s="782" t="s">
        <v>1739</v>
      </c>
      <c r="M6" s="783">
        <f ca="1">INDIRECT("'数据-取费表'!z"&amp;$G$1)</f>
        <v>0</v>
      </c>
    </row>
    <row r="7" spans="1:33" ht="18" customHeight="1">
      <c r="A7" s="2522"/>
      <c r="B7" s="3571"/>
      <c r="C7" s="786"/>
      <c r="D7" s="787"/>
      <c r="E7" s="782" t="s">
        <v>1740</v>
      </c>
      <c r="F7" s="783">
        <f ca="1">IF(INDIRECT("'数据-取费表'!ah"&amp;$G$1)="",INDIRECT("'数据-取费表'!k"&amp;$G$1),INDIRECT("'数据-取费表'!ah"&amp;$G$1))</f>
        <v>0</v>
      </c>
      <c r="G7" s="1591"/>
      <c r="H7" s="2511"/>
      <c r="I7" s="3571"/>
      <c r="J7" s="786"/>
      <c r="K7" s="787"/>
      <c r="L7" s="782" t="s">
        <v>1740</v>
      </c>
      <c r="M7" s="783">
        <f ca="1">F7</f>
        <v>0</v>
      </c>
    </row>
    <row r="8" spans="1:33" ht="18" customHeight="1">
      <c r="A8" s="2515"/>
      <c r="B8" s="3572"/>
      <c r="C8" s="786"/>
      <c r="D8" s="787"/>
      <c r="E8" s="782" t="s">
        <v>1741</v>
      </c>
      <c r="F8" s="783">
        <f ca="1">INDIRECT("'数据-取费表'!ai"&amp;$G$1)</f>
        <v>0</v>
      </c>
      <c r="G8" s="1591"/>
      <c r="H8" s="2511"/>
      <c r="I8" s="3572"/>
      <c r="J8" s="786"/>
      <c r="K8" s="787"/>
      <c r="L8" s="782" t="s">
        <v>1741</v>
      </c>
      <c r="M8" s="783">
        <f ca="1">INDIRECT("'数据-取费表'!ai"&amp;$G$1)</f>
        <v>0</v>
      </c>
    </row>
    <row r="9" spans="1:33" ht="18" customHeight="1">
      <c r="A9" s="784"/>
      <c r="B9" s="3573"/>
      <c r="C9" s="786"/>
      <c r="D9" s="787"/>
      <c r="E9" s="782" t="s">
        <v>1742</v>
      </c>
      <c r="F9" s="792">
        <f ca="1">INDIRECT("'数据-取费表'!w"&amp;$G$1)</f>
        <v>0</v>
      </c>
      <c r="G9" s="1591"/>
      <c r="H9" s="2527"/>
      <c r="I9" s="3572"/>
      <c r="J9" s="786"/>
      <c r="K9" s="787"/>
      <c r="L9" s="793" t="s">
        <v>1742</v>
      </c>
      <c r="M9" s="794">
        <f ca="1">INDIRECT("'数据-取费表'!ab"&amp;$G$1)</f>
        <v>0</v>
      </c>
    </row>
    <row r="10" spans="1:33" ht="18" customHeight="1">
      <c r="A10" s="1830" t="s">
        <v>2470</v>
      </c>
      <c r="B10" s="2516" t="s">
        <v>2463</v>
      </c>
      <c r="C10" s="797">
        <f ca="1">ROUND(IF(F10="押一",C6/12*F11,IF(F10="押二",C6/12*2*F11,IF(F10="押三",C6/12*3*F11,C11*F11))),0)</f>
        <v>0</v>
      </c>
      <c r="D10" s="2523" t="s">
        <v>2976</v>
      </c>
      <c r="E10" s="2520" t="s">
        <v>2468</v>
      </c>
      <c r="F10" s="2643"/>
      <c r="G10" s="1591"/>
      <c r="H10" s="2583" t="s">
        <v>2473</v>
      </c>
      <c r="I10" s="2588" t="s">
        <v>2463</v>
      </c>
      <c r="J10" s="781">
        <f ca="1">ROUND(IF(M10="押一",J6/12*M11,IF(M10="押二",J6/12*2*M11,IF(M10="押三",J6/12*3*M11,J11*M11))),0)</f>
        <v>0</v>
      </c>
      <c r="K10" s="2523" t="s">
        <v>2976</v>
      </c>
      <c r="L10" s="2520" t="s">
        <v>2468</v>
      </c>
      <c r="M10" s="2643"/>
    </row>
    <row r="11" spans="1:33" ht="18" customHeight="1">
      <c r="A11" s="788"/>
      <c r="B11" s="2517" t="s">
        <v>2577</v>
      </c>
      <c r="C11" s="2521"/>
      <c r="D11" s="787"/>
      <c r="E11" s="2520" t="s">
        <v>2469</v>
      </c>
      <c r="F11" s="794">
        <f ca="1">'数据-取费表'!B39</f>
        <v>1.4999999999999999E-2</v>
      </c>
      <c r="G11" s="1591"/>
      <c r="H11" s="2584"/>
      <c r="I11" s="2517" t="s">
        <v>2577</v>
      </c>
      <c r="J11" s="2521"/>
      <c r="K11" s="2585"/>
      <c r="L11" s="2520" t="s">
        <v>2469</v>
      </c>
      <c r="M11" s="2514">
        <f ca="1">'数据-取费表'!B39</f>
        <v>1.4999999999999999E-2</v>
      </c>
    </row>
    <row r="12" spans="1:33" ht="18" customHeight="1" thickBot="1">
      <c r="A12" s="2559" t="s">
        <v>2471</v>
      </c>
      <c r="B12" s="2560" t="s">
        <v>2464</v>
      </c>
      <c r="C12" s="2561"/>
      <c r="D12" s="2562"/>
      <c r="E12" s="2563"/>
      <c r="F12" s="2564"/>
      <c r="G12" s="1591"/>
      <c r="H12" s="2573" t="s">
        <v>2474</v>
      </c>
      <c r="I12" s="2586" t="s">
        <v>2464</v>
      </c>
      <c r="J12" s="2587"/>
      <c r="K12" s="2562"/>
      <c r="L12" s="2563"/>
      <c r="M12" s="2576"/>
    </row>
    <row r="13" spans="1:33" ht="18" customHeight="1" thickTop="1">
      <c r="A13" s="1829">
        <v>2</v>
      </c>
      <c r="B13" s="1827" t="s">
        <v>1743</v>
      </c>
      <c r="C13" s="790">
        <f ca="1">ROUND(C29*F13,0)</f>
        <v>0</v>
      </c>
      <c r="D13" s="1834" t="s">
        <v>2300</v>
      </c>
      <c r="E13" s="1834" t="s">
        <v>1745</v>
      </c>
      <c r="F13" s="2558">
        <f ca="1">INDIRECT("'数据-取费表'!y"&amp;$G$1)</f>
        <v>0</v>
      </c>
      <c r="G13" s="1591"/>
      <c r="H13" s="1829">
        <v>2</v>
      </c>
      <c r="I13" s="1827" t="s">
        <v>1743</v>
      </c>
      <c r="J13" s="1819">
        <f ca="1">ROUND(J14*J15,0)</f>
        <v>0</v>
      </c>
      <c r="K13" s="1821" t="s">
        <v>1744</v>
      </c>
      <c r="L13" s="2574"/>
      <c r="M13" s="2575"/>
    </row>
    <row r="14" spans="1:33" ht="18" customHeight="1">
      <c r="A14" s="1647" t="s">
        <v>1885</v>
      </c>
      <c r="B14" s="782" t="s">
        <v>645</v>
      </c>
      <c r="C14" s="802">
        <f ca="1">INDIRECT("'数据-取费表'!m"&amp;$G$1)+INDIRECT("'数据-取费表'!t"&amp;$G$1)</f>
        <v>0</v>
      </c>
      <c r="D14" s="1979" t="s">
        <v>1746</v>
      </c>
      <c r="E14" s="1980"/>
      <c r="F14" s="803"/>
      <c r="G14" s="1591"/>
      <c r="H14" s="1648" t="s">
        <v>1831</v>
      </c>
      <c r="I14" s="2231" t="s">
        <v>2829</v>
      </c>
      <c r="J14" s="51">
        <f ca="1">C29</f>
        <v>0</v>
      </c>
      <c r="K14" s="24"/>
      <c r="L14" s="799"/>
      <c r="M14" s="800"/>
    </row>
    <row r="15" spans="1:33" s="2064" customFormat="1" ht="18" customHeight="1" thickBot="1">
      <c r="A15" s="1647" t="s">
        <v>1886</v>
      </c>
      <c r="B15" s="782" t="s">
        <v>647</v>
      </c>
      <c r="C15" s="51">
        <f ca="1">ROUND(C14*F15,0)</f>
        <v>0</v>
      </c>
      <c r="D15" s="804" t="s">
        <v>1747</v>
      </c>
      <c r="E15" s="804" t="s">
        <v>1748</v>
      </c>
      <c r="F15" s="805">
        <f>'数据-取费表'!B33</f>
        <v>0.03</v>
      </c>
      <c r="G15" s="1592"/>
      <c r="H15" s="2573" t="s">
        <v>1890</v>
      </c>
      <c r="I15" s="2568" t="s">
        <v>1745</v>
      </c>
      <c r="J15" s="2577">
        <f ca="1">INDIRECT("'数据-取费表'!ad"&amp;$G$1)</f>
        <v>0</v>
      </c>
      <c r="K15" s="2578"/>
      <c r="L15" s="2579"/>
      <c r="M15" s="2580"/>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1887</v>
      </c>
      <c r="B16" s="782" t="s">
        <v>650</v>
      </c>
      <c r="C16" s="51">
        <f ca="1">ROUND(INDIRECT("'数据-取费表'!m"&amp;$G$1)*F16,0)</f>
        <v>0</v>
      </c>
      <c r="D16" s="782" t="s">
        <v>1747</v>
      </c>
      <c r="E16" s="782" t="s">
        <v>1748</v>
      </c>
      <c r="F16" s="807">
        <f ca="1">IF(INDIRECT("'数据-取费表'!c"&amp;$G$1)="住宅",'数据-取费表'!B34,0)</f>
        <v>0</v>
      </c>
      <c r="G16" s="1591"/>
      <c r="H16" s="1829" t="s">
        <v>1749</v>
      </c>
      <c r="I16" s="1827" t="s">
        <v>1750</v>
      </c>
      <c r="J16" s="790">
        <f ca="1">ROUND(J17+J22+J23+J24,0)</f>
        <v>0</v>
      </c>
      <c r="K16" s="1821" t="s">
        <v>1751</v>
      </c>
      <c r="L16" s="2508"/>
      <c r="M16" s="2513"/>
    </row>
    <row r="17" spans="1:33" s="2064" customFormat="1" ht="18" customHeight="1">
      <c r="A17" s="1647" t="s">
        <v>1888</v>
      </c>
      <c r="B17" s="782" t="s">
        <v>653</v>
      </c>
      <c r="C17" s="51">
        <f ca="1">ROUND(F17*(F43+INDIRECT("'数据-取费表'!S"&amp;$G$1))/10000,0)</f>
        <v>0</v>
      </c>
      <c r="D17" s="782" t="s">
        <v>1752</v>
      </c>
      <c r="E17" s="782" t="s">
        <v>1753</v>
      </c>
      <c r="F17" s="54">
        <f>'数据-取费表'!B35</f>
        <v>200</v>
      </c>
      <c r="G17" s="1592"/>
      <c r="H17" s="1648" t="s">
        <v>1831</v>
      </c>
      <c r="I17" s="782" t="s">
        <v>656</v>
      </c>
      <c r="J17" s="51">
        <f ca="1">ROUND(IF(项目基本情况!B11="自然人",J5*M17,J18+J19+J20),0)</f>
        <v>0</v>
      </c>
      <c r="K17" s="2507" t="s">
        <v>1754</v>
      </c>
      <c r="L17" s="2506" t="s">
        <v>1755</v>
      </c>
      <c r="M17" s="808"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1889</v>
      </c>
      <c r="B18" s="782" t="s">
        <v>659</v>
      </c>
      <c r="C18" s="51">
        <f ca="1">ROUND(C14*F18,0)</f>
        <v>0</v>
      </c>
      <c r="D18" s="782" t="s">
        <v>1747</v>
      </c>
      <c r="E18" s="782" t="s">
        <v>1748</v>
      </c>
      <c r="F18" s="807">
        <f>'数据-取费表'!B36</f>
        <v>1.4999999999999999E-2</v>
      </c>
      <c r="G18" s="1592"/>
      <c r="H18" s="1647" t="s">
        <v>1885</v>
      </c>
      <c r="I18" s="782" t="s">
        <v>1756</v>
      </c>
      <c r="J18" s="51">
        <f ca="1">ROUND(J5*M18/1.05,1)</f>
        <v>0</v>
      </c>
      <c r="K18" s="2506" t="s">
        <v>1757</v>
      </c>
      <c r="L18" s="782" t="s">
        <v>1748</v>
      </c>
      <c r="M18" s="807">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1831</v>
      </c>
      <c r="B19" s="782" t="s">
        <v>662</v>
      </c>
      <c r="C19" s="51">
        <f ca="1">SUM(C14:C18)</f>
        <v>0</v>
      </c>
      <c r="D19" s="259" t="s">
        <v>1758</v>
      </c>
      <c r="E19" s="1982"/>
      <c r="F19" s="54"/>
      <c r="G19" s="1591"/>
      <c r="H19" s="1647" t="s">
        <v>1886</v>
      </c>
      <c r="I19" s="782" t="s">
        <v>1759</v>
      </c>
      <c r="J19" s="51">
        <f ca="1">IF(K19="按租金收入计税",ROUND(J5*M19,1),ROUND(C29*F33*0.7,1))</f>
        <v>0</v>
      </c>
      <c r="K19" s="809" t="s">
        <v>665</v>
      </c>
      <c r="L19" s="782" t="s">
        <v>1748</v>
      </c>
      <c r="M19" s="807">
        <f>IF(K19="按租金收入计税",'数据-取费表'!B51,'数据-取费表'!B50)</f>
        <v>1.2E-2</v>
      </c>
    </row>
    <row r="20" spans="1:33" s="2064" customFormat="1" ht="18" customHeight="1">
      <c r="A20" s="1648" t="s">
        <v>1890</v>
      </c>
      <c r="B20" s="782" t="s">
        <v>666</v>
      </c>
      <c r="C20" s="51">
        <f ca="1">ROUND(C19*F20,0)</f>
        <v>0</v>
      </c>
      <c r="D20" s="810" t="s">
        <v>1760</v>
      </c>
      <c r="E20" s="782" t="s">
        <v>1748</v>
      </c>
      <c r="F20" s="807">
        <f>'数据-取费表'!B37</f>
        <v>0.02</v>
      </c>
      <c r="G20" s="1592"/>
      <c r="H20" s="1650" t="s">
        <v>1881</v>
      </c>
      <c r="I20" s="339" t="s">
        <v>1761</v>
      </c>
      <c r="J20" s="52">
        <f ca="1">ROUND(M20*M21/10000,0)</f>
        <v>0</v>
      </c>
      <c r="K20" s="812" t="s">
        <v>1762</v>
      </c>
      <c r="L20" s="782" t="s">
        <v>1763</v>
      </c>
      <c r="M20" s="638">
        <f>'数据-取费表'!B52</f>
        <v>0</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1891</v>
      </c>
      <c r="B21" s="782" t="s">
        <v>1764</v>
      </c>
      <c r="C21" s="51" t="s">
        <v>1765</v>
      </c>
      <c r="D21" s="810" t="s">
        <v>2301</v>
      </c>
      <c r="E21" s="782" t="s">
        <v>1766</v>
      </c>
      <c r="F21" s="807">
        <f>'数据-取费表'!B38</f>
        <v>0.02</v>
      </c>
      <c r="G21" s="1592"/>
      <c r="H21" s="2528"/>
      <c r="I21" s="791"/>
      <c r="J21" s="67"/>
      <c r="K21" s="814"/>
      <c r="L21" s="782" t="s">
        <v>1767</v>
      </c>
      <c r="M21" s="783">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1892</v>
      </c>
      <c r="B22" s="782" t="s">
        <v>1768</v>
      </c>
      <c r="C22" s="51"/>
      <c r="D22" s="2594" t="str">
        <f>IF(F23&lt;=1,"单利计息。","复利计息。")&amp;"建造成本、管理费用、销售费用产生的利息。"</f>
        <v>复利计息。建造成本、管理费用、销售费用产生的利息。</v>
      </c>
      <c r="E22" s="1982"/>
      <c r="F22" s="54"/>
      <c r="G22" s="1591"/>
      <c r="H22" s="1648" t="s">
        <v>1890</v>
      </c>
      <c r="I22" s="782" t="s">
        <v>1769</v>
      </c>
      <c r="J22" s="51">
        <f ca="1">ROUND(J14*M22,0)</f>
        <v>0</v>
      </c>
      <c r="K22" s="2506" t="s">
        <v>1770</v>
      </c>
      <c r="L22" s="782" t="s">
        <v>1748</v>
      </c>
      <c r="M22" s="815">
        <f ca="1">INDIRECT("'数据-取费表'!Ak"&amp;$G$1)</f>
        <v>0</v>
      </c>
    </row>
    <row r="23" spans="1:33" s="2064" customFormat="1" ht="18" customHeight="1">
      <c r="A23" s="1647" t="s">
        <v>1832</v>
      </c>
      <c r="B23" s="782" t="s">
        <v>2539</v>
      </c>
      <c r="C23" s="51">
        <f ca="1">ROUND(IF('数据-取费表'!B22&lt;=1,(C19+C20)*F24*F23/2,(C19+C20)*(POWER((1+F24),F23/2)-1)),0)</f>
        <v>0</v>
      </c>
      <c r="D23" s="2593" t="str">
        <f>IF(F23&lt;=1,"(建造成本+管理费用)×利率×(建设周期÷2)","(建造成本+管理费用)×((1+利率)^(建设周期÷2)-1)")</f>
        <v>(建造成本+管理费用)×((1+利率)^(建设周期÷2)-1)</v>
      </c>
      <c r="E23" s="782" t="s">
        <v>1771</v>
      </c>
      <c r="F23" s="638">
        <f>'数据-取费表'!B20</f>
        <v>1.5</v>
      </c>
      <c r="G23" s="1592"/>
      <c r="H23" s="1648" t="s">
        <v>1891</v>
      </c>
      <c r="I23" s="782" t="s">
        <v>679</v>
      </c>
      <c r="J23" s="51">
        <f ca="1">ROUND(J13*M23,0)</f>
        <v>0</v>
      </c>
      <c r="K23" s="2506" t="s">
        <v>1772</v>
      </c>
      <c r="L23" s="782" t="s">
        <v>1748</v>
      </c>
      <c r="M23" s="816">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1833</v>
      </c>
      <c r="B24" s="782" t="s">
        <v>1773</v>
      </c>
      <c r="C24" s="51">
        <f ca="1">ROUND(IF('数据-取费表'!B22&lt;=1,F21*F24*F23/2,F21*(POWER((1+F24),F23/2)-1)),4)</f>
        <v>6.9999999999999999E-4</v>
      </c>
      <c r="D24" s="2593" t="str">
        <f>IF(F23&lt;=1,"销售费用×利率×(建设周期÷2)","销售费用×((1+利率)^(建设周期÷2)-1)")</f>
        <v>销售费用×((1+利率)^(建设周期÷2)-1)</v>
      </c>
      <c r="E24" s="782" t="s">
        <v>1774</v>
      </c>
      <c r="F24" s="817">
        <f ca="1">'数据-取费表'!B40</f>
        <v>4.7500000000000001E-2</v>
      </c>
      <c r="G24" s="1592"/>
      <c r="H24" s="2573" t="s">
        <v>1892</v>
      </c>
      <c r="I24" s="2568" t="s">
        <v>666</v>
      </c>
      <c r="J24" s="2566">
        <f ca="1">ROUND(J5*M24,0)</f>
        <v>0</v>
      </c>
      <c r="K24" s="2567" t="s">
        <v>1775</v>
      </c>
      <c r="L24" s="2568" t="s">
        <v>1748</v>
      </c>
      <c r="M24" s="2564">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1841</v>
      </c>
      <c r="B25" s="782" t="s">
        <v>684</v>
      </c>
      <c r="C25" s="51"/>
      <c r="D25" s="259" t="s">
        <v>1776</v>
      </c>
      <c r="E25" s="1982"/>
      <c r="F25" s="54"/>
      <c r="G25" s="1591"/>
      <c r="H25" s="1829" t="s">
        <v>1777</v>
      </c>
      <c r="I25" s="3032" t="s">
        <v>2825</v>
      </c>
      <c r="J25" s="790">
        <f ca="1">J5-J16</f>
        <v>0</v>
      </c>
      <c r="K25" s="2570" t="s">
        <v>1778</v>
      </c>
      <c r="L25" s="2571"/>
      <c r="M25" s="2572"/>
    </row>
    <row r="26" spans="1:33" ht="18" customHeight="1">
      <c r="A26" s="1647" t="s">
        <v>1832</v>
      </c>
      <c r="B26" s="782" t="s">
        <v>2442</v>
      </c>
      <c r="C26" s="51">
        <f ca="1">ROUND((C19+C20)*F26,0)</f>
        <v>0</v>
      </c>
      <c r="D26" s="810" t="s">
        <v>1779</v>
      </c>
      <c r="E26" s="793" t="s">
        <v>1780</v>
      </c>
      <c r="F26" s="792">
        <f ca="1">INDIRECT("'数据-取费表'!q"&amp;$G$1)</f>
        <v>0</v>
      </c>
      <c r="G26" s="1591"/>
      <c r="H26" s="2524" t="s">
        <v>1781</v>
      </c>
      <c r="I26" s="2232" t="s">
        <v>2830</v>
      </c>
      <c r="J26" s="781">
        <f ca="1">IF(J5&lt;&gt;0,ROUND(J25*(1-((1+M28)/(1+M26))^M27)/(M26-M28),0),0)</f>
        <v>0</v>
      </c>
      <c r="K26" s="812" t="s">
        <v>1782</v>
      </c>
      <c r="L26" s="782" t="s">
        <v>2423</v>
      </c>
      <c r="M26" s="792">
        <f ca="1">INDIRECT("'数据-取费表'!I"&amp;$G$1)</f>
        <v>0</v>
      </c>
    </row>
    <row r="27" spans="1:33" ht="18" customHeight="1">
      <c r="A27" s="1647" t="s">
        <v>1833</v>
      </c>
      <c r="B27" s="782" t="s">
        <v>686</v>
      </c>
      <c r="C27" s="51">
        <f ca="1">ROUND(F21*F26,4)</f>
        <v>0</v>
      </c>
      <c r="D27" s="810" t="s">
        <v>1783</v>
      </c>
      <c r="E27" s="804"/>
      <c r="F27" s="805"/>
      <c r="G27" s="1591"/>
      <c r="H27" s="2525"/>
      <c r="I27" s="785"/>
      <c r="J27" s="786"/>
      <c r="K27" s="819" t="s">
        <v>1784</v>
      </c>
      <c r="L27" s="782" t="s">
        <v>1785</v>
      </c>
      <c r="M27" s="820">
        <f ca="1">INDIRECT("'数据-取费表'!ag"&amp;$G$1)</f>
        <v>0</v>
      </c>
    </row>
    <row r="28" spans="1:33" s="2064" customFormat="1" ht="18" customHeight="1">
      <c r="A28" s="1649" t="s">
        <v>1842</v>
      </c>
      <c r="B28" s="782" t="s">
        <v>687</v>
      </c>
      <c r="C28" s="51">
        <f>ROUND(F28/(1+'数据-取费表'!C42),4)</f>
        <v>5.33E-2</v>
      </c>
      <c r="D28" s="810" t="s">
        <v>2302</v>
      </c>
      <c r="E28" s="782" t="s">
        <v>1786</v>
      </c>
      <c r="F28" s="807">
        <f>'数据-取费表'!B41</f>
        <v>5.6000000000000001E-2</v>
      </c>
      <c r="G28" s="1592"/>
      <c r="H28" s="1829"/>
      <c r="I28" s="789"/>
      <c r="J28" s="790"/>
      <c r="K28" s="814"/>
      <c r="L28" s="782" t="s">
        <v>1787</v>
      </c>
      <c r="M28" s="792">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5" t="s">
        <v>1893</v>
      </c>
      <c r="B29" s="2563" t="s">
        <v>2303</v>
      </c>
      <c r="C29" s="2566">
        <f ca="1">ROUND((C19+C20+C23+C26)/(1-F21-C24-C27-C28),0)</f>
        <v>0</v>
      </c>
      <c r="D29" s="2567"/>
      <c r="E29" s="2568"/>
      <c r="F29" s="2569"/>
      <c r="G29" s="1592"/>
      <c r="H29" s="821" t="s">
        <v>1788</v>
      </c>
      <c r="I29" s="822" t="s">
        <v>1789</v>
      </c>
      <c r="J29" s="823">
        <f ca="1">ROUND(J26/(1+F40)^F41,0)</f>
        <v>0</v>
      </c>
      <c r="K29" s="824" t="s">
        <v>1790</v>
      </c>
      <c r="L29" s="825"/>
      <c r="M29" s="826">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0">
        <f ca="1">ROUND(C31+C36+C37+C38,0)</f>
        <v>0</v>
      </c>
      <c r="D30" s="1821" t="s">
        <v>1792</v>
      </c>
      <c r="E30" s="2508"/>
      <c r="F30" s="2513"/>
      <c r="G30" s="2062"/>
      <c r="H30" s="2065"/>
      <c r="I30" s="2066"/>
      <c r="J30" s="2067"/>
      <c r="K30" s="2068"/>
      <c r="L30" s="2069"/>
      <c r="M30" s="2070"/>
    </row>
    <row r="31" spans="1:33" ht="18" customHeight="1">
      <c r="A31" s="1648" t="s">
        <v>1831</v>
      </c>
      <c r="B31" s="782" t="s">
        <v>656</v>
      </c>
      <c r="C31" s="51">
        <f ca="1">ROUND(IF(项目基本情况!B11="自然人",C5*F31,C32+C33+C34),1)</f>
        <v>0</v>
      </c>
      <c r="D31" s="1979" t="s">
        <v>1793</v>
      </c>
      <c r="E31" s="1977" t="s">
        <v>1794</v>
      </c>
      <c r="F31" s="808" t="str">
        <f ca="1">IF(项目基本情况!B11="企业","",IF(INDIRECT("'数据-取费表'!c"&amp;$G$1)="住宅",5%,IF(F6*F7*F8/12/(1+'数据-取费表'!C42)&gt;20000,12%,7%)))</f>
        <v/>
      </c>
      <c r="G31" s="2062"/>
      <c r="H31" s="2065"/>
      <c r="I31" s="2066"/>
      <c r="J31" s="2067"/>
      <c r="K31" s="2068"/>
      <c r="L31" s="2069"/>
      <c r="M31" s="2070"/>
    </row>
    <row r="32" spans="1:33" ht="18" customHeight="1">
      <c r="A32" s="1647" t="s">
        <v>1832</v>
      </c>
      <c r="B32" s="782" t="s">
        <v>1795</v>
      </c>
      <c r="C32" s="51">
        <f ca="1">ROUND(C5*F32/1.05,1)</f>
        <v>0</v>
      </c>
      <c r="D32" s="1977" t="s">
        <v>1796</v>
      </c>
      <c r="E32" s="782" t="s">
        <v>1797</v>
      </c>
      <c r="F32" s="807">
        <f>'数据-取费表'!B41</f>
        <v>5.6000000000000001E-2</v>
      </c>
      <c r="G32" s="2062"/>
      <c r="H32" s="2071"/>
      <c r="I32" s="2072"/>
      <c r="J32" s="2073"/>
      <c r="K32" s="2074"/>
      <c r="L32" s="2075"/>
      <c r="M32" s="2076"/>
    </row>
    <row r="33" spans="1:18" ht="18" customHeight="1">
      <c r="A33" s="1647" t="s">
        <v>1833</v>
      </c>
      <c r="B33" s="782" t="s">
        <v>1798</v>
      </c>
      <c r="C33" s="51">
        <f ca="1">IF(D33="按租金收入计税",ROUND(C5*F33,1),IF(D33="按房产原值计税",ROUND(C29*F33*0.7,1),INDIRECT("'数据-取费表'!Aj"&amp;$G$1)))</f>
        <v>0</v>
      </c>
      <c r="D33" s="809" t="s">
        <v>1681</v>
      </c>
      <c r="E33" s="782" t="s">
        <v>1797</v>
      </c>
      <c r="F33" s="807">
        <f>IF(D33="按租金收入计税",'数据-取费表'!B51,'数据-取费表'!B50)</f>
        <v>1.2E-2</v>
      </c>
      <c r="G33" s="2062"/>
      <c r="H33" s="2077"/>
      <c r="I33" s="2077"/>
      <c r="J33" s="2077"/>
      <c r="K33" s="2078"/>
      <c r="L33" s="2077"/>
      <c r="M33" s="2077"/>
    </row>
    <row r="34" spans="1:18" ht="18" customHeight="1">
      <c r="A34" s="1650" t="s">
        <v>1834</v>
      </c>
      <c r="B34" s="339" t="s">
        <v>1799</v>
      </c>
      <c r="C34" s="52">
        <f ca="1">ROUND(F34*F35/10000,1)</f>
        <v>0</v>
      </c>
      <c r="D34" s="812" t="s">
        <v>1800</v>
      </c>
      <c r="E34" s="782" t="s">
        <v>1801</v>
      </c>
      <c r="F34" s="638">
        <f>'数据-取费表'!B52</f>
        <v>0</v>
      </c>
      <c r="G34" s="2062"/>
      <c r="H34" s="2065"/>
      <c r="I34" s="833" t="s">
        <v>1814</v>
      </c>
      <c r="J34" s="834"/>
      <c r="K34" s="2080"/>
      <c r="L34" s="2079"/>
      <c r="M34" s="2079"/>
    </row>
    <row r="35" spans="1:18" ht="18" customHeight="1">
      <c r="A35" s="813"/>
      <c r="B35" s="791"/>
      <c r="C35" s="67"/>
      <c r="D35" s="814"/>
      <c r="E35" s="782" t="s">
        <v>1802</v>
      </c>
      <c r="F35" s="783">
        <f ca="1">INDIRECT("'数据-取费表'!r"&amp;$G$1)</f>
        <v>0</v>
      </c>
      <c r="G35" s="2062"/>
      <c r="H35" s="2065"/>
      <c r="I35" s="835" t="s">
        <v>1815</v>
      </c>
      <c r="J35" s="836">
        <f ca="1">ROUND(C13*J36,0)</f>
        <v>0</v>
      </c>
      <c r="K35" s="2078"/>
      <c r="L35" s="2077"/>
      <c r="M35" s="2077"/>
    </row>
    <row r="36" spans="1:18" ht="18" customHeight="1">
      <c r="A36" s="1648" t="s">
        <v>1890</v>
      </c>
      <c r="B36" s="782" t="s">
        <v>1803</v>
      </c>
      <c r="C36" s="51">
        <f ca="1">ROUND(C29*F36,1)</f>
        <v>0</v>
      </c>
      <c r="D36" s="1977" t="s">
        <v>1804</v>
      </c>
      <c r="E36" s="782" t="s">
        <v>1797</v>
      </c>
      <c r="F36" s="815">
        <f ca="1">INDIRECT("'数据-取费表'!Ak"&amp;$G$1)</f>
        <v>0</v>
      </c>
      <c r="G36" s="2062"/>
      <c r="H36" s="2077"/>
      <c r="I36" s="837" t="s">
        <v>1816</v>
      </c>
      <c r="J36" s="838">
        <f ca="1">INDIRECT("'数据-取费表'!j"&amp;$G$1)</f>
        <v>0</v>
      </c>
      <c r="K36" s="2082"/>
      <c r="L36" s="2077"/>
      <c r="M36" s="2077"/>
    </row>
    <row r="37" spans="1:18" ht="18" customHeight="1">
      <c r="A37" s="1648" t="s">
        <v>1891</v>
      </c>
      <c r="B37" s="782" t="s">
        <v>679</v>
      </c>
      <c r="C37" s="51">
        <f ca="1">ROUND(C13*F37,1)</f>
        <v>0</v>
      </c>
      <c r="D37" s="1977" t="s">
        <v>1805</v>
      </c>
      <c r="E37" s="782" t="s">
        <v>1797</v>
      </c>
      <c r="F37" s="816">
        <f ca="1">INDIRECT("'数据-取费表'!Al"&amp;$G$1)</f>
        <v>0</v>
      </c>
      <c r="G37" s="2062"/>
      <c r="H37" s="2077"/>
      <c r="I37" s="839" t="s">
        <v>1817</v>
      </c>
      <c r="J37" s="840"/>
      <c r="K37" s="2082"/>
      <c r="L37" s="2077"/>
      <c r="M37" s="2077"/>
    </row>
    <row r="38" spans="1:18" ht="18" customHeight="1" thickBot="1">
      <c r="A38" s="2573" t="s">
        <v>1892</v>
      </c>
      <c r="B38" s="2568" t="s">
        <v>666</v>
      </c>
      <c r="C38" s="2566">
        <f ca="1">ROUND(C5*F38,1)</f>
        <v>0</v>
      </c>
      <c r="D38" s="2567" t="s">
        <v>1806</v>
      </c>
      <c r="E38" s="2568" t="s">
        <v>1797</v>
      </c>
      <c r="F38" s="2564">
        <f ca="1">INDIRECT("'数据-取费表'!Am"&amp;$G$1)</f>
        <v>0</v>
      </c>
      <c r="G38" s="2062"/>
      <c r="H38" s="2077"/>
      <c r="I38" s="841" t="s">
        <v>1818</v>
      </c>
      <c r="J38" s="842"/>
      <c r="K38" s="2083"/>
      <c r="L38" s="2077"/>
      <c r="M38" s="2077"/>
    </row>
    <row r="39" spans="1:18" ht="24.6" customHeight="1" thickTop="1">
      <c r="A39" s="1829" t="s">
        <v>1895</v>
      </c>
      <c r="B39" s="3032" t="s">
        <v>2825</v>
      </c>
      <c r="C39" s="790">
        <f ca="1">C5-C30</f>
        <v>0</v>
      </c>
      <c r="D39" s="2570" t="s">
        <v>1807</v>
      </c>
      <c r="E39" s="2571"/>
      <c r="F39" s="2572"/>
      <c r="G39" s="2062"/>
      <c r="H39" s="2077"/>
      <c r="I39" s="835" t="s">
        <v>1819</v>
      </c>
      <c r="J39" s="843" t="e">
        <f ca="1">ROUND(J35/C39,3)</f>
        <v>#DIV/0!</v>
      </c>
      <c r="K39" s="2083"/>
      <c r="L39" s="2077"/>
      <c r="M39" s="2077"/>
    </row>
    <row r="40" spans="1:18" ht="18" customHeight="1">
      <c r="A40" s="779" t="s">
        <v>1896</v>
      </c>
      <c r="B40" s="2232" t="s">
        <v>2304</v>
      </c>
      <c r="C40" s="781" t="e">
        <f ca="1">ROUND(C39*(1-((1+F42)/(1+F40))^F41)/(F40-F42),0)</f>
        <v>#DIV/0!</v>
      </c>
      <c r="D40" s="812" t="s">
        <v>1808</v>
      </c>
      <c r="E40" s="782" t="s">
        <v>2423</v>
      </c>
      <c r="F40" s="792">
        <f ca="1">INDIRECT("'数据-取费表'!I"&amp;$G$1)</f>
        <v>0</v>
      </c>
      <c r="G40" s="2062"/>
      <c r="H40" s="2062"/>
      <c r="I40" s="835" t="s">
        <v>1820</v>
      </c>
      <c r="J40" s="843" t="e">
        <f ca="1">1-J39</f>
        <v>#DIV/0!</v>
      </c>
      <c r="K40" s="2083"/>
      <c r="L40" s="2062"/>
      <c r="M40" s="2062"/>
    </row>
    <row r="41" spans="1:18" ht="18" customHeight="1">
      <c r="A41" s="784"/>
      <c r="B41" s="785"/>
      <c r="C41" s="786"/>
      <c r="D41" s="819" t="s">
        <v>1809</v>
      </c>
      <c r="E41" s="782" t="s">
        <v>2966</v>
      </c>
      <c r="F41" s="820">
        <f ca="1">IF(INDIRECT("'数据-取费表'!af"&amp;$G$1)=0,INDIRECT("'数据-取费表'!ae"&amp;$G$1),INDIRECT("'数据-取费表'!af"&amp;$G$1))</f>
        <v>0</v>
      </c>
      <c r="G41" s="2062"/>
      <c r="H41" s="1988"/>
      <c r="I41" s="841" t="s">
        <v>1821</v>
      </c>
      <c r="J41" s="844"/>
      <c r="K41" s="2082"/>
      <c r="L41" s="1988"/>
      <c r="M41" s="1988"/>
    </row>
    <row r="42" spans="1:18" ht="18" customHeight="1">
      <c r="A42" s="788"/>
      <c r="B42" s="789"/>
      <c r="C42" s="790"/>
      <c r="D42" s="814"/>
      <c r="E42" s="782" t="s">
        <v>1810</v>
      </c>
      <c r="F42" s="792">
        <f ca="1">INDIRECT("'数据-取费表'!v"&amp;$G$1)</f>
        <v>0</v>
      </c>
      <c r="G42" s="2062"/>
      <c r="H42" s="1988"/>
      <c r="I42" s="845" t="s">
        <v>1822</v>
      </c>
      <c r="J42" s="843" t="e">
        <f ca="1">ROUND(C13/C40,3)</f>
        <v>#DIV/0!</v>
      </c>
      <c r="K42" s="2082"/>
      <c r="L42" s="1988"/>
      <c r="M42" s="1988"/>
    </row>
    <row r="43" spans="1:18" ht="18" customHeight="1" thickBot="1">
      <c r="A43" s="821" t="s">
        <v>1788</v>
      </c>
      <c r="B43" s="822" t="s">
        <v>1811</v>
      </c>
      <c r="C43" s="823" t="e">
        <f ca="1">ROUND(C40*10000/F43,0)</f>
        <v>#DIV/0!</v>
      </c>
      <c r="D43" s="824" t="s">
        <v>1812</v>
      </c>
      <c r="E43" s="825" t="s">
        <v>1813</v>
      </c>
      <c r="F43" s="826">
        <f ca="1">INDIRECT("'数据-取费表'!k"&amp;$G$1)</f>
        <v>0</v>
      </c>
      <c r="G43" s="2062"/>
      <c r="H43" s="1988"/>
      <c r="I43" s="845" t="s">
        <v>1823</v>
      </c>
      <c r="J43" s="846"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6" t="e">
        <f ca="1">C67-C40</f>
        <v>#DIV/0!</v>
      </c>
      <c r="D46" s="2085"/>
      <c r="E46" s="2085"/>
      <c r="F46" s="2085"/>
      <c r="I46" s="2378" t="s">
        <v>2346</v>
      </c>
      <c r="J46" s="2379"/>
      <c r="K46" s="2380"/>
      <c r="L46" s="2381" t="e">
        <f ca="1">IF(OR(M47="住宅",D1="土地（套用方法）"),0,IF(L48&gt;J51,L60,J60))</f>
        <v>#DIV/0!</v>
      </c>
      <c r="O46" s="2418" t="s">
        <v>2414</v>
      </c>
      <c r="P46" s="1591"/>
      <c r="Q46" s="1603"/>
      <c r="R46" s="1591"/>
    </row>
    <row r="47" spans="1:18" s="2059" customFormat="1" ht="18" customHeight="1" thickBot="1">
      <c r="A47" s="2372">
        <v>1</v>
      </c>
      <c r="B47" s="2373" t="s">
        <v>635</v>
      </c>
      <c r="C47" s="2596">
        <f ca="1">C48+C52+C54</f>
        <v>0</v>
      </c>
      <c r="D47" s="2085"/>
      <c r="E47" s="2085"/>
      <c r="F47" s="2085"/>
      <c r="I47" s="2382" t="s">
        <v>2347</v>
      </c>
      <c r="J47" s="2387"/>
      <c r="K47" s="2388" t="s">
        <v>2353</v>
      </c>
      <c r="L47" s="2389">
        <f ca="1">INDIRECT("'数据-取费表'!d"&amp;$G$1)</f>
        <v>50</v>
      </c>
      <c r="M47" s="1603" t="str">
        <f>IF(ISNUMBER(FIND("住宅",C1)),"住宅","非住宅")</f>
        <v>非住宅</v>
      </c>
      <c r="O47" s="2419" t="s">
        <v>2379</v>
      </c>
      <c r="P47" s="2420" t="s">
        <v>2380</v>
      </c>
      <c r="Q47" s="2421" t="s">
        <v>2381</v>
      </c>
      <c r="R47" s="2420" t="s">
        <v>2382</v>
      </c>
    </row>
    <row r="48" spans="1:18" s="2059" customFormat="1" ht="18" customHeight="1" thickBot="1">
      <c r="A48" s="2664" t="s">
        <v>2541</v>
      </c>
      <c r="B48" s="2665" t="s">
        <v>2542</v>
      </c>
      <c r="C48" s="2374">
        <f ca="1">ROUND(F48*F50*F49*(1-F51)/10000,0)</f>
        <v>0</v>
      </c>
      <c r="D48" s="2375" t="s">
        <v>636</v>
      </c>
      <c r="E48" s="2376" t="s">
        <v>2299</v>
      </c>
      <c r="F48" s="2377"/>
      <c r="G48" s="2090"/>
      <c r="I48" s="2383" t="s">
        <v>2348</v>
      </c>
      <c r="J48" s="2390"/>
      <c r="K48" s="2391" t="s">
        <v>2355</v>
      </c>
      <c r="L48" s="2392">
        <f ca="1">INDIRECT("'数据-取费表'!f"&amp;$G$1)</f>
        <v>50</v>
      </c>
      <c r="O48" s="2422" t="s">
        <v>2383</v>
      </c>
      <c r="P48" s="2423" t="s">
        <v>2409</v>
      </c>
      <c r="Q48" s="2424" t="e">
        <f ca="1">C40+J29</f>
        <v>#DIV/0!</v>
      </c>
      <c r="R48" s="2423" t="s">
        <v>2384</v>
      </c>
    </row>
    <row r="49" spans="1:18" s="2059" customFormat="1" ht="18" customHeight="1" thickBot="1">
      <c r="A49" s="784"/>
      <c r="B49" s="785"/>
      <c r="C49" s="786"/>
      <c r="D49" s="787"/>
      <c r="E49" s="782" t="s">
        <v>1740</v>
      </c>
      <c r="F49" s="783">
        <f ca="1">F7</f>
        <v>0</v>
      </c>
      <c r="G49" s="2090"/>
      <c r="H49" s="2093"/>
      <c r="I49" s="2383" t="s">
        <v>2349</v>
      </c>
      <c r="J49" s="2393"/>
      <c r="K49" s="2394" t="s">
        <v>2356</v>
      </c>
      <c r="L49" s="2395"/>
      <c r="O49" s="2422" t="s">
        <v>2385</v>
      </c>
      <c r="P49" s="2423" t="s">
        <v>2410</v>
      </c>
      <c r="Q49" s="2424" t="str">
        <f ca="1">J60</f>
        <v>0</v>
      </c>
      <c r="R49" s="2423" t="s">
        <v>2386</v>
      </c>
    </row>
    <row r="50" spans="1:18" s="2059" customFormat="1" ht="18" customHeight="1" thickBot="1">
      <c r="A50" s="784"/>
      <c r="B50" s="785"/>
      <c r="C50" s="786"/>
      <c r="D50" s="787"/>
      <c r="E50" s="782" t="s">
        <v>1741</v>
      </c>
      <c r="F50" s="783">
        <f ca="1">F8</f>
        <v>0</v>
      </c>
      <c r="G50" s="2095"/>
      <c r="H50" s="2093"/>
      <c r="I50" s="2383" t="s">
        <v>2350</v>
      </c>
      <c r="J50" s="2396">
        <f>SUMPRODUCT((I63:I65=J47)*(J62:L62=J48)*(J63:L65))</f>
        <v>0</v>
      </c>
      <c r="K50" s="2394" t="s">
        <v>2357</v>
      </c>
      <c r="L50" s="2395"/>
      <c r="O50" s="2425" t="s">
        <v>2387</v>
      </c>
      <c r="P50" s="2423" t="s">
        <v>2411</v>
      </c>
      <c r="Q50" s="2424">
        <f ca="1">C29</f>
        <v>0</v>
      </c>
      <c r="R50" s="2423" t="s">
        <v>2384</v>
      </c>
    </row>
    <row r="51" spans="1:18" s="2059" customFormat="1" ht="18" customHeight="1" thickBot="1">
      <c r="A51" s="784"/>
      <c r="B51" s="785"/>
      <c r="C51" s="786"/>
      <c r="D51" s="787"/>
      <c r="E51" s="782" t="s">
        <v>640</v>
      </c>
      <c r="F51" s="2371"/>
      <c r="H51" s="2093"/>
      <c r="I51" s="2384" t="s">
        <v>2351</v>
      </c>
      <c r="J51" s="2397">
        <f>IF(J49="",J50,J49+J50-YEAR('数据-取费表'!B2))</f>
        <v>0</v>
      </c>
      <c r="K51" s="2383" t="s">
        <v>2358</v>
      </c>
      <c r="L51" s="2398">
        <f ca="1">ROUND(-PV(INDIRECT("'数据-取费表'!h"&amp;$G$1),L48,(C39-C13*J36),0),0)</f>
        <v>0</v>
      </c>
      <c r="O51" s="2425" t="s">
        <v>2388</v>
      </c>
      <c r="P51" s="2423" t="s">
        <v>2389</v>
      </c>
      <c r="Q51" s="2426" t="e">
        <f ca="1">J58</f>
        <v>#VALUE!</v>
      </c>
      <c r="R51" s="2427"/>
    </row>
    <row r="52" spans="1:18" s="2059" customFormat="1" ht="18" customHeight="1" thickBot="1">
      <c r="A52" s="779" t="s">
        <v>2540</v>
      </c>
      <c r="B52" s="2516" t="s">
        <v>2463</v>
      </c>
      <c r="C52" s="797">
        <f ca="1">ROUND(IF(F52="押一",C48/12*F11,IF(F52="押二",C48/12*2*F11,IF(F52="押三",C48/12*3*F11,C53*F11))),0)</f>
        <v>0</v>
      </c>
      <c r="D52" s="2523" t="s">
        <v>2977</v>
      </c>
      <c r="E52" s="2520" t="s">
        <v>2468</v>
      </c>
      <c r="F52" s="2643"/>
      <c r="I52" s="2385" t="s">
        <v>2425</v>
      </c>
      <c r="J52" s="2399"/>
      <c r="K52" s="2385" t="s">
        <v>2424</v>
      </c>
      <c r="L52" s="2399"/>
      <c r="O52" s="2425" t="s">
        <v>2390</v>
      </c>
      <c r="P52" s="2423" t="s">
        <v>2391</v>
      </c>
      <c r="Q52" s="2426">
        <f>J52</f>
        <v>0</v>
      </c>
      <c r="R52" s="2427"/>
    </row>
    <row r="53" spans="1:18" s="2059" customFormat="1" ht="39.75" customHeight="1" thickBot="1">
      <c r="A53" s="784"/>
      <c r="B53" s="2517" t="s">
        <v>2577</v>
      </c>
      <c r="C53" s="2521"/>
      <c r="D53" s="2523"/>
      <c r="E53" s="2520"/>
      <c r="F53" s="798"/>
      <c r="I53" s="2386" t="s">
        <v>2352</v>
      </c>
      <c r="J53" s="2400">
        <f ca="1">IF(M47="住宅",J51,IF(D1="——",MIN(J51,L48),IF(D1="土地（套用方法）",MIN(J51,L48-'数据-取费表'!B20))))</f>
        <v>0</v>
      </c>
      <c r="K53" s="3586" t="s">
        <v>2968</v>
      </c>
      <c r="L53" s="3587"/>
      <c r="O53" s="2425" t="s">
        <v>2392</v>
      </c>
      <c r="P53" s="2423" t="s">
        <v>2393</v>
      </c>
      <c r="Q53" s="2424">
        <f ca="1">J53</f>
        <v>0</v>
      </c>
      <c r="R53" s="2423" t="s">
        <v>2394</v>
      </c>
    </row>
    <row r="54" spans="1:18" s="2059" customFormat="1" ht="18" customHeight="1" thickBot="1">
      <c r="A54" s="2559" t="s">
        <v>2471</v>
      </c>
      <c r="B54" s="2560" t="s">
        <v>2464</v>
      </c>
      <c r="C54" s="2561"/>
      <c r="D54" s="2523"/>
      <c r="E54" s="2520"/>
      <c r="F54" s="798"/>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2395</v>
      </c>
      <c r="P54" s="2423" t="s">
        <v>2412</v>
      </c>
      <c r="Q54" s="2424" t="e">
        <f ca="1">Q48+Q49</f>
        <v>#DIV/0!</v>
      </c>
      <c r="R54" s="2427" t="s">
        <v>2396</v>
      </c>
    </row>
    <row r="55" spans="1:18" s="2059" customFormat="1" ht="18" customHeight="1" thickTop="1" thickBot="1">
      <c r="A55" s="795">
        <v>2</v>
      </c>
      <c r="B55" s="796" t="s">
        <v>644</v>
      </c>
      <c r="C55" s="797">
        <f ca="1">C13</f>
        <v>0</v>
      </c>
      <c r="D55" s="793"/>
      <c r="E55" s="793"/>
      <c r="F55" s="798"/>
      <c r="I55" s="3125" t="s">
        <v>2359</v>
      </c>
      <c r="J55" s="3124" t="e">
        <f ca="1">ROUND(IF(J47="钢混",J57/J50,1-(1-2%)*(J50-J57)/J50),3)</f>
        <v>#VALUE!</v>
      </c>
      <c r="K55" s="2401" t="s">
        <v>2360</v>
      </c>
      <c r="L55" s="2402"/>
      <c r="O55" s="2428" t="s">
        <v>2415</v>
      </c>
      <c r="P55" s="1591"/>
      <c r="Q55" s="1603"/>
      <c r="R55" s="1591"/>
    </row>
    <row r="56" spans="1:18" s="2059" customFormat="1" ht="42.75" customHeight="1" thickBot="1">
      <c r="A56" s="1649"/>
      <c r="B56" s="2231" t="s">
        <v>2305</v>
      </c>
      <c r="C56" s="51">
        <f ca="1">C29</f>
        <v>0</v>
      </c>
      <c r="D56" s="2661"/>
      <c r="E56" s="782"/>
      <c r="F56" s="807"/>
      <c r="I56" s="2403" t="s">
        <v>2361</v>
      </c>
      <c r="J56" s="3148" t="s">
        <v>1679</v>
      </c>
      <c r="K56" s="2383" t="s">
        <v>2366</v>
      </c>
      <c r="L56" s="2392">
        <f ca="1">IF(L48&lt;J51,"——",L48-J51)</f>
        <v>50</v>
      </c>
      <c r="O56" s="2419" t="s">
        <v>2379</v>
      </c>
      <c r="P56" s="2420" t="s">
        <v>2380</v>
      </c>
      <c r="Q56" s="2421" t="s">
        <v>2381</v>
      </c>
      <c r="R56" s="2420" t="s">
        <v>2382</v>
      </c>
    </row>
    <row r="57" spans="1:18" s="2059" customFormat="1" ht="28.5" customHeight="1" thickBot="1">
      <c r="A57" s="795" t="s">
        <v>1749</v>
      </c>
      <c r="B57" s="796" t="s">
        <v>651</v>
      </c>
      <c r="C57" s="797">
        <f ca="1">ROUND(C58+C63+C64+C65,0)</f>
        <v>0</v>
      </c>
      <c r="D57" s="24" t="s">
        <v>1751</v>
      </c>
      <c r="E57" s="2662"/>
      <c r="F57" s="54"/>
      <c r="I57" s="2404" t="s">
        <v>2362</v>
      </c>
      <c r="J57" s="2406" t="str">
        <f ca="1">IF(OR(M47="住宅",J51&lt;L48,J56="是"),"——",J51-L48)</f>
        <v>——</v>
      </c>
      <c r="K57" s="2383" t="s">
        <v>2367</v>
      </c>
      <c r="L57" s="2392">
        <f ca="1">IF(L48&lt;J51,"——",IF(L55="比较法",L49,IF(L55="基准地价",L50,L51)))</f>
        <v>0</v>
      </c>
      <c r="O57" s="2422" t="s">
        <v>2383</v>
      </c>
      <c r="P57" s="2423" t="s">
        <v>2413</v>
      </c>
      <c r="Q57" s="2424" t="e">
        <f ca="1">C40+J29</f>
        <v>#DIV/0!</v>
      </c>
      <c r="R57" s="2423" t="s">
        <v>2384</v>
      </c>
    </row>
    <row r="58" spans="1:18" s="2059" customFormat="1" ht="28.5" customHeight="1" thickBot="1">
      <c r="A58" s="1648" t="s">
        <v>1825</v>
      </c>
      <c r="B58" s="782" t="s">
        <v>656</v>
      </c>
      <c r="C58" s="51">
        <f ca="1">ROUND(IF(项目基本情况!B11="自然人",C47*F58,C59+C60+C61),1)</f>
        <v>0</v>
      </c>
      <c r="D58" s="2660" t="s">
        <v>657</v>
      </c>
      <c r="E58" s="2661" t="s">
        <v>690</v>
      </c>
      <c r="F58" s="808" t="str">
        <f ca="1">IF(项目基本情况!B11="企业","",IF(INDIRECT("'数据-取费表'!c"&amp;$G$1)="住宅",5%,IF(F48*F49*F50/12/(1+'数据-取费表'!C42)&gt;20000,12%,7%)))</f>
        <v/>
      </c>
      <c r="I58" s="2404" t="s">
        <v>2363</v>
      </c>
      <c r="J58" s="3126" t="e">
        <f ca="1">IF(J55&lt;0.4,0.4,J55)</f>
        <v>#VALUE!</v>
      </c>
      <c r="K58" s="2383" t="s">
        <v>2368</v>
      </c>
      <c r="L58" s="2392" t="e">
        <f ca="1">ROUND(POWER(1+L52,L47-L48)*(POWER(1+L52,L48)-1)/(POWER(1+L52,L47)-1),4)</f>
        <v>#DIV/0!</v>
      </c>
      <c r="O58" s="2422" t="s">
        <v>2385</v>
      </c>
      <c r="P58" s="2423" t="s">
        <v>2416</v>
      </c>
      <c r="Q58" s="2424" t="e">
        <f ca="1">L60</f>
        <v>#DIV/0!</v>
      </c>
      <c r="R58" s="2427" t="s">
        <v>2418</v>
      </c>
    </row>
    <row r="59" spans="1:18" s="2059" customFormat="1" ht="28.5" customHeight="1" thickBot="1">
      <c r="A59" s="1647" t="s">
        <v>1832</v>
      </c>
      <c r="B59" s="782" t="s">
        <v>660</v>
      </c>
      <c r="C59" s="51">
        <f ca="1">ROUND(C47*F59/1.05,1)</f>
        <v>0</v>
      </c>
      <c r="D59" s="2661" t="s">
        <v>1757</v>
      </c>
      <c r="E59" s="782" t="s">
        <v>1748</v>
      </c>
      <c r="F59" s="807">
        <f t="shared" ref="F59:F65" si="0">F32</f>
        <v>5.6000000000000001E-2</v>
      </c>
      <c r="I59" s="2404" t="s">
        <v>2364</v>
      </c>
      <c r="J59" s="2406" t="str">
        <f ca="1">IF(OR(M47="住宅",J51&lt;L48,J56="是"),"——",ROUND(C29*J58,0))</f>
        <v>——</v>
      </c>
      <c r="K59" s="3155" t="str">
        <f>IF(D1="——","建筑物剩余耐用年限下的土地年期修正系数Kn","建设期及建筑物耐用年限下的土地年期修正系数Kn")</f>
        <v>建筑物剩余耐用年限下的土地年期修正系数Kn</v>
      </c>
      <c r="L59" s="2392" t="e">
        <f ca="1">ROUND(IF(D1="土地（套用方法）",POWER(1+L52,L47-(J51+'数据-取费表'!B20))*(POWER(1+L52,(J51+'数据-取费表'!B20))-1)/(POWER(1+L52,L47)-1),POWER(1+L52,L47-J51)*(POWER(1+L52,J51)-1)/(POWER(1+L52,L47)-1)),4)</f>
        <v>#DIV/0!</v>
      </c>
      <c r="O59" s="2425" t="s">
        <v>2387</v>
      </c>
      <c r="P59" s="2423" t="s">
        <v>2417</v>
      </c>
      <c r="Q59" s="2424">
        <f>IF(L55="比较法",L49,IF(L55="基准地价",L50,0))</f>
        <v>0</v>
      </c>
      <c r="R59" s="2423" t="s">
        <v>2384</v>
      </c>
    </row>
    <row r="60" spans="1:18" s="2059" customFormat="1" ht="18" customHeight="1" thickBot="1">
      <c r="A60" s="1647" t="s">
        <v>1833</v>
      </c>
      <c r="B60" s="782" t="s">
        <v>1759</v>
      </c>
      <c r="C60" s="51">
        <f ca="1">IF(D60="按租金收入计税",ROUND(C47*F60,1),IF(D60="按房产原值计税",ROUND(C56*F60*0.7,1),INDIRECT("'数据-取费表'!Aj"&amp;$G$1)))</f>
        <v>0</v>
      </c>
      <c r="D60" s="2661" t="str">
        <f>D33</f>
        <v>按房产原值计税</v>
      </c>
      <c r="E60" s="782" t="s">
        <v>1748</v>
      </c>
      <c r="F60" s="807">
        <f t="shared" si="0"/>
        <v>1.2E-2</v>
      </c>
      <c r="I60" s="2405" t="s">
        <v>2365</v>
      </c>
      <c r="J60" s="2407" t="str">
        <f ca="1">IF(OR(M47="住宅",J51&lt;L48,J56="是"),"0",ROUND(J59/(1+J52)^J53,0))</f>
        <v>0</v>
      </c>
      <c r="K60" s="2408" t="s">
        <v>2370</v>
      </c>
      <c r="L60" s="2407" t="e">
        <f ca="1">IF(OR(M47="住宅",L48&lt;J51),0,ROUND(L57*(L58/L59-1),0))</f>
        <v>#DIV/0!</v>
      </c>
      <c r="O60" s="2425" t="s">
        <v>2388</v>
      </c>
      <c r="P60" s="2423" t="s">
        <v>2397</v>
      </c>
      <c r="Q60" s="2426">
        <f>L52</f>
        <v>0</v>
      </c>
      <c r="R60" s="2427"/>
    </row>
    <row r="61" spans="1:18" s="2059" customFormat="1" ht="18" customHeight="1" thickBot="1">
      <c r="A61" s="1650" t="s">
        <v>1834</v>
      </c>
      <c r="B61" s="339" t="s">
        <v>668</v>
      </c>
      <c r="C61" s="52">
        <f ca="1">ROUND(F61*F62/10000,1)</f>
        <v>0</v>
      </c>
      <c r="D61" s="812" t="s">
        <v>669</v>
      </c>
      <c r="E61" s="782" t="s">
        <v>670</v>
      </c>
      <c r="F61" s="638">
        <f t="shared" si="0"/>
        <v>0</v>
      </c>
      <c r="K61" s="2086"/>
      <c r="O61" s="2425" t="s">
        <v>2390</v>
      </c>
      <c r="P61" s="2423" t="s">
        <v>2398</v>
      </c>
      <c r="Q61" s="2424" t="e">
        <f ca="1">L58</f>
        <v>#DIV/0!</v>
      </c>
      <c r="R61" s="2427" t="s">
        <v>2399</v>
      </c>
    </row>
    <row r="62" spans="1:18" s="2059" customFormat="1" ht="15.75" thickBot="1">
      <c r="A62" s="813"/>
      <c r="B62" s="791"/>
      <c r="C62" s="67"/>
      <c r="D62" s="814"/>
      <c r="E62" s="782" t="s">
        <v>674</v>
      </c>
      <c r="F62" s="783">
        <f t="shared" ca="1" si="0"/>
        <v>0</v>
      </c>
      <c r="I62" s="2409" t="s">
        <v>2371</v>
      </c>
      <c r="J62" s="2410" t="s">
        <v>2372</v>
      </c>
      <c r="K62" s="2410" t="s">
        <v>2373</v>
      </c>
      <c r="L62" s="2410" t="s">
        <v>2354</v>
      </c>
      <c r="M62" s="3127" t="s">
        <v>2943</v>
      </c>
      <c r="O62" s="2425" t="s">
        <v>2392</v>
      </c>
      <c r="P62" s="2423" t="str">
        <f>K59</f>
        <v>建筑物剩余耐用年限下的土地年期修正系数Kn</v>
      </c>
      <c r="Q62" s="2424" t="e">
        <f ca="1">L59</f>
        <v>#DIV/0!</v>
      </c>
      <c r="R62" s="2427" t="s">
        <v>2401</v>
      </c>
    </row>
    <row r="63" spans="1:18" s="2059" customFormat="1" ht="15.75" thickBot="1">
      <c r="A63" s="1648" t="s">
        <v>1890</v>
      </c>
      <c r="B63" s="782" t="s">
        <v>676</v>
      </c>
      <c r="C63" s="51">
        <f ca="1">ROUND(C56*F63,1)</f>
        <v>0</v>
      </c>
      <c r="D63" s="2661" t="s">
        <v>1804</v>
      </c>
      <c r="E63" s="782" t="s">
        <v>1748</v>
      </c>
      <c r="F63" s="815">
        <f t="shared" ca="1" si="0"/>
        <v>0</v>
      </c>
      <c r="I63" s="2409" t="s">
        <v>2374</v>
      </c>
      <c r="J63" s="2410">
        <v>70</v>
      </c>
      <c r="K63" s="2410">
        <v>50</v>
      </c>
      <c r="L63" s="2410">
        <v>80</v>
      </c>
      <c r="M63" s="3128">
        <v>0.02</v>
      </c>
      <c r="O63" s="2422" t="s">
        <v>2395</v>
      </c>
      <c r="P63" s="2423" t="s">
        <v>2412</v>
      </c>
      <c r="Q63" s="2424" t="e">
        <f ca="1">Q57+Q58</f>
        <v>#DIV/0!</v>
      </c>
      <c r="R63" s="2427" t="s">
        <v>2396</v>
      </c>
    </row>
    <row r="64" spans="1:18" s="2059" customFormat="1" ht="16.5" thickBot="1">
      <c r="A64" s="1648" t="s">
        <v>1891</v>
      </c>
      <c r="B64" s="782" t="s">
        <v>679</v>
      </c>
      <c r="C64" s="51">
        <f ca="1">ROUND(C55*F64,1)</f>
        <v>0</v>
      </c>
      <c r="D64" s="2661" t="s">
        <v>680</v>
      </c>
      <c r="E64" s="782" t="s">
        <v>1748</v>
      </c>
      <c r="F64" s="816">
        <f t="shared" ca="1" si="0"/>
        <v>0</v>
      </c>
      <c r="I64" s="2409" t="s">
        <v>2375</v>
      </c>
      <c r="J64" s="2410">
        <v>50</v>
      </c>
      <c r="K64" s="2410">
        <v>35</v>
      </c>
      <c r="L64" s="2410">
        <v>60</v>
      </c>
      <c r="M64" s="3129">
        <v>0</v>
      </c>
      <c r="O64" s="2428" t="s">
        <v>2419</v>
      </c>
      <c r="P64" s="1591"/>
      <c r="Q64" s="1603"/>
      <c r="R64" s="1591"/>
    </row>
    <row r="65" spans="1:18" s="2059" customFormat="1" ht="15.75" thickBot="1">
      <c r="A65" s="1648" t="s">
        <v>1892</v>
      </c>
      <c r="B65" s="782" t="s">
        <v>666</v>
      </c>
      <c r="C65" s="51">
        <f ca="1">ROUND(C47*F65,1)</f>
        <v>0</v>
      </c>
      <c r="D65" s="2661" t="s">
        <v>683</v>
      </c>
      <c r="E65" s="782" t="s">
        <v>1748</v>
      </c>
      <c r="F65" s="792">
        <f t="shared" ca="1" si="0"/>
        <v>0</v>
      </c>
      <c r="I65" s="2409" t="s">
        <v>2376</v>
      </c>
      <c r="J65" s="2410">
        <v>40</v>
      </c>
      <c r="K65" s="2410">
        <v>30</v>
      </c>
      <c r="L65" s="2410">
        <v>50</v>
      </c>
      <c r="M65" s="3128">
        <v>0.02</v>
      </c>
      <c r="O65" s="2419" t="s">
        <v>2379</v>
      </c>
      <c r="P65" s="2420" t="s">
        <v>2380</v>
      </c>
      <c r="Q65" s="2421" t="s">
        <v>2381</v>
      </c>
      <c r="R65" s="2420" t="s">
        <v>2382</v>
      </c>
    </row>
    <row r="66" spans="1:18" s="2059" customFormat="1" ht="24.75" thickBot="1">
      <c r="A66" s="795" t="s">
        <v>1777</v>
      </c>
      <c r="B66" s="3033" t="s">
        <v>2825</v>
      </c>
      <c r="C66" s="797">
        <f ca="1">C47-C57</f>
        <v>0</v>
      </c>
      <c r="D66" s="2660" t="s">
        <v>700</v>
      </c>
      <c r="E66" s="2659"/>
      <c r="F66" s="818"/>
      <c r="K66" s="2086"/>
      <c r="O66" s="2422" t="s">
        <v>2383</v>
      </c>
      <c r="P66" s="2423" t="s">
        <v>2413</v>
      </c>
      <c r="Q66" s="2424" t="e">
        <f ca="1">C40+J29</f>
        <v>#DIV/0!</v>
      </c>
      <c r="R66" s="2423" t="s">
        <v>2384</v>
      </c>
    </row>
    <row r="67" spans="1:18" s="2059" customFormat="1" ht="20.25" thickBot="1">
      <c r="A67" s="779" t="s">
        <v>1781</v>
      </c>
      <c r="B67" s="2232" t="s">
        <v>2304</v>
      </c>
      <c r="C67" s="781" t="e">
        <f ca="1">ROUND(C66*(1-((1+F69)/(1+F67))^F68)/(F67-F69),0)</f>
        <v>#DIV/0!</v>
      </c>
      <c r="D67" s="812" t="s">
        <v>704</v>
      </c>
      <c r="E67" s="782" t="s">
        <v>705</v>
      </c>
      <c r="F67" s="792">
        <f ca="1">F40</f>
        <v>0</v>
      </c>
      <c r="K67" s="2086"/>
      <c r="O67" s="2422" t="s">
        <v>2385</v>
      </c>
      <c r="P67" s="2423" t="s">
        <v>2416</v>
      </c>
      <c r="Q67" s="2424" t="e">
        <f ca="1">L60</f>
        <v>#DIV/0!</v>
      </c>
      <c r="R67" s="2427" t="s">
        <v>2418</v>
      </c>
    </row>
    <row r="68" spans="1:18" ht="21.75" thickBot="1">
      <c r="A68" s="784"/>
      <c r="B68" s="785"/>
      <c r="C68" s="786"/>
      <c r="D68" s="819" t="s">
        <v>1809</v>
      </c>
      <c r="E68" s="782" t="s">
        <v>1785</v>
      </c>
      <c r="F68" s="820">
        <f ca="1">F41</f>
        <v>0</v>
      </c>
      <c r="O68" s="2425" t="s">
        <v>2387</v>
      </c>
      <c r="P68" s="2423" t="s">
        <v>2417</v>
      </c>
      <c r="Q68" s="2429">
        <f ca="1">L51</f>
        <v>0</v>
      </c>
      <c r="R68" s="2430" t="s">
        <v>2420</v>
      </c>
    </row>
    <row r="69" spans="1:18" ht="20.25" thickBot="1">
      <c r="A69" s="788"/>
      <c r="B69" s="789"/>
      <c r="C69" s="790"/>
      <c r="D69" s="814"/>
      <c r="E69" s="782" t="s">
        <v>710</v>
      </c>
      <c r="F69" s="2371"/>
      <c r="O69" s="2425" t="s">
        <v>2388</v>
      </c>
      <c r="P69" s="2431" t="s">
        <v>2402</v>
      </c>
      <c r="Q69" s="2424">
        <f ca="1">ROUND(Q70-Q71*Q72,0)</f>
        <v>0</v>
      </c>
      <c r="R69" s="2427"/>
    </row>
    <row r="70" spans="1:18" ht="15.75" thickBot="1">
      <c r="A70" s="821" t="s">
        <v>1788</v>
      </c>
      <c r="B70" s="822" t="s">
        <v>1811</v>
      </c>
      <c r="C70" s="823" t="e">
        <f ca="1">ROUND(C67*10000/F70,0)</f>
        <v>#DIV/0!</v>
      </c>
      <c r="D70" s="824" t="s">
        <v>1812</v>
      </c>
      <c r="E70" s="825" t="s">
        <v>1813</v>
      </c>
      <c r="F70" s="826">
        <f ca="1">F43</f>
        <v>0</v>
      </c>
      <c r="O70" s="2425" t="s">
        <v>2403</v>
      </c>
      <c r="P70" s="2431" t="s">
        <v>2404</v>
      </c>
      <c r="Q70" s="2424">
        <f ca="1">C39</f>
        <v>0</v>
      </c>
      <c r="R70" s="2423" t="s">
        <v>2384</v>
      </c>
    </row>
    <row r="71" spans="1:18" ht="15.75" thickBot="1">
      <c r="O71" s="2425" t="s">
        <v>2405</v>
      </c>
      <c r="P71" s="2431" t="s">
        <v>2406</v>
      </c>
      <c r="Q71" s="2424">
        <f ca="1">C13</f>
        <v>0</v>
      </c>
      <c r="R71" s="2423" t="s">
        <v>2384</v>
      </c>
    </row>
    <row r="72" spans="1:18" ht="15.75" thickBot="1">
      <c r="O72" s="2425" t="s">
        <v>2407</v>
      </c>
      <c r="P72" s="2431" t="s">
        <v>2408</v>
      </c>
      <c r="Q72" s="2426">
        <f ca="1">J36</f>
        <v>0</v>
      </c>
      <c r="R72" s="2427"/>
    </row>
    <row r="73" spans="1:18" ht="15.75" thickBot="1">
      <c r="O73" s="2425" t="s">
        <v>2390</v>
      </c>
      <c r="P73" s="2423" t="s">
        <v>2397</v>
      </c>
      <c r="Q73" s="2426">
        <f>L52</f>
        <v>0</v>
      </c>
      <c r="R73" s="2427"/>
    </row>
    <row r="74" spans="1:18" ht="20.25" thickBot="1">
      <c r="O74" s="2425" t="s">
        <v>2392</v>
      </c>
      <c r="P74" s="2423" t="s">
        <v>2398</v>
      </c>
      <c r="Q74" s="2424" t="e">
        <f ca="1">L58</f>
        <v>#DIV/0!</v>
      </c>
      <c r="R74" s="2427" t="s">
        <v>2399</v>
      </c>
    </row>
    <row r="75" spans="1:18" ht="15.75" thickBot="1">
      <c r="O75" s="2425" t="s">
        <v>2421</v>
      </c>
      <c r="P75" s="2423" t="str">
        <f>K59</f>
        <v>建筑物剩余耐用年限下的土地年期修正系数Kn</v>
      </c>
      <c r="Q75" s="2424" t="e">
        <f ca="1">L59</f>
        <v>#DIV/0!</v>
      </c>
      <c r="R75" s="2427" t="s">
        <v>2401</v>
      </c>
    </row>
    <row r="76" spans="1:18" ht="15.75" thickBot="1">
      <c r="O76" s="2422" t="s">
        <v>2395</v>
      </c>
      <c r="P76" s="2423" t="s">
        <v>2412</v>
      </c>
      <c r="Q76" s="2424" t="e">
        <f ca="1">Q66+Q67</f>
        <v>#DIV/0!</v>
      </c>
      <c r="R76" s="2427"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0" priority="7">
      <formula>$L$48&gt;$J$51</formula>
    </cfRule>
  </conditionalFormatting>
  <conditionalFormatting sqref="I55">
    <cfRule type="expression" dxfId="89" priority="8">
      <formula>$J$51&gt;$L$48</formula>
    </cfRule>
  </conditionalFormatting>
  <conditionalFormatting sqref="I60">
    <cfRule type="expression" dxfId="88" priority="6">
      <formula>$J$51&gt;$L$48</formula>
    </cfRule>
  </conditionalFormatting>
  <conditionalFormatting sqref="K60">
    <cfRule type="expression" dxfId="87" priority="5">
      <formula>$L$48&gt;$J$51</formula>
    </cfRule>
  </conditionalFormatting>
  <conditionalFormatting sqref="C11">
    <cfRule type="expression" dxfId="86" priority="4">
      <formula>$F$10="自定义"</formula>
    </cfRule>
  </conditionalFormatting>
  <conditionalFormatting sqref="J11">
    <cfRule type="expression" dxfId="85" priority="2">
      <formula>$M$10="自定义"</formula>
    </cfRule>
  </conditionalFormatting>
  <conditionalFormatting sqref="C53">
    <cfRule type="expression" dxfId="8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88" t="s">
        <v>2475</v>
      </c>
      <c r="B1" s="3589"/>
      <c r="C1" s="3590"/>
      <c r="D1" s="3591">
        <f>SUM(I10,I15,I20,I21,I23)</f>
        <v>0</v>
      </c>
      <c r="E1" s="3591"/>
      <c r="F1" s="3591"/>
      <c r="G1" s="3591"/>
      <c r="H1" s="3591"/>
      <c r="I1" s="3592"/>
    </row>
    <row r="2" spans="1:9">
      <c r="A2" s="3593" t="s">
        <v>2476</v>
      </c>
      <c r="B2" s="3594" t="s">
        <v>2477</v>
      </c>
      <c r="C2" s="3594"/>
      <c r="D2" s="2529" t="s">
        <v>2478</v>
      </c>
      <c r="E2" s="2529" t="s">
        <v>2479</v>
      </c>
      <c r="F2" s="2529" t="s">
        <v>2480</v>
      </c>
      <c r="G2" s="2529" t="s">
        <v>2481</v>
      </c>
      <c r="H2" s="2529" t="s">
        <v>2482</v>
      </c>
      <c r="I2" s="2530" t="s">
        <v>2483</v>
      </c>
    </row>
    <row r="3" spans="1:9">
      <c r="A3" s="3593"/>
      <c r="B3" s="3594" t="s">
        <v>2484</v>
      </c>
      <c r="C3" s="3594"/>
      <c r="D3" s="2531"/>
      <c r="E3" s="2529"/>
      <c r="F3" s="2532"/>
      <c r="G3" s="2532"/>
      <c r="H3" s="2533"/>
      <c r="I3" s="2534">
        <f>ROUND(D3*E3*F3*G3*H3/10000,0)</f>
        <v>0</v>
      </c>
    </row>
    <row r="4" spans="1:9">
      <c r="A4" s="3593"/>
      <c r="B4" s="3594" t="s">
        <v>2485</v>
      </c>
      <c r="C4" s="3594"/>
      <c r="D4" s="2531"/>
      <c r="E4" s="2529"/>
      <c r="F4" s="2532"/>
      <c r="G4" s="2532"/>
      <c r="H4" s="2533"/>
      <c r="I4" s="2534">
        <f t="shared" ref="I4:I9" si="0">ROUND(D4*E4*F4*G4*H4/10000,0)</f>
        <v>0</v>
      </c>
    </row>
    <row r="5" spans="1:9">
      <c r="A5" s="3593"/>
      <c r="B5" s="3594" t="s">
        <v>2486</v>
      </c>
      <c r="C5" s="3594"/>
      <c r="D5" s="2531"/>
      <c r="E5" s="2529"/>
      <c r="F5" s="2532"/>
      <c r="G5" s="2532"/>
      <c r="H5" s="2533"/>
      <c r="I5" s="2534">
        <f t="shared" si="0"/>
        <v>0</v>
      </c>
    </row>
    <row r="6" spans="1:9">
      <c r="A6" s="3593"/>
      <c r="B6" s="3594" t="s">
        <v>2487</v>
      </c>
      <c r="C6" s="3594"/>
      <c r="D6" s="2531"/>
      <c r="E6" s="2529"/>
      <c r="F6" s="2532"/>
      <c r="G6" s="2532"/>
      <c r="H6" s="2533"/>
      <c r="I6" s="2534">
        <f t="shared" si="0"/>
        <v>0</v>
      </c>
    </row>
    <row r="7" spans="1:9">
      <c r="A7" s="3593"/>
      <c r="B7" s="3594" t="s">
        <v>2488</v>
      </c>
      <c r="C7" s="3594"/>
      <c r="D7" s="2531"/>
      <c r="E7" s="2529"/>
      <c r="F7" s="2532"/>
      <c r="G7" s="2532"/>
      <c r="H7" s="2533"/>
      <c r="I7" s="2534">
        <f t="shared" si="0"/>
        <v>0</v>
      </c>
    </row>
    <row r="8" spans="1:9">
      <c r="A8" s="3593"/>
      <c r="B8" s="3594" t="s">
        <v>2489</v>
      </c>
      <c r="C8" s="3594"/>
      <c r="D8" s="2531"/>
      <c r="E8" s="2529"/>
      <c r="F8" s="2532"/>
      <c r="G8" s="2532"/>
      <c r="H8" s="2533"/>
      <c r="I8" s="2534">
        <f t="shared" si="0"/>
        <v>0</v>
      </c>
    </row>
    <row r="9" spans="1:9">
      <c r="A9" s="3593"/>
      <c r="B9" s="3594" t="s">
        <v>2490</v>
      </c>
      <c r="C9" s="3594"/>
      <c r="D9" s="2531"/>
      <c r="E9" s="2529"/>
      <c r="F9" s="2532"/>
      <c r="G9" s="2532"/>
      <c r="H9" s="2533"/>
      <c r="I9" s="2534">
        <f t="shared" si="0"/>
        <v>0</v>
      </c>
    </row>
    <row r="10" spans="1:9">
      <c r="A10" s="3593"/>
      <c r="B10" s="3595" t="s">
        <v>2491</v>
      </c>
      <c r="C10" s="3595"/>
      <c r="D10" s="2535">
        <v>527</v>
      </c>
      <c r="E10" s="2535" t="e">
        <f>ROUND(D1*10000/D10/H9,0)</f>
        <v>#DIV/0!</v>
      </c>
      <c r="F10" s="2536"/>
      <c r="G10" s="2536"/>
      <c r="H10" s="2537"/>
      <c r="I10" s="2538">
        <f>SUM(I3:I9)</f>
        <v>0</v>
      </c>
    </row>
    <row r="11" spans="1:9" ht="14.25">
      <c r="A11" s="3593" t="s">
        <v>2492</v>
      </c>
      <c r="B11" s="3594" t="s">
        <v>2493</v>
      </c>
      <c r="C11" s="3594"/>
      <c r="D11" s="2531" t="s">
        <v>2494</v>
      </c>
      <c r="E11" s="2531" t="s">
        <v>2495</v>
      </c>
      <c r="F11" s="2532" t="s">
        <v>2496</v>
      </c>
      <c r="G11" s="2532" t="s">
        <v>2497</v>
      </c>
      <c r="H11" s="2539" t="s">
        <v>2498</v>
      </c>
      <c r="I11" s="2530" t="s">
        <v>2499</v>
      </c>
    </row>
    <row r="12" spans="1:9">
      <c r="A12" s="3593"/>
      <c r="B12" s="3594" t="s">
        <v>2500</v>
      </c>
      <c r="C12" s="3594"/>
      <c r="D12" s="2531"/>
      <c r="E12" s="2531"/>
      <c r="F12" s="2532"/>
      <c r="G12" s="2533"/>
      <c r="H12" s="2540"/>
      <c r="I12" s="2530">
        <f>ROUND(D12*E12*F12*G12/10000,0)</f>
        <v>0</v>
      </c>
    </row>
    <row r="13" spans="1:9">
      <c r="A13" s="3593"/>
      <c r="B13" s="3594" t="s">
        <v>2501</v>
      </c>
      <c r="C13" s="3594"/>
      <c r="D13" s="2531"/>
      <c r="E13" s="2531"/>
      <c r="F13" s="2532"/>
      <c r="G13" s="2533"/>
      <c r="H13" s="2540"/>
      <c r="I13" s="2530">
        <f>ROUND(D13*E13*F13*G13/10000,0)</f>
        <v>0</v>
      </c>
    </row>
    <row r="14" spans="1:9">
      <c r="A14" s="3593"/>
      <c r="B14" s="3594" t="s">
        <v>2502</v>
      </c>
      <c r="C14" s="3594"/>
      <c r="D14" s="2531"/>
      <c r="E14" s="2531"/>
      <c r="F14" s="2532"/>
      <c r="G14" s="2533"/>
      <c r="H14" s="2540"/>
      <c r="I14" s="2530">
        <f>ROUND(D14*E14*F14*G14/10000,0)</f>
        <v>0</v>
      </c>
    </row>
    <row r="15" spans="1:9">
      <c r="A15" s="3593"/>
      <c r="B15" s="3595" t="s">
        <v>2491</v>
      </c>
      <c r="C15" s="3595"/>
      <c r="D15" s="2535"/>
      <c r="E15" s="2535">
        <f>SUM(E12:E14)</f>
        <v>0</v>
      </c>
      <c r="F15" s="2536"/>
      <c r="G15" s="2533"/>
      <c r="H15" s="2540"/>
      <c r="I15" s="2541">
        <f>SUM(I12:I14)</f>
        <v>0</v>
      </c>
    </row>
    <row r="16" spans="1:9" ht="24">
      <c r="A16" s="3593" t="s">
        <v>2503</v>
      </c>
      <c r="B16" s="3594" t="s">
        <v>2504</v>
      </c>
      <c r="C16" s="3594"/>
      <c r="D16" s="2531" t="s">
        <v>2505</v>
      </c>
      <c r="E16" s="2542" t="s">
        <v>2506</v>
      </c>
      <c r="F16" s="2532" t="s">
        <v>2507</v>
      </c>
      <c r="G16" s="2533" t="s">
        <v>2497</v>
      </c>
      <c r="H16" s="2539" t="s">
        <v>2498</v>
      </c>
      <c r="I16" s="2530" t="s">
        <v>2499</v>
      </c>
    </row>
    <row r="17" spans="1:9" ht="14.25">
      <c r="A17" s="3593"/>
      <c r="B17" s="3594" t="s">
        <v>2508</v>
      </c>
      <c r="C17" s="3594"/>
      <c r="D17" s="2531"/>
      <c r="E17" s="2531"/>
      <c r="F17" s="2532"/>
      <c r="G17" s="2533"/>
      <c r="H17" s="2543"/>
      <c r="I17" s="2544">
        <f>ROUND(D17*E17*F17*G17/10000,0)</f>
        <v>0</v>
      </c>
    </row>
    <row r="18" spans="1:9" ht="14.25">
      <c r="A18" s="3593"/>
      <c r="B18" s="3594" t="s">
        <v>2509</v>
      </c>
      <c r="C18" s="3594"/>
      <c r="D18" s="2531"/>
      <c r="E18" s="2531"/>
      <c r="F18" s="2532"/>
      <c r="G18" s="2533"/>
      <c r="H18" s="2543"/>
      <c r="I18" s="2544">
        <f>ROUND(D18*E18*F18*G18/10000,0)</f>
        <v>0</v>
      </c>
    </row>
    <row r="19" spans="1:9" ht="14.25">
      <c r="A19" s="3593"/>
      <c r="B19" s="3594" t="s">
        <v>2510</v>
      </c>
      <c r="C19" s="3594"/>
      <c r="D19" s="2531"/>
      <c r="E19" s="2531"/>
      <c r="F19" s="2532"/>
      <c r="G19" s="2533"/>
      <c r="H19" s="2543"/>
      <c r="I19" s="2544">
        <f>ROUND(D19*E19*F19*G19/10000,0)</f>
        <v>0</v>
      </c>
    </row>
    <row r="20" spans="1:9">
      <c r="A20" s="3593"/>
      <c r="B20" s="3595" t="s">
        <v>2491</v>
      </c>
      <c r="C20" s="3595"/>
      <c r="D20" s="2535">
        <f>SUM(D17:D19)</f>
        <v>0</v>
      </c>
      <c r="E20" s="2535"/>
      <c r="F20" s="2536"/>
      <c r="G20" s="2533"/>
      <c r="H20" s="2540"/>
      <c r="I20" s="2541">
        <f>SUM(I17:I19)</f>
        <v>0</v>
      </c>
    </row>
    <row r="21" spans="1:9">
      <c r="A21" s="3593" t="s">
        <v>2511</v>
      </c>
      <c r="B21" s="3597"/>
      <c r="C21" s="3597"/>
      <c r="D21" s="3597"/>
      <c r="E21" s="3597"/>
      <c r="F21" s="3597"/>
      <c r="G21" s="3597"/>
      <c r="H21" s="2545">
        <v>0.1</v>
      </c>
      <c r="I21" s="2538">
        <f>ROUND(I10*H21,0)</f>
        <v>0</v>
      </c>
    </row>
    <row r="22" spans="1:9" ht="14.25">
      <c r="A22" s="3598" t="s">
        <v>2512</v>
      </c>
      <c r="B22" s="3599"/>
      <c r="C22" s="3600"/>
      <c r="D22" s="2546" t="s">
        <v>2513</v>
      </c>
      <c r="E22" s="2546" t="s">
        <v>2514</v>
      </c>
      <c r="F22" s="2547" t="s">
        <v>2515</v>
      </c>
      <c r="G22" s="2547" t="s">
        <v>2516</v>
      </c>
      <c r="H22" s="2539" t="s">
        <v>2517</v>
      </c>
      <c r="I22" s="2530" t="s">
        <v>2518</v>
      </c>
    </row>
    <row r="23" spans="1:9" ht="14.25" thickBot="1">
      <c r="A23" s="3601"/>
      <c r="B23" s="3602"/>
      <c r="C23" s="3603"/>
      <c r="D23" s="2548"/>
      <c r="E23" s="2548"/>
      <c r="F23" s="2548"/>
      <c r="G23" s="2549"/>
      <c r="H23" s="2550"/>
      <c r="I23" s="2551">
        <f>ROUND(E23*D23*F23*(1-G23)/10000,0)</f>
        <v>0</v>
      </c>
    </row>
    <row r="26" spans="1:9">
      <c r="A26" s="2552" t="s">
        <v>2519</v>
      </c>
      <c r="B26" s="2552"/>
      <c r="C26" s="2552"/>
      <c r="D26" s="2552"/>
      <c r="E26" s="3604">
        <f>C27-C30-C31-C32</f>
        <v>0</v>
      </c>
      <c r="F26" s="3604"/>
      <c r="G26" s="3604"/>
      <c r="H26" s="3066" t="s">
        <v>2845</v>
      </c>
    </row>
    <row r="27" spans="1:9">
      <c r="A27" s="2553">
        <v>1</v>
      </c>
      <c r="B27" s="2554" t="s">
        <v>2520</v>
      </c>
      <c r="C27" s="2554"/>
      <c r="D27" s="2554"/>
      <c r="E27" s="3605"/>
      <c r="F27" s="3605"/>
      <c r="G27" s="3605"/>
    </row>
    <row r="28" spans="1:9">
      <c r="A28" s="2555" t="s">
        <v>2521</v>
      </c>
      <c r="B28" s="2554" t="s">
        <v>2522</v>
      </c>
      <c r="C28" s="2554"/>
      <c r="D28" s="2554"/>
      <c r="E28" s="3605"/>
      <c r="F28" s="3605"/>
      <c r="G28" s="3605"/>
    </row>
    <row r="29" spans="1:9">
      <c r="A29" s="2555" t="s">
        <v>2523</v>
      </c>
      <c r="B29" s="2554" t="s">
        <v>2464</v>
      </c>
      <c r="C29" s="2554"/>
      <c r="D29" s="2554"/>
      <c r="E29" s="2554" t="s">
        <v>2524</v>
      </c>
      <c r="F29" s="2554"/>
      <c r="G29" s="2554"/>
    </row>
    <row r="30" spans="1:9">
      <c r="A30" s="2553">
        <v>2</v>
      </c>
      <c r="B30" s="2554" t="s">
        <v>2525</v>
      </c>
      <c r="C30" s="2554">
        <f>C27*D30</f>
        <v>0</v>
      </c>
      <c r="D30" s="2556">
        <v>0.2</v>
      </c>
      <c r="E30" s="2554" t="s">
        <v>2526</v>
      </c>
      <c r="F30" s="2554"/>
      <c r="G30" s="2554"/>
    </row>
    <row r="31" spans="1:9">
      <c r="A31" s="2553">
        <v>3</v>
      </c>
      <c r="B31" s="2554" t="s">
        <v>2527</v>
      </c>
      <c r="C31" s="2554">
        <f>C25*D31</f>
        <v>0</v>
      </c>
      <c r="D31" s="2556">
        <v>0.15</v>
      </c>
      <c r="E31" s="2554" t="s">
        <v>2528</v>
      </c>
      <c r="F31" s="2554"/>
      <c r="G31" s="2554"/>
    </row>
    <row r="32" spans="1:9">
      <c r="A32" s="2553">
        <v>4</v>
      </c>
      <c r="B32" s="2554" t="s">
        <v>2529</v>
      </c>
      <c r="C32" s="2554">
        <f>C27*D32</f>
        <v>0</v>
      </c>
      <c r="D32" s="2556">
        <v>0.05</v>
      </c>
      <c r="E32" s="3596"/>
      <c r="F32" s="3596"/>
      <c r="G32" s="3596"/>
    </row>
    <row r="33" spans="1:7" hidden="1">
      <c r="A33" s="3606" t="s">
        <v>2530</v>
      </c>
      <c r="B33" s="3607"/>
      <c r="C33" s="3607"/>
      <c r="D33" s="3608"/>
      <c r="E33" s="3604"/>
      <c r="F33" s="3604"/>
      <c r="G33" s="3604"/>
    </row>
    <row r="34" spans="1:7" hidden="1">
      <c r="A34" s="2557">
        <v>1</v>
      </c>
      <c r="B34" s="2554" t="s">
        <v>2531</v>
      </c>
      <c r="C34" s="2554"/>
      <c r="D34" s="2554"/>
      <c r="E34" s="3605"/>
      <c r="F34" s="3605"/>
      <c r="G34" s="3605"/>
    </row>
    <row r="35" spans="1:7" hidden="1">
      <c r="A35" s="2557">
        <v>2</v>
      </c>
      <c r="B35" s="2554" t="s">
        <v>2532</v>
      </c>
      <c r="C35" s="2554"/>
      <c r="D35" s="2554"/>
      <c r="E35" s="3605"/>
      <c r="F35" s="3605"/>
      <c r="G35" s="3605"/>
    </row>
    <row r="36" spans="1:7" hidden="1">
      <c r="A36" s="2557">
        <v>3</v>
      </c>
      <c r="B36" s="2554" t="s">
        <v>2533</v>
      </c>
      <c r="C36" s="2554"/>
      <c r="D36" s="2554"/>
      <c r="E36" s="3605"/>
      <c r="F36" s="3605"/>
      <c r="G36" s="3605"/>
    </row>
    <row r="37" spans="1:7" hidden="1">
      <c r="A37" s="2557">
        <v>4</v>
      </c>
      <c r="B37" s="2554" t="s">
        <v>2534</v>
      </c>
      <c r="C37" s="2554"/>
      <c r="D37" s="2554"/>
      <c r="E37" s="3605"/>
      <c r="F37" s="3605"/>
      <c r="G37" s="3605"/>
    </row>
    <row r="38" spans="1:7" hidden="1">
      <c r="A38" s="3606" t="s">
        <v>2535</v>
      </c>
      <c r="B38" s="3607"/>
      <c r="C38" s="3607"/>
      <c r="D38" s="3608"/>
      <c r="E38" s="3604"/>
      <c r="F38" s="3604"/>
      <c r="G38" s="36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19" t="s">
        <v>603</v>
      </c>
      <c r="B1" s="740"/>
      <c r="C1" s="2182"/>
      <c r="D1" s="2182"/>
      <c r="E1" s="2182"/>
      <c r="F1" s="2182"/>
      <c r="G1" s="2108"/>
    </row>
    <row r="2" spans="1:25" s="2059" customFormat="1" ht="18" customHeight="1">
      <c r="A2" s="421" t="s">
        <v>467</v>
      </c>
      <c r="B2" s="423">
        <f ca="1">C23</f>
        <v>215</v>
      </c>
      <c r="C2" s="2108"/>
      <c r="D2" s="2108"/>
      <c r="E2" s="2108"/>
      <c r="F2" s="2108"/>
      <c r="G2" s="2108"/>
    </row>
    <row r="3" spans="1:25" s="2059" customFormat="1" ht="18" customHeight="1">
      <c r="A3" s="1378" t="s">
        <v>1686</v>
      </c>
      <c r="B3" s="423">
        <f ca="1">ROUND(B2*10000/'数据-汇总表'!E3,0)</f>
        <v>215</v>
      </c>
      <c r="C3" s="2108"/>
      <c r="D3" s="2108"/>
      <c r="E3" s="2108"/>
      <c r="F3" s="2108"/>
      <c r="G3" s="2108"/>
    </row>
    <row r="4" spans="1:25" s="2059" customFormat="1" ht="18" customHeight="1">
      <c r="A4" s="424" t="s">
        <v>468</v>
      </c>
      <c r="B4" s="425">
        <f ca="1">ROUND(B2*10000/'数据-汇总表'!D3,0)</f>
        <v>1034</v>
      </c>
      <c r="C4" s="2061"/>
      <c r="D4" s="2108"/>
      <c r="E4" s="2108"/>
      <c r="F4" s="2108"/>
      <c r="G4" s="2108"/>
    </row>
    <row r="5" spans="1:25" s="2059" customFormat="1" ht="18" customHeight="1" thickBot="1">
      <c r="A5" s="427"/>
      <c r="B5" s="428">
        <f ca="1">ROUND(B2/('数据-汇总表'!D3/666.67),0)</f>
        <v>69</v>
      </c>
      <c r="C5" s="429" t="s">
        <v>469</v>
      </c>
      <c r="D5" s="2108"/>
      <c r="E5" s="2108"/>
      <c r="F5" s="2108"/>
      <c r="G5" s="2108"/>
    </row>
    <row r="6" spans="1:25" s="2183" customFormat="1" ht="13.5" customHeight="1">
      <c r="A6" s="741"/>
      <c r="B6" s="742" t="s">
        <v>604</v>
      </c>
      <c r="C6" s="743" t="s">
        <v>605</v>
      </c>
      <c r="D6" s="743" t="s">
        <v>606</v>
      </c>
      <c r="E6" s="744" t="s">
        <v>607</v>
      </c>
      <c r="F6" s="744" t="s">
        <v>608</v>
      </c>
      <c r="G6" s="745"/>
    </row>
    <row r="7" spans="1:25" s="2183" customFormat="1" ht="13.5" customHeight="1">
      <c r="A7" s="2491">
        <v>1</v>
      </c>
      <c r="B7" s="746" t="s">
        <v>609</v>
      </c>
      <c r="C7" s="747">
        <f>C8+C9</f>
        <v>0</v>
      </c>
      <c r="D7" s="747"/>
      <c r="E7" s="748"/>
      <c r="F7" s="748"/>
      <c r="G7" s="2501"/>
    </row>
    <row r="8" spans="1:25" s="2183" customFormat="1" ht="13.5" customHeight="1">
      <c r="A8" s="2491" t="s">
        <v>2444</v>
      </c>
      <c r="B8" s="2494" t="s">
        <v>2446</v>
      </c>
      <c r="C8" s="2495"/>
      <c r="D8" s="747"/>
      <c r="E8" s="748"/>
      <c r="F8" s="748"/>
      <c r="G8" s="749"/>
    </row>
    <row r="9" spans="1:25" s="2183" customFormat="1" ht="13.5" customHeight="1">
      <c r="A9" s="2491" t="s">
        <v>2445</v>
      </c>
      <c r="B9" s="2494" t="s">
        <v>2447</v>
      </c>
      <c r="C9" s="2495"/>
      <c r="D9" s="747"/>
      <c r="E9" s="748"/>
      <c r="F9" s="748"/>
      <c r="G9" s="749"/>
    </row>
    <row r="10" spans="1:25" s="2183" customFormat="1" ht="36">
      <c r="A10" s="2491">
        <v>2</v>
      </c>
      <c r="B10" s="746" t="s">
        <v>613</v>
      </c>
      <c r="C10" s="747">
        <f>C11+C14+C15</f>
        <v>200</v>
      </c>
      <c r="D10" s="758">
        <f>'数据-汇总表'!E3</f>
        <v>10000</v>
      </c>
      <c r="E10" s="747">
        <f>'数据-取费表'!B31</f>
        <v>200</v>
      </c>
      <c r="F10" s="759"/>
      <c r="G10" s="757" t="s">
        <v>614</v>
      </c>
    </row>
    <row r="11" spans="1:25" s="2183" customFormat="1" ht="13.5" customHeight="1">
      <c r="A11" s="2491" t="s">
        <v>2444</v>
      </c>
      <c r="B11" s="750" t="s">
        <v>610</v>
      </c>
      <c r="C11" s="751">
        <f>'数据-取费表'!B29</f>
        <v>200</v>
      </c>
      <c r="D11" s="752"/>
      <c r="E11" s="751"/>
      <c r="F11" s="753"/>
      <c r="G11" s="2500" t="s">
        <v>2455</v>
      </c>
    </row>
    <row r="12" spans="1:25" s="2183" customFormat="1" ht="13.5" customHeight="1">
      <c r="A12" s="2498" t="s">
        <v>2452</v>
      </c>
      <c r="B12" s="754" t="s">
        <v>611</v>
      </c>
      <c r="C12" s="755">
        <f>ROUND(D12*E12/10000,0)</f>
        <v>0</v>
      </c>
      <c r="D12" s="756">
        <f>'数据-汇总表'!E5</f>
        <v>0</v>
      </c>
      <c r="E12" s="755">
        <f>'数据-取费表'!B27</f>
        <v>0</v>
      </c>
      <c r="F12" s="753"/>
      <c r="G12" s="757"/>
    </row>
    <row r="13" spans="1:25" s="2183" customFormat="1" ht="13.5" customHeight="1">
      <c r="A13" s="2498" t="s">
        <v>2451</v>
      </c>
      <c r="B13" s="754" t="s">
        <v>612</v>
      </c>
      <c r="C13" s="755">
        <f>ROUND(D13*E13/10000,0)</f>
        <v>200</v>
      </c>
      <c r="D13" s="756">
        <f>'数据-汇总表'!E6</f>
        <v>10000</v>
      </c>
      <c r="E13" s="755">
        <f>'数据-取费表'!B28</f>
        <v>200</v>
      </c>
      <c r="F13" s="753"/>
      <c r="G13" s="757"/>
    </row>
    <row r="14" spans="1:25" s="2183" customFormat="1" ht="13.5" customHeight="1">
      <c r="A14" s="2491" t="s">
        <v>2445</v>
      </c>
      <c r="B14" s="2497" t="s">
        <v>2448</v>
      </c>
      <c r="C14" s="2495"/>
      <c r="D14" s="756"/>
      <c r="E14" s="755"/>
      <c r="F14" s="2496"/>
      <c r="G14" s="2499" t="s">
        <v>2453</v>
      </c>
    </row>
    <row r="15" spans="1:25" s="2183" customFormat="1" ht="13.5" customHeight="1">
      <c r="A15" s="2491" t="s">
        <v>2450</v>
      </c>
      <c r="B15" s="2497" t="s">
        <v>2449</v>
      </c>
      <c r="C15" s="2495"/>
      <c r="D15" s="756"/>
      <c r="E15" s="755"/>
      <c r="F15" s="2496"/>
      <c r="G15" s="2499" t="s">
        <v>2454</v>
      </c>
    </row>
    <row r="16" spans="1:25" s="2184" customFormat="1" ht="48">
      <c r="A16" s="2491">
        <v>3</v>
      </c>
      <c r="B16" s="746" t="s">
        <v>615</v>
      </c>
      <c r="C16" s="2495"/>
      <c r="D16" s="758"/>
      <c r="E16" s="747"/>
      <c r="F16" s="759"/>
      <c r="G16" s="757"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2">
        <v>4</v>
      </c>
      <c r="B17" s="746" t="s">
        <v>616</v>
      </c>
      <c r="C17" s="2595">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2">
        <v>5</v>
      </c>
      <c r="B18" s="746" t="s">
        <v>617</v>
      </c>
      <c r="C18" s="747">
        <f>ROUND((C7+C10+C16)*F18,0)</f>
        <v>50</v>
      </c>
      <c r="D18" s="760"/>
      <c r="E18" s="761"/>
      <c r="F18" s="759">
        <f>'数据-取费表'!Q16</f>
        <v>0.25</v>
      </c>
      <c r="G18" s="763"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1">
        <v>6</v>
      </c>
      <c r="B19" s="746" t="s">
        <v>619</v>
      </c>
      <c r="C19" s="747">
        <f ca="1">C7+C10+C16+C17+C18</f>
        <v>250</v>
      </c>
      <c r="D19" s="758"/>
      <c r="E19" s="747"/>
      <c r="F19" s="759"/>
      <c r="G19" s="763"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1">
        <v>7</v>
      </c>
      <c r="B20" s="746" t="s">
        <v>621</v>
      </c>
      <c r="C20" s="747">
        <f ca="1">ROUND(C19*F20,0)</f>
        <v>0</v>
      </c>
      <c r="D20" s="758"/>
      <c r="E20" s="747"/>
      <c r="F20" s="1347"/>
      <c r="G20" s="763"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1">
        <v>8</v>
      </c>
      <c r="B21" s="746" t="s">
        <v>623</v>
      </c>
      <c r="C21" s="747">
        <f ca="1">C19+C20</f>
        <v>250</v>
      </c>
      <c r="D21" s="758"/>
      <c r="E21" s="747"/>
      <c r="F21" s="759"/>
      <c r="G21" s="763"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1">
        <v>9</v>
      </c>
      <c r="B22" s="746" t="s">
        <v>625</v>
      </c>
      <c r="C22" s="747">
        <f ca="1">ROUND(C21*F22,0)</f>
        <v>215</v>
      </c>
      <c r="D22" s="758"/>
      <c r="E22" s="747"/>
      <c r="F22" s="764">
        <f>'数据-取费表'!AP16</f>
        <v>0.85899999999999999</v>
      </c>
      <c r="G22" s="763"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3">
        <v>10</v>
      </c>
      <c r="B23" s="765" t="s">
        <v>627</v>
      </c>
      <c r="C23" s="766">
        <f ca="1">C22</f>
        <v>215</v>
      </c>
      <c r="D23" s="767"/>
      <c r="E23" s="766"/>
      <c r="F23" s="768"/>
      <c r="G23" s="769"/>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4.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2645" t="s">
        <v>719</v>
      </c>
      <c r="C1" s="2646" t="s">
        <v>720</v>
      </c>
      <c r="D1" s="2647"/>
      <c r="E1" s="2648"/>
      <c r="F1" s="2829"/>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1" t="s">
        <v>467</v>
      </c>
      <c r="B2" s="2644"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7" t="s">
        <v>519</v>
      </c>
      <c r="B3" s="849" t="e">
        <f>C49</f>
        <v>#DIV/0!</v>
      </c>
      <c r="C3" s="850" t="s">
        <v>722</v>
      </c>
      <c r="D3" s="849">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0" t="s">
        <v>521</v>
      </c>
      <c r="B4" s="511"/>
      <c r="C4" s="3503" t="s">
        <v>522</v>
      </c>
      <c r="D4" s="3504"/>
      <c r="E4" s="3537" t="s">
        <v>523</v>
      </c>
      <c r="F4" s="3538"/>
      <c r="G4" s="3503" t="s">
        <v>524</v>
      </c>
      <c r="H4" s="3504"/>
      <c r="I4" s="3503" t="s">
        <v>525</v>
      </c>
      <c r="J4" s="3504"/>
      <c r="K4" s="851" t="s">
        <v>526</v>
      </c>
      <c r="L4" s="2133"/>
      <c r="M4" s="2134"/>
      <c r="N4" s="2134"/>
      <c r="O4" s="2134"/>
      <c r="P4" s="3505" t="s">
        <v>527</v>
      </c>
      <c r="Q4" s="3506"/>
      <c r="R4" s="3511" t="s">
        <v>523</v>
      </c>
      <c r="S4" s="3512"/>
      <c r="T4" s="3511" t="s">
        <v>524</v>
      </c>
      <c r="U4" s="3512"/>
      <c r="V4" s="3498" t="s">
        <v>525</v>
      </c>
      <c r="W4" s="3498"/>
      <c r="X4" s="1566"/>
      <c r="Y4" s="3511" t="s">
        <v>527</v>
      </c>
      <c r="Z4" s="3512"/>
      <c r="AA4" s="3500" t="s">
        <v>523</v>
      </c>
      <c r="AB4" s="3500" t="s">
        <v>524</v>
      </c>
      <c r="AC4" s="3500" t="s">
        <v>525</v>
      </c>
    </row>
    <row r="5" spans="1:29" ht="15">
      <c r="A5" s="513"/>
      <c r="B5" s="514"/>
      <c r="C5" s="3519" t="s">
        <v>2930</v>
      </c>
      <c r="D5" s="3520"/>
      <c r="E5" s="3539" t="s">
        <v>2931</v>
      </c>
      <c r="F5" s="3540"/>
      <c r="G5" s="3519" t="s">
        <v>2932</v>
      </c>
      <c r="H5" s="3520"/>
      <c r="I5" s="3519" t="s">
        <v>2933</v>
      </c>
      <c r="J5" s="3520"/>
      <c r="K5" s="852"/>
      <c r="L5" s="2133"/>
      <c r="M5" s="2134"/>
      <c r="N5" s="2134"/>
      <c r="O5" s="2134"/>
      <c r="P5" s="3507"/>
      <c r="Q5" s="3508"/>
      <c r="R5" s="3513"/>
      <c r="S5" s="3514"/>
      <c r="T5" s="3513"/>
      <c r="U5" s="3514"/>
      <c r="V5" s="3498"/>
      <c r="W5" s="3498"/>
      <c r="X5" s="1566"/>
      <c r="Y5" s="3513"/>
      <c r="Z5" s="3514"/>
      <c r="AA5" s="3501"/>
      <c r="AB5" s="3501"/>
      <c r="AC5" s="3501"/>
    </row>
    <row r="6" spans="1:29" ht="15.75" thickBot="1">
      <c r="A6" s="515"/>
      <c r="B6" s="516"/>
      <c r="C6" s="3517" t="s">
        <v>2934</v>
      </c>
      <c r="D6" s="3518"/>
      <c r="E6" s="3535" t="s">
        <v>2934</v>
      </c>
      <c r="F6" s="3536"/>
      <c r="G6" s="3517" t="s">
        <v>2934</v>
      </c>
      <c r="H6" s="3518"/>
      <c r="I6" s="3517" t="s">
        <v>2934</v>
      </c>
      <c r="J6" s="3518"/>
      <c r="K6" s="852" t="s">
        <v>528</v>
      </c>
      <c r="L6" s="2133"/>
      <c r="M6" s="2134"/>
      <c r="N6" s="2134"/>
      <c r="O6" s="2134"/>
      <c r="P6" s="3509"/>
      <c r="Q6" s="3510"/>
      <c r="R6" s="3513"/>
      <c r="S6" s="3514"/>
      <c r="T6" s="3515"/>
      <c r="U6" s="3516"/>
      <c r="V6" s="3498"/>
      <c r="W6" s="3498"/>
      <c r="X6" s="1566"/>
      <c r="Y6" s="3515"/>
      <c r="Z6" s="3516"/>
      <c r="AA6" s="3502"/>
      <c r="AB6" s="3502"/>
      <c r="AC6" s="3502"/>
    </row>
    <row r="7" spans="1:29" s="1218" customFormat="1" ht="15.75" thickBot="1">
      <c r="A7" s="2934"/>
      <c r="B7" s="2941" t="s">
        <v>529</v>
      </c>
      <c r="C7" s="517">
        <f>'数据-取费表'!B2</f>
        <v>43230</v>
      </c>
      <c r="D7" s="518">
        <v>100</v>
      </c>
      <c r="E7" s="519"/>
      <c r="F7" s="520">
        <f>SUMIF(58:58,YEAR(E7)&amp;"-"&amp;MONTH(E7),59:59)</f>
        <v>0</v>
      </c>
      <c r="G7" s="521"/>
      <c r="H7" s="518">
        <f>SUMIF(58:58,YEAR(G7)&amp;"-"&amp;MONTH(G7),59:59)</f>
        <v>0</v>
      </c>
      <c r="I7" s="521"/>
      <c r="J7" s="518">
        <f>SUMIF(58:58,YEAR(I7)&amp;"-"&amp;MONTH(I7),59:59)</f>
        <v>0</v>
      </c>
      <c r="K7" s="853"/>
      <c r="L7" s="2135"/>
      <c r="M7" s="2136"/>
      <c r="N7" s="2136"/>
      <c r="O7" s="2136"/>
      <c r="P7" s="3528" t="s">
        <v>530</v>
      </c>
      <c r="Q7" s="3530"/>
      <c r="R7" s="1567" t="s">
        <v>13</v>
      </c>
      <c r="S7" s="1568">
        <f t="shared" ref="S7:S15" si="0">F7</f>
        <v>0</v>
      </c>
      <c r="T7" s="1567" t="s">
        <v>13</v>
      </c>
      <c r="U7" s="1568">
        <f t="shared" ref="U7:U15" si="1">H7</f>
        <v>0</v>
      </c>
      <c r="V7" s="1567" t="s">
        <v>13</v>
      </c>
      <c r="W7" s="1568">
        <f t="shared" ref="W7:W15" si="2">J7</f>
        <v>0</v>
      </c>
      <c r="X7" s="1569"/>
      <c r="Y7" s="3528" t="s">
        <v>530</v>
      </c>
      <c r="Z7" s="3529"/>
      <c r="AA7" s="1570" t="e">
        <f>D7/F7</f>
        <v>#DIV/0!</v>
      </c>
      <c r="AB7" s="1570" t="e">
        <f>D7/H7</f>
        <v>#DIV/0!</v>
      </c>
      <c r="AC7" s="1570" t="e">
        <f>D7/J7</f>
        <v>#DIV/0!</v>
      </c>
    </row>
    <row r="8" spans="1:29" s="1218" customFormat="1" ht="15.75" thickBot="1">
      <c r="A8" s="2935"/>
      <c r="B8" s="2942" t="s">
        <v>531</v>
      </c>
      <c r="C8" s="523" t="s">
        <v>576</v>
      </c>
      <c r="D8" s="518">
        <v>100</v>
      </c>
      <c r="E8" s="854"/>
      <c r="F8" s="520">
        <f>SUMIF(61:61,E8,62:62)-SUMIF(61:61,C8,62:62)+100</f>
        <v>0</v>
      </c>
      <c r="G8" s="523"/>
      <c r="H8" s="518">
        <f>SUMIF(61:61,G8,62:62)-SUMIF(61:61,C8,62:62)+100</f>
        <v>0</v>
      </c>
      <c r="I8" s="854"/>
      <c r="J8" s="518">
        <f>SUMIF(61:61,I8,62:62)-SUMIF(61:61,C8,62:62)+100</f>
        <v>0</v>
      </c>
      <c r="K8" s="853"/>
      <c r="L8" s="2135"/>
      <c r="M8" s="2136"/>
      <c r="N8" s="2136"/>
      <c r="O8" s="2136"/>
      <c r="P8" s="3528" t="s">
        <v>533</v>
      </c>
      <c r="Q8" s="3529"/>
      <c r="R8" s="1567" t="s">
        <v>13</v>
      </c>
      <c r="S8" s="1568">
        <f t="shared" si="0"/>
        <v>0</v>
      </c>
      <c r="T8" s="1567" t="s">
        <v>13</v>
      </c>
      <c r="U8" s="1568">
        <f t="shared" si="1"/>
        <v>0</v>
      </c>
      <c r="V8" s="1567" t="s">
        <v>13</v>
      </c>
      <c r="W8" s="1568">
        <f t="shared" si="2"/>
        <v>0</v>
      </c>
      <c r="X8" s="1569"/>
      <c r="Y8" s="3528" t="s">
        <v>533</v>
      </c>
      <c r="Z8" s="3529"/>
      <c r="AA8" s="1570" t="e">
        <f t="shared" ref="AA8:AA46" si="3">D8/F8</f>
        <v>#DIV/0!</v>
      </c>
      <c r="AB8" s="1570" t="e">
        <f t="shared" ref="AB8:AB46" si="4">D8/H8</f>
        <v>#DIV/0!</v>
      </c>
      <c r="AC8" s="1570" t="e">
        <f t="shared" ref="AC8:AC46" si="5">D8/J8</f>
        <v>#DIV/0!</v>
      </c>
    </row>
    <row r="9" spans="1:29" s="1218" customFormat="1" ht="15">
      <c r="A9" s="2936"/>
      <c r="B9" s="2943" t="s">
        <v>2760</v>
      </c>
      <c r="C9" s="855"/>
      <c r="D9" s="252">
        <v>100</v>
      </c>
      <c r="E9" s="856"/>
      <c r="F9" s="857">
        <f>SUMIF(63:63,E9,64:64)-SUMIF(63:63,C9,64:64)+100</f>
        <v>100</v>
      </c>
      <c r="G9" s="858"/>
      <c r="H9" s="252">
        <f>SUMIF(63:63,G9,64:64)-SUMIF(63:63,C9,64:64)+100</f>
        <v>100</v>
      </c>
      <c r="I9" s="858"/>
      <c r="J9" s="252">
        <f>SUMIF(63:63,I9,64:64)-SUMIF(63:63,C9,64:64)+100</f>
        <v>100</v>
      </c>
      <c r="K9" s="853"/>
      <c r="L9" s="2135"/>
      <c r="M9" s="2136"/>
      <c r="N9" s="2136"/>
      <c r="O9" s="2137"/>
      <c r="P9" s="3497" t="s">
        <v>535</v>
      </c>
      <c r="Q9" s="1149" t="str">
        <f t="shared" ref="Q9:Q15" si="6">B9</f>
        <v>用途</v>
      </c>
      <c r="R9" s="1567" t="s">
        <v>8</v>
      </c>
      <c r="S9" s="1568">
        <f t="shared" si="0"/>
        <v>100</v>
      </c>
      <c r="T9" s="1567" t="s">
        <v>8</v>
      </c>
      <c r="U9" s="1568">
        <f t="shared" si="1"/>
        <v>100</v>
      </c>
      <c r="V9" s="1567" t="s">
        <v>8</v>
      </c>
      <c r="W9" s="1568">
        <f t="shared" si="2"/>
        <v>100</v>
      </c>
      <c r="X9" s="1569"/>
      <c r="Y9" s="3380" t="s">
        <v>536</v>
      </c>
      <c r="Z9" s="1148" t="str">
        <f t="shared" ref="Z9:Z15" si="7">Q9</f>
        <v>用途</v>
      </c>
      <c r="AA9" s="1570">
        <f t="shared" si="3"/>
        <v>1</v>
      </c>
      <c r="AB9" s="1570">
        <f t="shared" si="4"/>
        <v>1</v>
      </c>
      <c r="AC9" s="1570">
        <f t="shared" si="5"/>
        <v>1</v>
      </c>
    </row>
    <row r="10" spans="1:29" s="1336" customFormat="1" ht="27">
      <c r="A10" s="2937"/>
      <c r="B10" s="2942" t="s">
        <v>2761</v>
      </c>
      <c r="C10" s="859"/>
      <c r="D10" s="253">
        <v>100</v>
      </c>
      <c r="E10" s="860"/>
      <c r="F10" s="861">
        <f>SUMIF(65:65,E10,66:66)-SUMIF(65:65,C10,66:66)+100</f>
        <v>100</v>
      </c>
      <c r="G10" s="859"/>
      <c r="H10" s="253">
        <f>SUMIF(65:65,G10,66:66)-SUMIF(65:65,C10,66:66)+100</f>
        <v>100</v>
      </c>
      <c r="I10" s="859"/>
      <c r="J10" s="253">
        <f>SUMIF(65:65,I10,66:66)-SUMIF(65:65,C10,66:66)+100</f>
        <v>100</v>
      </c>
      <c r="K10" s="862"/>
      <c r="L10" s="2138"/>
      <c r="M10" s="2178"/>
      <c r="N10" s="2178"/>
      <c r="O10" s="2139"/>
      <c r="P10" s="3497"/>
      <c r="Q10" s="1149" t="str">
        <f t="shared" si="6"/>
        <v>土地使用年限（年）</v>
      </c>
      <c r="R10" s="1567" t="s">
        <v>8</v>
      </c>
      <c r="S10" s="1568">
        <f t="shared" si="0"/>
        <v>100</v>
      </c>
      <c r="T10" s="1567" t="s">
        <v>8</v>
      </c>
      <c r="U10" s="1568">
        <f t="shared" si="1"/>
        <v>100</v>
      </c>
      <c r="V10" s="1567" t="s">
        <v>8</v>
      </c>
      <c r="W10" s="1568">
        <f t="shared" si="2"/>
        <v>100</v>
      </c>
      <c r="X10" s="1569"/>
      <c r="Y10" s="3380"/>
      <c r="Z10" s="1148" t="str">
        <f t="shared" si="7"/>
        <v>土地使用年限（年）</v>
      </c>
      <c r="AA10" s="1570">
        <f t="shared" si="3"/>
        <v>1</v>
      </c>
      <c r="AB10" s="1570">
        <f t="shared" si="4"/>
        <v>1</v>
      </c>
      <c r="AC10" s="1570">
        <f t="shared" si="5"/>
        <v>1</v>
      </c>
    </row>
    <row r="11" spans="1:29" ht="15">
      <c r="A11" s="2938"/>
      <c r="B11" s="2942" t="s">
        <v>2762</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40"/>
      <c r="M11" s="2134"/>
      <c r="N11" s="2134"/>
      <c r="O11" s="2141"/>
      <c r="P11" s="3497"/>
      <c r="Q11" s="1149" t="str">
        <f t="shared" si="6"/>
        <v>容积率</v>
      </c>
      <c r="R11" s="1567" t="s">
        <v>11</v>
      </c>
      <c r="S11" s="1568" t="e">
        <f t="shared" si="0"/>
        <v>#N/A</v>
      </c>
      <c r="T11" s="1567" t="s">
        <v>11</v>
      </c>
      <c r="U11" s="1568" t="e">
        <f t="shared" si="1"/>
        <v>#N/A</v>
      </c>
      <c r="V11" s="1567" t="s">
        <v>11</v>
      </c>
      <c r="W11" s="1568" t="e">
        <f t="shared" si="2"/>
        <v>#N/A</v>
      </c>
      <c r="X11" s="1569"/>
      <c r="Y11" s="3380"/>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26"/>
      <c r="F12" s="861">
        <f>SUMIF(70:70,E12,71:71)-SUMIF(70:70,C12,71:71)+100</f>
        <v>100</v>
      </c>
      <c r="G12" s="526"/>
      <c r="H12" s="253">
        <f>SUMIF(70:70,G12,71:71)-SUMIF(70:70,C12,71:71)+100</f>
        <v>100</v>
      </c>
      <c r="I12" s="526"/>
      <c r="J12" s="253">
        <f>SUMIF(70:70,I12,71:71)-SUMIF(70:70,C12,71:71)+100</f>
        <v>100</v>
      </c>
      <c r="K12" s="863"/>
      <c r="L12" s="2135"/>
      <c r="M12" s="2136"/>
      <c r="N12" s="2136"/>
      <c r="O12" s="2137"/>
      <c r="P12" s="3497"/>
      <c r="Q12" s="1149">
        <f t="shared" si="6"/>
        <v>111</v>
      </c>
      <c r="R12" s="1567" t="s">
        <v>11</v>
      </c>
      <c r="S12" s="1568">
        <f t="shared" si="0"/>
        <v>100</v>
      </c>
      <c r="T12" s="1567" t="s">
        <v>11</v>
      </c>
      <c r="U12" s="1568">
        <f t="shared" si="1"/>
        <v>100</v>
      </c>
      <c r="V12" s="1567" t="s">
        <v>11</v>
      </c>
      <c r="W12" s="1568">
        <f t="shared" si="2"/>
        <v>100</v>
      </c>
      <c r="X12" s="1569"/>
      <c r="Y12" s="3380"/>
      <c r="Z12" s="1148">
        <f t="shared" si="7"/>
        <v>111</v>
      </c>
      <c r="AA12" s="1570">
        <f>D12/F12</f>
        <v>1</v>
      </c>
      <c r="AB12" s="1570">
        <f>D12/H12</f>
        <v>1</v>
      </c>
      <c r="AC12" s="1570">
        <f>D12/J12</f>
        <v>1</v>
      </c>
    </row>
    <row r="13" spans="1:29" ht="15">
      <c r="A13" s="2939"/>
      <c r="B13" s="2945">
        <v>111</v>
      </c>
      <c r="C13" s="537"/>
      <c r="D13" s="538">
        <v>100</v>
      </c>
      <c r="E13" s="537"/>
      <c r="F13" s="861">
        <f>SUMIF(72:72,E13,73:73)-SUMIF(72:72,C13,73:73)+100</f>
        <v>100</v>
      </c>
      <c r="G13" s="537"/>
      <c r="H13" s="538">
        <f>SUMIF(72:72,G13,73:73)-SUMIF(72:72,C13,73:73)+100</f>
        <v>100</v>
      </c>
      <c r="I13" s="537"/>
      <c r="J13" s="538">
        <f>SUMIF(72:72,I13,73:73)-SUMIF(72:72,C13,73:73)+100</f>
        <v>100</v>
      </c>
      <c r="K13" s="863"/>
      <c r="L13" s="2142"/>
      <c r="M13" s="2134"/>
      <c r="N13" s="2134"/>
      <c r="O13" s="2141"/>
      <c r="P13" s="3497"/>
      <c r="Q13" s="1149">
        <f t="shared" si="6"/>
        <v>111</v>
      </c>
      <c r="R13" s="1567" t="s">
        <v>11</v>
      </c>
      <c r="S13" s="1568">
        <f t="shared" si="0"/>
        <v>100</v>
      </c>
      <c r="T13" s="1567" t="s">
        <v>11</v>
      </c>
      <c r="U13" s="1568">
        <f t="shared" si="1"/>
        <v>100</v>
      </c>
      <c r="V13" s="1567" t="s">
        <v>11</v>
      </c>
      <c r="W13" s="1568">
        <f t="shared" si="2"/>
        <v>100</v>
      </c>
      <c r="X13" s="1569"/>
      <c r="Y13" s="3380"/>
      <c r="Z13" s="1148">
        <f t="shared" si="7"/>
        <v>111</v>
      </c>
      <c r="AA13" s="1570">
        <f t="shared" si="3"/>
        <v>1</v>
      </c>
      <c r="AB13" s="1570">
        <f t="shared" si="4"/>
        <v>1</v>
      </c>
      <c r="AC13" s="1570">
        <f t="shared" si="5"/>
        <v>1</v>
      </c>
    </row>
    <row r="14" spans="1:29" ht="15.75" thickBot="1">
      <c r="A14" s="2940"/>
      <c r="B14" s="2946">
        <v>111</v>
      </c>
      <c r="C14" s="543"/>
      <c r="D14" s="544">
        <v>100</v>
      </c>
      <c r="E14" s="543"/>
      <c r="F14" s="864">
        <f>SUMIF(74:74,E14,75:75)-SUMIF(74:74,C14,75:75)+100</f>
        <v>100</v>
      </c>
      <c r="G14" s="543"/>
      <c r="H14" s="544">
        <f>SUMIF(74:74,G14,75:75)-SUMIF(74:74,C14,75:75)+100</f>
        <v>100</v>
      </c>
      <c r="I14" s="543"/>
      <c r="J14" s="544">
        <f>SUMIF(74:74,I14,75:75)-SUMIF(74:74,C14,75:75)+100</f>
        <v>100</v>
      </c>
      <c r="K14" s="863"/>
      <c r="L14" s="2142"/>
      <c r="M14" s="2134"/>
      <c r="N14" s="2134"/>
      <c r="O14" s="2141"/>
      <c r="P14" s="3497"/>
      <c r="Q14" s="1149">
        <f t="shared" si="6"/>
        <v>111</v>
      </c>
      <c r="R14" s="1567" t="s">
        <v>11</v>
      </c>
      <c r="S14" s="1568">
        <f t="shared" si="0"/>
        <v>100</v>
      </c>
      <c r="T14" s="1567" t="s">
        <v>11</v>
      </c>
      <c r="U14" s="1568">
        <f t="shared" si="1"/>
        <v>100</v>
      </c>
      <c r="V14" s="1567" t="s">
        <v>11</v>
      </c>
      <c r="W14" s="1568">
        <f t="shared" si="2"/>
        <v>100</v>
      </c>
      <c r="X14" s="1569"/>
      <c r="Y14" s="3380"/>
      <c r="Z14" s="1148">
        <f t="shared" si="7"/>
        <v>111</v>
      </c>
      <c r="AA14" s="1570">
        <f t="shared" si="3"/>
        <v>1</v>
      </c>
      <c r="AB14" s="1570">
        <f t="shared" si="4"/>
        <v>1</v>
      </c>
      <c r="AC14" s="1570">
        <f t="shared" si="5"/>
        <v>1</v>
      </c>
    </row>
    <row r="15" spans="1:29" ht="99.75">
      <c r="A15" s="2932" t="s">
        <v>2758</v>
      </c>
      <c r="B15" s="164"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2"/>
      <c r="M15" s="2134"/>
      <c r="N15" s="2134"/>
      <c r="O15" s="2141"/>
      <c r="P15" s="3531" t="s">
        <v>540</v>
      </c>
      <c r="Q15" s="1571" t="str">
        <f t="shared" si="6"/>
        <v>居住社区成熟度</v>
      </c>
      <c r="R15" s="1572" t="s">
        <v>11</v>
      </c>
      <c r="S15" s="1573">
        <f t="shared" si="0"/>
        <v>100</v>
      </c>
      <c r="T15" s="1572" t="s">
        <v>11</v>
      </c>
      <c r="U15" s="1573">
        <f t="shared" si="1"/>
        <v>100</v>
      </c>
      <c r="V15" s="1572" t="s">
        <v>11</v>
      </c>
      <c r="W15" s="1573">
        <f t="shared" si="2"/>
        <v>100</v>
      </c>
      <c r="X15" s="1566"/>
      <c r="Y15" s="3531" t="s">
        <v>540</v>
      </c>
      <c r="Z15" s="1574" t="str">
        <f t="shared" si="7"/>
        <v>居住社区成熟度</v>
      </c>
      <c r="AA15" s="1575">
        <f t="shared" si="3"/>
        <v>1</v>
      </c>
      <c r="AB15" s="1575">
        <f t="shared" si="4"/>
        <v>1</v>
      </c>
      <c r="AC15" s="1575">
        <f t="shared" si="5"/>
        <v>1</v>
      </c>
    </row>
    <row r="16" spans="1:29" ht="15">
      <c r="A16" s="530"/>
      <c r="B16" s="867"/>
      <c r="C16" s="574"/>
      <c r="D16" s="553"/>
      <c r="E16" s="554"/>
      <c r="F16" s="555"/>
      <c r="G16" s="556"/>
      <c r="H16" s="557"/>
      <c r="I16" s="554"/>
      <c r="J16" s="553"/>
      <c r="K16" s="868"/>
      <c r="L16" s="2142"/>
      <c r="M16" s="2134"/>
      <c r="N16" s="2134"/>
      <c r="O16" s="2141"/>
      <c r="P16" s="3532"/>
      <c r="Q16" s="1571"/>
      <c r="R16" s="1572"/>
      <c r="S16" s="1573"/>
      <c r="T16" s="1572"/>
      <c r="U16" s="1573"/>
      <c r="V16" s="1572"/>
      <c r="W16" s="1573"/>
      <c r="X16" s="1566"/>
      <c r="Y16" s="3532"/>
      <c r="Z16" s="1574"/>
      <c r="AA16" s="1575">
        <v>1</v>
      </c>
      <c r="AB16" s="1575">
        <v>1</v>
      </c>
      <c r="AC16" s="1575">
        <v>1</v>
      </c>
    </row>
    <row r="17" spans="1:29" ht="242.25">
      <c r="A17" s="530"/>
      <c r="B17" s="869" t="s">
        <v>296</v>
      </c>
      <c r="C17" s="870"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66"/>
      <c r="L17" s="2142"/>
      <c r="M17" s="2134"/>
      <c r="N17" s="2134"/>
      <c r="O17" s="2141"/>
      <c r="P17" s="3532"/>
      <c r="Q17" s="1571" t="str">
        <f>B17</f>
        <v>交通便捷度</v>
      </c>
      <c r="R17" s="1572" t="s">
        <v>11</v>
      </c>
      <c r="S17" s="1573">
        <f>F17</f>
        <v>100</v>
      </c>
      <c r="T17" s="1572" t="s">
        <v>11</v>
      </c>
      <c r="U17" s="1573">
        <f>H17</f>
        <v>100</v>
      </c>
      <c r="V17" s="1572" t="s">
        <v>11</v>
      </c>
      <c r="W17" s="1573">
        <f>J17</f>
        <v>100</v>
      </c>
      <c r="X17" s="1566"/>
      <c r="Y17" s="3532"/>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68"/>
      <c r="L18" s="2142"/>
      <c r="M18" s="2134"/>
      <c r="N18" s="2134"/>
      <c r="O18" s="2141"/>
      <c r="P18" s="3532"/>
      <c r="Q18" s="1571"/>
      <c r="R18" s="1572"/>
      <c r="S18" s="1573"/>
      <c r="T18" s="1572"/>
      <c r="U18" s="1573"/>
      <c r="V18" s="1572"/>
      <c r="W18" s="1573"/>
      <c r="X18" s="1566"/>
      <c r="Y18" s="3532"/>
      <c r="Z18" s="1574"/>
      <c r="AA18" s="1575">
        <v>1</v>
      </c>
      <c r="AB18" s="1575">
        <v>1</v>
      </c>
      <c r="AC18" s="1575">
        <v>1</v>
      </c>
    </row>
    <row r="19" spans="1:29" ht="42.75">
      <c r="A19" s="530"/>
      <c r="B19" s="2622" t="s">
        <v>2550</v>
      </c>
      <c r="C19" s="870" t="str">
        <f>估价对象房地状况!C7</f>
        <v>估价对象所在区域公共配套设施齐备</v>
      </c>
      <c r="D19" s="563">
        <v>100</v>
      </c>
      <c r="E19" s="568"/>
      <c r="F19" s="569">
        <f>SUMIF(80:80,E20,81:81)-SUMIF(80:80,C20,81:81)+100</f>
        <v>100</v>
      </c>
      <c r="G19" s="570"/>
      <c r="H19" s="557">
        <f>SUMIF(80:80,G20,81:81)-SUMIF(80:80,C20,81:81)+100</f>
        <v>100</v>
      </c>
      <c r="I19" s="568"/>
      <c r="J19" s="557">
        <f>SUMIF(80:80,I20,81:81)-SUMIF(80:80,C20,81:81)+100</f>
        <v>100</v>
      </c>
      <c r="K19" s="866"/>
      <c r="L19" s="2142"/>
      <c r="M19" s="2134"/>
      <c r="N19" s="2134"/>
      <c r="O19" s="2141"/>
      <c r="P19" s="3532"/>
      <c r="Q19" s="1571" t="str">
        <f>B19</f>
        <v>公共配套设施</v>
      </c>
      <c r="R19" s="1572" t="s">
        <v>11</v>
      </c>
      <c r="S19" s="1573">
        <f>F19</f>
        <v>100</v>
      </c>
      <c r="T19" s="1572" t="s">
        <v>11</v>
      </c>
      <c r="U19" s="1573">
        <f>H19</f>
        <v>100</v>
      </c>
      <c r="V19" s="1572" t="s">
        <v>11</v>
      </c>
      <c r="W19" s="1573">
        <f>J19</f>
        <v>100</v>
      </c>
      <c r="X19" s="1566"/>
      <c r="Y19" s="3532"/>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68"/>
      <c r="L20" s="2142"/>
      <c r="M20" s="2134"/>
      <c r="N20" s="2134"/>
      <c r="O20" s="2141"/>
      <c r="P20" s="3532"/>
      <c r="Q20" s="1571"/>
      <c r="R20" s="1572"/>
      <c r="S20" s="1573"/>
      <c r="T20" s="1572"/>
      <c r="U20" s="1573"/>
      <c r="V20" s="1572"/>
      <c r="W20" s="1573"/>
      <c r="X20" s="1566"/>
      <c r="Y20" s="3532"/>
      <c r="Z20" s="1574"/>
      <c r="AA20" s="1575">
        <v>1</v>
      </c>
      <c r="AB20" s="1575">
        <v>1</v>
      </c>
      <c r="AC20" s="1575">
        <v>1</v>
      </c>
    </row>
    <row r="21" spans="1:29" ht="42.75">
      <c r="A21" s="530"/>
      <c r="B21" s="2615"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66"/>
      <c r="L21" s="2142"/>
      <c r="M21" s="2134"/>
      <c r="N21" s="2134"/>
      <c r="O21" s="2141"/>
      <c r="P21" s="3532"/>
      <c r="Q21" s="2601" t="str">
        <f>B21</f>
        <v>基础设施水平</v>
      </c>
      <c r="R21" s="1572" t="s">
        <v>11</v>
      </c>
      <c r="S21" s="1573">
        <f>F21</f>
        <v>100</v>
      </c>
      <c r="T21" s="1572" t="s">
        <v>11</v>
      </c>
      <c r="U21" s="1573">
        <f>H21</f>
        <v>100</v>
      </c>
      <c r="V21" s="1572" t="s">
        <v>11</v>
      </c>
      <c r="W21" s="1573">
        <f>J21</f>
        <v>100</v>
      </c>
      <c r="X21" s="2603"/>
      <c r="Y21" s="3532"/>
      <c r="Z21" s="2602"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1"/>
      <c r="L22" s="2142"/>
      <c r="M22" s="2134"/>
      <c r="N22" s="2134"/>
      <c r="O22" s="2141"/>
      <c r="P22" s="3532"/>
      <c r="Q22" s="2601"/>
      <c r="R22" s="1572"/>
      <c r="S22" s="1573"/>
      <c r="T22" s="1572"/>
      <c r="U22" s="1573"/>
      <c r="V22" s="1572"/>
      <c r="W22" s="1573"/>
      <c r="X22" s="2603"/>
      <c r="Y22" s="3532"/>
      <c r="Z22" s="2602"/>
      <c r="AA22" s="1575">
        <v>1</v>
      </c>
      <c r="AB22" s="1575">
        <v>1</v>
      </c>
      <c r="AC22" s="1575">
        <v>1</v>
      </c>
    </row>
    <row r="23" spans="1:29" ht="156.75">
      <c r="A23" s="530"/>
      <c r="B23" s="869" t="s">
        <v>297</v>
      </c>
      <c r="C23" s="870" t="str">
        <f>估价对象房地状况!C9</f>
        <v>区域自然环境：官园公园、什刹海公园、北海公园；人文环境：妙应寺白塔、恭王府、历代帝王庙、梅兰芳纪念馆、西直门天主教堂、西城区图书馆；综合评价环境状况好。</v>
      </c>
      <c r="D23" s="557">
        <v>100</v>
      </c>
      <c r="E23" s="560"/>
      <c r="F23" s="561">
        <f>SUMIF(84:84,E24,85:85)-SUMIF(84:84,C24,85:85)+100</f>
        <v>100</v>
      </c>
      <c r="G23" s="562"/>
      <c r="H23" s="557">
        <f>SUMIF(84:84,G24,85:85)-SUMIF(84:84,C24,85:85)+100</f>
        <v>100</v>
      </c>
      <c r="I23" s="560"/>
      <c r="J23" s="557">
        <f>SUMIF(84:84,I24,85:85)-SUMIF(84:84,C24,85:85)+100</f>
        <v>100</v>
      </c>
      <c r="K23" s="866"/>
      <c r="L23" s="2142"/>
      <c r="M23" s="2134"/>
      <c r="N23" s="2134"/>
      <c r="O23" s="2141"/>
      <c r="P23" s="3532"/>
      <c r="Q23" s="1571" t="str">
        <f>B23</f>
        <v>自然及人文环境</v>
      </c>
      <c r="R23" s="1572" t="s">
        <v>11</v>
      </c>
      <c r="S23" s="1573">
        <f>F23</f>
        <v>100</v>
      </c>
      <c r="T23" s="1572" t="s">
        <v>11</v>
      </c>
      <c r="U23" s="1573">
        <f>H23</f>
        <v>100</v>
      </c>
      <c r="V23" s="1572" t="s">
        <v>11</v>
      </c>
      <c r="W23" s="1573">
        <f>J23</f>
        <v>100</v>
      </c>
      <c r="X23" s="1566"/>
      <c r="Y23" s="3532"/>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68"/>
      <c r="L24" s="2142"/>
      <c r="M24" s="2134"/>
      <c r="N24" s="2134"/>
      <c r="O24" s="2141"/>
      <c r="P24" s="3532"/>
      <c r="Q24" s="1571"/>
      <c r="R24" s="1572"/>
      <c r="S24" s="1573"/>
      <c r="T24" s="1572"/>
      <c r="U24" s="1573"/>
      <c r="V24" s="1572"/>
      <c r="W24" s="1573"/>
      <c r="X24" s="1566"/>
      <c r="Y24" s="3532"/>
      <c r="Z24" s="1574"/>
      <c r="AA24" s="1575">
        <v>1</v>
      </c>
      <c r="AB24" s="1575">
        <v>1</v>
      </c>
      <c r="AC24" s="1575">
        <v>1</v>
      </c>
    </row>
    <row r="25" spans="1:29" ht="15">
      <c r="A25" s="530"/>
      <c r="B25" s="1895" t="s">
        <v>2259</v>
      </c>
      <c r="C25" s="572"/>
      <c r="D25" s="538">
        <v>100</v>
      </c>
      <c r="E25" s="872"/>
      <c r="F25" s="573">
        <f>SUMIF(86:86,E25,87:87)-SUMIF(86:86,C25,87:87)+100</f>
        <v>100</v>
      </c>
      <c r="G25" s="597"/>
      <c r="H25" s="538">
        <f>SUMIF(86:86,G25,87:87)-SUMIF(86:86,C25,87:87)+100</f>
        <v>100</v>
      </c>
      <c r="I25" s="872"/>
      <c r="J25" s="538">
        <f>SUMIF(86:86,I25,87:87)-SUMIF(86:86,C25,87:87)+100</f>
        <v>100</v>
      </c>
      <c r="K25" s="862"/>
      <c r="L25" s="2142"/>
      <c r="M25" s="2134"/>
      <c r="N25" s="2134"/>
      <c r="O25" s="2141"/>
      <c r="P25" s="3532"/>
      <c r="Q25" s="1571" t="str">
        <f t="shared" ref="Q25:Q46" si="11">B25</f>
        <v>楼层-1</v>
      </c>
      <c r="R25" s="1572" t="s">
        <v>11</v>
      </c>
      <c r="S25" s="1573">
        <f>F25</f>
        <v>100</v>
      </c>
      <c r="T25" s="1572" t="s">
        <v>11</v>
      </c>
      <c r="U25" s="1573">
        <f>H25</f>
        <v>100</v>
      </c>
      <c r="V25" s="1572" t="s">
        <v>11</v>
      </c>
      <c r="W25" s="1573">
        <f>J25</f>
        <v>100</v>
      </c>
      <c r="X25" s="1566"/>
      <c r="Y25" s="3532"/>
      <c r="Z25" s="1574" t="str">
        <f>Q25</f>
        <v>楼层-1</v>
      </c>
      <c r="AA25" s="1575">
        <f t="shared" si="3"/>
        <v>1</v>
      </c>
      <c r="AB25" s="1575">
        <f t="shared" si="4"/>
        <v>1</v>
      </c>
      <c r="AC25" s="1575">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2"/>
      <c r="M26" s="2134"/>
      <c r="N26" s="2134"/>
      <c r="O26" s="2141"/>
      <c r="P26" s="3532"/>
      <c r="Q26" s="1571" t="str">
        <f t="shared" si="11"/>
        <v>朝向</v>
      </c>
      <c r="R26" s="1572" t="s">
        <v>11</v>
      </c>
      <c r="S26" s="1573">
        <f>F26</f>
        <v>100</v>
      </c>
      <c r="T26" s="1572" t="s">
        <v>11</v>
      </c>
      <c r="U26" s="1573">
        <f>H26</f>
        <v>100</v>
      </c>
      <c r="V26" s="1572" t="s">
        <v>11</v>
      </c>
      <c r="W26" s="1573">
        <f>J26</f>
        <v>100</v>
      </c>
      <c r="X26" s="1566"/>
      <c r="Y26" s="3532"/>
      <c r="Z26" s="1574" t="str">
        <f>Q26</f>
        <v>朝向</v>
      </c>
      <c r="AA26" s="1575">
        <f t="shared" si="3"/>
        <v>1</v>
      </c>
      <c r="AB26" s="1575">
        <f t="shared" si="4"/>
        <v>1</v>
      </c>
      <c r="AC26" s="1575">
        <f t="shared" si="5"/>
        <v>1</v>
      </c>
    </row>
    <row r="27" spans="1:29" s="1218"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5"/>
      <c r="M27" s="2136"/>
      <c r="N27" s="2136"/>
      <c r="O27" s="2137"/>
      <c r="P27" s="3532"/>
      <c r="Q27" s="1149" t="str">
        <f t="shared" si="11"/>
        <v>道路级别</v>
      </c>
      <c r="R27" s="1567" t="s">
        <v>11</v>
      </c>
      <c r="S27" s="1568">
        <f>F27</f>
        <v>100</v>
      </c>
      <c r="T27" s="1567" t="s">
        <v>11</v>
      </c>
      <c r="U27" s="1568">
        <f>H27</f>
        <v>100</v>
      </c>
      <c r="V27" s="1567" t="s">
        <v>11</v>
      </c>
      <c r="W27" s="1568">
        <f>J27</f>
        <v>100</v>
      </c>
      <c r="X27" s="1569"/>
      <c r="Y27" s="3532"/>
      <c r="Z27" s="1148" t="str">
        <f>Q27</f>
        <v>道路级别</v>
      </c>
      <c r="AA27" s="1575">
        <f>D27/F27</f>
        <v>1</v>
      </c>
      <c r="AB27" s="1575">
        <f>D27/H27</f>
        <v>1</v>
      </c>
      <c r="AC27" s="1575">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2"/>
      <c r="M28" s="2134"/>
      <c r="N28" s="2134"/>
      <c r="O28" s="2141"/>
      <c r="P28" s="3532"/>
      <c r="Q28" s="1571">
        <f t="shared" si="11"/>
        <v>111</v>
      </c>
      <c r="R28" s="1572" t="s">
        <v>11</v>
      </c>
      <c r="S28" s="1573">
        <f t="shared" ref="S28:S46" si="12">F28</f>
        <v>100</v>
      </c>
      <c r="T28" s="1572" t="s">
        <v>11</v>
      </c>
      <c r="U28" s="1573">
        <f t="shared" ref="U28:U46" si="13">H28</f>
        <v>100</v>
      </c>
      <c r="V28" s="1572" t="s">
        <v>11</v>
      </c>
      <c r="W28" s="1573">
        <f t="shared" ref="W28:W46" si="14">J28</f>
        <v>100</v>
      </c>
      <c r="X28" s="1566"/>
      <c r="Y28" s="3532"/>
      <c r="Z28" s="1574">
        <f t="shared" ref="Z28:Z46" si="15">Q28</f>
        <v>111</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2"/>
      <c r="M29" s="2134"/>
      <c r="N29" s="2134"/>
      <c r="O29" s="2141"/>
      <c r="P29" s="3532"/>
      <c r="Q29" s="1571">
        <f t="shared" si="11"/>
        <v>111</v>
      </c>
      <c r="R29" s="1572" t="s">
        <v>11</v>
      </c>
      <c r="S29" s="1573">
        <f t="shared" si="12"/>
        <v>100</v>
      </c>
      <c r="T29" s="1572" t="s">
        <v>11</v>
      </c>
      <c r="U29" s="1573">
        <f t="shared" si="13"/>
        <v>100</v>
      </c>
      <c r="V29" s="1572" t="s">
        <v>11</v>
      </c>
      <c r="W29" s="1573">
        <f t="shared" si="14"/>
        <v>100</v>
      </c>
      <c r="X29" s="1566"/>
      <c r="Y29" s="3532"/>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2"/>
      <c r="M30" s="2134"/>
      <c r="N30" s="2134"/>
      <c r="O30" s="2141"/>
      <c r="P30" s="3532"/>
      <c r="Q30" s="1571">
        <f t="shared" si="11"/>
        <v>111</v>
      </c>
      <c r="R30" s="1572" t="s">
        <v>11</v>
      </c>
      <c r="S30" s="1573">
        <f t="shared" si="12"/>
        <v>100</v>
      </c>
      <c r="T30" s="1572" t="s">
        <v>11</v>
      </c>
      <c r="U30" s="1573">
        <f t="shared" si="13"/>
        <v>100</v>
      </c>
      <c r="V30" s="1572" t="s">
        <v>11</v>
      </c>
      <c r="W30" s="1573">
        <f t="shared" si="14"/>
        <v>100</v>
      </c>
      <c r="X30" s="1566"/>
      <c r="Y30" s="3532"/>
      <c r="Z30" s="1574">
        <f t="shared" si="15"/>
        <v>111</v>
      </c>
      <c r="AA30" s="1575">
        <f t="shared" si="3"/>
        <v>1</v>
      </c>
      <c r="AB30" s="1575">
        <f t="shared" si="4"/>
        <v>1</v>
      </c>
      <c r="AC30" s="1575">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2"/>
      <c r="M31" s="2134"/>
      <c r="N31" s="2134"/>
      <c r="O31" s="2141"/>
      <c r="P31" s="3532"/>
      <c r="Q31" s="1571">
        <f t="shared" si="11"/>
        <v>111</v>
      </c>
      <c r="R31" s="1572" t="s">
        <v>11</v>
      </c>
      <c r="S31" s="1573">
        <f t="shared" si="12"/>
        <v>100</v>
      </c>
      <c r="T31" s="1572" t="s">
        <v>11</v>
      </c>
      <c r="U31" s="1573">
        <f t="shared" si="13"/>
        <v>100</v>
      </c>
      <c r="V31" s="1572" t="s">
        <v>11</v>
      </c>
      <c r="W31" s="1573">
        <f t="shared" si="14"/>
        <v>100</v>
      </c>
      <c r="X31" s="1566"/>
      <c r="Y31" s="3532"/>
      <c r="Z31" s="1574">
        <f t="shared" si="15"/>
        <v>111</v>
      </c>
      <c r="AA31" s="1575">
        <f t="shared" si="3"/>
        <v>1</v>
      </c>
      <c r="AB31" s="1575">
        <f t="shared" si="4"/>
        <v>1</v>
      </c>
      <c r="AC31" s="1575">
        <f t="shared" si="5"/>
        <v>1</v>
      </c>
    </row>
    <row r="32" spans="1:29" ht="15">
      <c r="A32" s="2929" t="s">
        <v>2759</v>
      </c>
      <c r="B32" s="170"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2"/>
      <c r="M32" s="2134"/>
      <c r="N32" s="2134"/>
      <c r="O32" s="2141"/>
      <c r="P32" s="3533" t="s">
        <v>550</v>
      </c>
      <c r="Q32" s="1571" t="str">
        <f t="shared" si="11"/>
        <v>建筑类型</v>
      </c>
      <c r="R32" s="1572" t="s">
        <v>11</v>
      </c>
      <c r="S32" s="1573">
        <f t="shared" si="12"/>
        <v>100</v>
      </c>
      <c r="T32" s="1572" t="s">
        <v>11</v>
      </c>
      <c r="U32" s="1573">
        <f t="shared" si="13"/>
        <v>100</v>
      </c>
      <c r="V32" s="1572" t="s">
        <v>11</v>
      </c>
      <c r="W32" s="1573">
        <f t="shared" si="14"/>
        <v>100</v>
      </c>
      <c r="X32" s="1566"/>
      <c r="Y32" s="3534" t="s">
        <v>550</v>
      </c>
      <c r="Z32" s="1574" t="str">
        <f t="shared" si="15"/>
        <v>建筑类型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40"/>
      <c r="M33" s="2171"/>
      <c r="N33" s="2171"/>
      <c r="O33" s="2143"/>
      <c r="P33" s="3534"/>
      <c r="Q33" s="1604" t="str">
        <f t="shared" si="11"/>
        <v>项目建筑规模</v>
      </c>
      <c r="R33" s="1576" t="s">
        <v>11</v>
      </c>
      <c r="S33" s="1577" t="e">
        <f t="shared" si="12"/>
        <v>#N/A</v>
      </c>
      <c r="T33" s="1576" t="s">
        <v>11</v>
      </c>
      <c r="U33" s="1577" t="e">
        <f t="shared" si="13"/>
        <v>#N/A</v>
      </c>
      <c r="V33" s="1576" t="s">
        <v>11</v>
      </c>
      <c r="W33" s="1577" t="e">
        <f t="shared" si="14"/>
        <v>#N/A</v>
      </c>
      <c r="X33" s="1578"/>
      <c r="Y33" s="3534"/>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2"/>
      <c r="M34" s="2134"/>
      <c r="N34" s="2134"/>
      <c r="O34" s="2141"/>
      <c r="P34" s="3534"/>
      <c r="Q34" s="1571" t="str">
        <f t="shared" si="11"/>
        <v>建筑结构</v>
      </c>
      <c r="R34" s="1572" t="s">
        <v>11</v>
      </c>
      <c r="S34" s="1573">
        <f t="shared" si="12"/>
        <v>100</v>
      </c>
      <c r="T34" s="1572" t="s">
        <v>11</v>
      </c>
      <c r="U34" s="1573">
        <f t="shared" si="13"/>
        <v>100</v>
      </c>
      <c r="V34" s="1572" t="s">
        <v>11</v>
      </c>
      <c r="W34" s="1573">
        <f t="shared" si="14"/>
        <v>100</v>
      </c>
      <c r="X34" s="1566"/>
      <c r="Y34" s="3534"/>
      <c r="Z34" s="1574" t="str">
        <f t="shared" si="15"/>
        <v>建筑结构</v>
      </c>
      <c r="AA34" s="1575">
        <f t="shared" si="3"/>
        <v>1</v>
      </c>
      <c r="AB34" s="1575">
        <f t="shared" si="4"/>
        <v>1</v>
      </c>
      <c r="AC34" s="1575">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2"/>
      <c r="M35" s="2134"/>
      <c r="N35" s="2134"/>
      <c r="O35" s="2141"/>
      <c r="P35" s="3534"/>
      <c r="Q35" s="1571" t="str">
        <f t="shared" si="11"/>
        <v>建筑品质</v>
      </c>
      <c r="R35" s="1572" t="s">
        <v>11</v>
      </c>
      <c r="S35" s="1573">
        <f t="shared" si="12"/>
        <v>100</v>
      </c>
      <c r="T35" s="1572" t="s">
        <v>11</v>
      </c>
      <c r="U35" s="1573">
        <f t="shared" si="13"/>
        <v>100</v>
      </c>
      <c r="V35" s="1572" t="s">
        <v>11</v>
      </c>
      <c r="W35" s="1573">
        <f t="shared" si="14"/>
        <v>100</v>
      </c>
      <c r="X35" s="1566"/>
      <c r="Y35" s="3534"/>
      <c r="Z35" s="1574" t="str">
        <f t="shared" si="15"/>
        <v>建筑品质</v>
      </c>
      <c r="AA35" s="1575">
        <f t="shared" si="3"/>
        <v>1</v>
      </c>
      <c r="AB35" s="1575">
        <f t="shared" si="4"/>
        <v>1</v>
      </c>
      <c r="AC35" s="1575">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2"/>
      <c r="M36" s="2134"/>
      <c r="N36" s="2134"/>
      <c r="O36" s="2141"/>
      <c r="P36" s="3534"/>
      <c r="Q36" s="1571" t="str">
        <f t="shared" si="11"/>
        <v>公共部分装修</v>
      </c>
      <c r="R36" s="1572" t="s">
        <v>11</v>
      </c>
      <c r="S36" s="1573">
        <f t="shared" si="12"/>
        <v>100</v>
      </c>
      <c r="T36" s="1572" t="s">
        <v>11</v>
      </c>
      <c r="U36" s="1573">
        <f t="shared" si="13"/>
        <v>100</v>
      </c>
      <c r="V36" s="1572" t="s">
        <v>11</v>
      </c>
      <c r="W36" s="1573">
        <f t="shared" si="14"/>
        <v>100</v>
      </c>
      <c r="X36" s="1566"/>
      <c r="Y36" s="3534"/>
      <c r="Z36" s="1574" t="str">
        <f t="shared" si="15"/>
        <v>公共部分装修</v>
      </c>
      <c r="AA36" s="1575">
        <f t="shared" si="3"/>
        <v>1</v>
      </c>
      <c r="AB36" s="1575">
        <f t="shared" si="4"/>
        <v>1</v>
      </c>
      <c r="AC36" s="1575">
        <f t="shared" si="5"/>
        <v>1</v>
      </c>
    </row>
    <row r="37" spans="1:29" s="1218" customFormat="1" ht="15">
      <c r="A37" s="598"/>
      <c r="B37" s="525" t="s">
        <v>730</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5"/>
      <c r="M37" s="2136"/>
      <c r="N37" s="2136"/>
      <c r="O37" s="2137"/>
      <c r="P37" s="3534"/>
      <c r="Q37" s="1149" t="str">
        <f t="shared" si="11"/>
        <v>成新度</v>
      </c>
      <c r="R37" s="1567" t="s">
        <v>11</v>
      </c>
      <c r="S37" s="1568" t="e">
        <f t="shared" si="12"/>
        <v>#N/A</v>
      </c>
      <c r="T37" s="1567" t="s">
        <v>11</v>
      </c>
      <c r="U37" s="1568" t="e">
        <f t="shared" si="13"/>
        <v>#N/A</v>
      </c>
      <c r="V37" s="1567" t="s">
        <v>11</v>
      </c>
      <c r="W37" s="1568" t="e">
        <f t="shared" si="14"/>
        <v>#N/A</v>
      </c>
      <c r="X37" s="1569"/>
      <c r="Y37" s="3534"/>
      <c r="Z37" s="1148" t="str">
        <f t="shared" si="15"/>
        <v>成新度</v>
      </c>
      <c r="AA37" s="1570" t="e">
        <f t="shared" si="3"/>
        <v>#N/A</v>
      </c>
      <c r="AB37" s="1570" t="e">
        <f t="shared" si="4"/>
        <v>#N/A</v>
      </c>
      <c r="AC37" s="1570" t="e">
        <f t="shared" si="5"/>
        <v>#N/A</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2"/>
      <c r="M38" s="2134"/>
      <c r="N38" s="2134"/>
      <c r="O38" s="2141"/>
      <c r="P38" s="3534" t="s">
        <v>550</v>
      </c>
      <c r="Q38" s="1571" t="str">
        <f t="shared" si="11"/>
        <v>物业管理</v>
      </c>
      <c r="R38" s="1572" t="s">
        <v>11</v>
      </c>
      <c r="S38" s="1573">
        <f t="shared" si="12"/>
        <v>100</v>
      </c>
      <c r="T38" s="1572" t="s">
        <v>11</v>
      </c>
      <c r="U38" s="1573">
        <f t="shared" si="13"/>
        <v>100</v>
      </c>
      <c r="V38" s="1572" t="s">
        <v>11</v>
      </c>
      <c r="W38" s="1573">
        <f t="shared" si="14"/>
        <v>100</v>
      </c>
      <c r="X38" s="1566"/>
      <c r="Y38" s="3534" t="s">
        <v>550</v>
      </c>
      <c r="Z38" s="1574" t="str">
        <f t="shared" si="15"/>
        <v>物业管理</v>
      </c>
      <c r="AA38" s="1575">
        <f t="shared" si="3"/>
        <v>1</v>
      </c>
      <c r="AB38" s="1575">
        <f t="shared" si="4"/>
        <v>1</v>
      </c>
      <c r="AC38" s="1575">
        <f t="shared" si="5"/>
        <v>1</v>
      </c>
    </row>
    <row r="39" spans="1:29" ht="15">
      <c r="A39" s="592"/>
      <c r="B39" s="1895" t="s">
        <v>2568</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2"/>
      <c r="M39" s="2134"/>
      <c r="N39" s="2134"/>
      <c r="O39" s="2141"/>
      <c r="P39" s="3534"/>
      <c r="Q39" s="1571" t="str">
        <f t="shared" si="11"/>
        <v>市政基础设施</v>
      </c>
      <c r="R39" s="1572" t="s">
        <v>11</v>
      </c>
      <c r="S39" s="1573">
        <f t="shared" si="12"/>
        <v>100</v>
      </c>
      <c r="T39" s="1572" t="s">
        <v>11</v>
      </c>
      <c r="U39" s="1573">
        <f t="shared" si="13"/>
        <v>100</v>
      </c>
      <c r="V39" s="1572" t="s">
        <v>11</v>
      </c>
      <c r="W39" s="1573">
        <f t="shared" si="14"/>
        <v>100</v>
      </c>
      <c r="X39" s="1566"/>
      <c r="Y39" s="3534"/>
      <c r="Z39" s="1574" t="str">
        <f t="shared" si="15"/>
        <v>市政基础设施</v>
      </c>
      <c r="AA39" s="1575">
        <f t="shared" si="3"/>
        <v>1</v>
      </c>
      <c r="AB39" s="1575">
        <f t="shared" si="4"/>
        <v>1</v>
      </c>
      <c r="AC39" s="1575">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2"/>
      <c r="M40" s="2134"/>
      <c r="N40" s="2134"/>
      <c r="O40" s="2141"/>
      <c r="P40" s="3534"/>
      <c r="Q40" s="1571" t="str">
        <f t="shared" si="11"/>
        <v>房型</v>
      </c>
      <c r="R40" s="1572" t="s">
        <v>11</v>
      </c>
      <c r="S40" s="1573">
        <f t="shared" si="12"/>
        <v>100</v>
      </c>
      <c r="T40" s="1572" t="s">
        <v>11</v>
      </c>
      <c r="U40" s="1573">
        <f t="shared" si="13"/>
        <v>100</v>
      </c>
      <c r="V40" s="1572" t="s">
        <v>11</v>
      </c>
      <c r="W40" s="1573">
        <f t="shared" si="14"/>
        <v>100</v>
      </c>
      <c r="X40" s="1566"/>
      <c r="Y40" s="3534"/>
      <c r="Z40" s="1574" t="str">
        <f t="shared" si="15"/>
        <v>房型</v>
      </c>
      <c r="AA40" s="1575">
        <f t="shared" si="3"/>
        <v>1</v>
      </c>
      <c r="AB40" s="1575">
        <f t="shared" si="4"/>
        <v>1</v>
      </c>
      <c r="AC40" s="1575">
        <f t="shared" si="5"/>
        <v>1</v>
      </c>
    </row>
    <row r="41" spans="1:29" s="1337" customFormat="1" ht="28.5">
      <c r="A41" s="601"/>
      <c r="B41" s="525" t="s">
        <v>733</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40"/>
      <c r="M41" s="2171"/>
      <c r="N41" s="2171"/>
      <c r="O41" s="2143"/>
      <c r="P41" s="3534"/>
      <c r="Q41" s="1604" t="str">
        <f t="shared" si="11"/>
        <v>单套/主力户型建筑面积</v>
      </c>
      <c r="R41" s="1576" t="s">
        <v>11</v>
      </c>
      <c r="S41" s="1577">
        <f t="shared" si="12"/>
        <v>100</v>
      </c>
      <c r="T41" s="1576" t="s">
        <v>11</v>
      </c>
      <c r="U41" s="1577">
        <f t="shared" si="13"/>
        <v>100</v>
      </c>
      <c r="V41" s="1576" t="s">
        <v>11</v>
      </c>
      <c r="W41" s="1577">
        <f t="shared" si="14"/>
        <v>100</v>
      </c>
      <c r="X41" s="1578"/>
      <c r="Y41" s="3534"/>
      <c r="Z41" s="1579" t="str">
        <f t="shared" si="15"/>
        <v>单套/主力户型建筑面积</v>
      </c>
      <c r="AA41" s="1575">
        <f t="shared" si="3"/>
        <v>1</v>
      </c>
      <c r="AB41" s="1575">
        <f t="shared" si="4"/>
        <v>1</v>
      </c>
      <c r="AC41" s="1575">
        <f t="shared" si="5"/>
        <v>1</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2"/>
      <c r="M42" s="2134"/>
      <c r="N42" s="2134"/>
      <c r="O42" s="2141"/>
      <c r="P42" s="3534"/>
      <c r="Q42" s="1571" t="str">
        <f t="shared" si="11"/>
        <v>内部装修</v>
      </c>
      <c r="R42" s="1572" t="s">
        <v>11</v>
      </c>
      <c r="S42" s="1573">
        <f t="shared" si="12"/>
        <v>100</v>
      </c>
      <c r="T42" s="1572" t="s">
        <v>11</v>
      </c>
      <c r="U42" s="1573">
        <f t="shared" si="13"/>
        <v>100</v>
      </c>
      <c r="V42" s="1572" t="s">
        <v>11</v>
      </c>
      <c r="W42" s="1573">
        <f t="shared" si="14"/>
        <v>100</v>
      </c>
      <c r="X42" s="1566"/>
      <c r="Y42" s="3534"/>
      <c r="Z42" s="1574" t="str">
        <f t="shared" si="15"/>
        <v>内部装修</v>
      </c>
      <c r="AA42" s="1575">
        <f t="shared" si="3"/>
        <v>1</v>
      </c>
      <c r="AB42" s="1575">
        <f t="shared" si="4"/>
        <v>1</v>
      </c>
      <c r="AC42" s="1575">
        <f t="shared" si="5"/>
        <v>1</v>
      </c>
    </row>
    <row r="43" spans="1:29" ht="27">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2"/>
      <c r="M43" s="2134"/>
      <c r="N43" s="2134"/>
      <c r="O43" s="2141"/>
      <c r="P43" s="3534"/>
      <c r="Q43" s="1571" t="str">
        <f t="shared" si="11"/>
        <v>内部装修维护情况</v>
      </c>
      <c r="R43" s="1572" t="s">
        <v>11</v>
      </c>
      <c r="S43" s="1573">
        <f t="shared" si="12"/>
        <v>100</v>
      </c>
      <c r="T43" s="1572" t="s">
        <v>11</v>
      </c>
      <c r="U43" s="1573">
        <f t="shared" si="13"/>
        <v>100</v>
      </c>
      <c r="V43" s="1572" t="s">
        <v>11</v>
      </c>
      <c r="W43" s="1573">
        <f t="shared" si="14"/>
        <v>100</v>
      </c>
      <c r="X43" s="1566"/>
      <c r="Y43" s="3534"/>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5"/>
      <c r="M44" s="2136"/>
      <c r="N44" s="2136"/>
      <c r="O44" s="2137"/>
      <c r="P44" s="3534"/>
      <c r="Q44" s="1149">
        <f t="shared" si="11"/>
        <v>111</v>
      </c>
      <c r="R44" s="1567" t="s">
        <v>11</v>
      </c>
      <c r="S44" s="1568">
        <f t="shared" si="12"/>
        <v>100</v>
      </c>
      <c r="T44" s="1567" t="s">
        <v>11</v>
      </c>
      <c r="U44" s="1568">
        <f t="shared" si="13"/>
        <v>100</v>
      </c>
      <c r="V44" s="1567" t="s">
        <v>11</v>
      </c>
      <c r="W44" s="1568">
        <f t="shared" si="14"/>
        <v>100</v>
      </c>
      <c r="X44" s="1569"/>
      <c r="Y44" s="3534"/>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2"/>
      <c r="M45" s="2134"/>
      <c r="N45" s="2134"/>
      <c r="O45" s="2141"/>
      <c r="P45" s="3534"/>
      <c r="Q45" s="1571">
        <f t="shared" si="11"/>
        <v>111</v>
      </c>
      <c r="R45" s="1572" t="s">
        <v>11</v>
      </c>
      <c r="S45" s="1573">
        <f t="shared" si="12"/>
        <v>100</v>
      </c>
      <c r="T45" s="1572" t="s">
        <v>11</v>
      </c>
      <c r="U45" s="1573">
        <f t="shared" si="13"/>
        <v>100</v>
      </c>
      <c r="V45" s="1572" t="s">
        <v>11</v>
      </c>
      <c r="W45" s="1573">
        <f t="shared" si="14"/>
        <v>100</v>
      </c>
      <c r="X45" s="1566"/>
      <c r="Y45" s="3534"/>
      <c r="Z45" s="1574">
        <f t="shared" si="15"/>
        <v>111</v>
      </c>
      <c r="AA45" s="1575">
        <f t="shared" si="3"/>
        <v>1</v>
      </c>
      <c r="AB45" s="1575">
        <f t="shared" si="4"/>
        <v>1</v>
      </c>
      <c r="AC45" s="1575">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2"/>
      <c r="M46" s="2134"/>
      <c r="N46" s="2134"/>
      <c r="O46" s="2141"/>
      <c r="P46" s="3611"/>
      <c r="Q46" s="1571">
        <f t="shared" si="11"/>
        <v>111</v>
      </c>
      <c r="R46" s="1572" t="s">
        <v>10</v>
      </c>
      <c r="S46" s="1573">
        <f t="shared" si="12"/>
        <v>100</v>
      </c>
      <c r="T46" s="1572" t="s">
        <v>10</v>
      </c>
      <c r="U46" s="1573">
        <f t="shared" si="13"/>
        <v>100</v>
      </c>
      <c r="V46" s="1572" t="s">
        <v>10</v>
      </c>
      <c r="W46" s="1573">
        <f t="shared" si="14"/>
        <v>100</v>
      </c>
      <c r="X46" s="1566"/>
      <c r="Y46" s="3611"/>
      <c r="Z46" s="1574">
        <f t="shared" si="15"/>
        <v>111</v>
      </c>
      <c r="AA46" s="1575">
        <f t="shared" si="3"/>
        <v>1</v>
      </c>
      <c r="AB46" s="1575">
        <f t="shared" si="4"/>
        <v>1</v>
      </c>
      <c r="AC46" s="1575">
        <f t="shared" si="5"/>
        <v>1</v>
      </c>
    </row>
    <row r="47" spans="1:29" ht="15">
      <c r="A47" s="605" t="s">
        <v>736</v>
      </c>
      <c r="B47" s="885"/>
      <c r="C47" s="2649" t="s">
        <v>9</v>
      </c>
      <c r="D47" s="2650"/>
      <c r="E47" s="2651"/>
      <c r="F47" s="2652"/>
      <c r="G47" s="2653"/>
      <c r="H47" s="2654"/>
      <c r="I47" s="2651"/>
      <c r="J47" s="2654"/>
      <c r="K47" s="1605"/>
      <c r="L47" s="2144"/>
      <c r="M47" s="2145"/>
      <c r="N47" s="2134"/>
      <c r="O47" s="2145"/>
      <c r="P47" s="3497" t="str">
        <f>A47</f>
        <v>成交单价（元/平方米）</v>
      </c>
      <c r="Q47" s="3497"/>
      <c r="R47" s="3610">
        <f>E47</f>
        <v>0</v>
      </c>
      <c r="S47" s="3610"/>
      <c r="T47" s="3610">
        <f>G47</f>
        <v>0</v>
      </c>
      <c r="U47" s="3610"/>
      <c r="V47" s="3610">
        <f>I47</f>
        <v>0</v>
      </c>
      <c r="W47" s="3610"/>
      <c r="X47" s="1558"/>
      <c r="Y47" s="1580"/>
      <c r="Z47" s="1558"/>
      <c r="AA47" s="1558"/>
      <c r="AB47" s="1558"/>
      <c r="AC47" s="1558"/>
    </row>
    <row r="48" spans="1:29" ht="15.75" thickBot="1">
      <c r="A48" s="613" t="s">
        <v>2764</v>
      </c>
      <c r="B48" s="886"/>
      <c r="C48" s="2655" t="e">
        <f>R49</f>
        <v>#DIV/0!</v>
      </c>
      <c r="D48" s="2656"/>
      <c r="E48" s="2657" t="e">
        <f>R48</f>
        <v>#DIV/0!</v>
      </c>
      <c r="F48" s="2657"/>
      <c r="G48" s="2655" t="e">
        <f>T48</f>
        <v>#DIV/0!</v>
      </c>
      <c r="H48" s="2656"/>
      <c r="I48" s="2657" t="e">
        <f>V48</f>
        <v>#DIV/0!</v>
      </c>
      <c r="J48" s="2656"/>
      <c r="K48" s="1606"/>
      <c r="L48" s="2144"/>
      <c r="M48" s="2145"/>
      <c r="N48" s="2145"/>
      <c r="O48" s="2145"/>
      <c r="P48" s="3497" t="str">
        <f>A48</f>
        <v>比较价格（元/平方米）</v>
      </c>
      <c r="Q48" s="3497"/>
      <c r="R48" s="3610" t="e">
        <f>IF(F1="售价",ROUND(PRODUCT(R47,AA7:AA46),0),ROUND(PRODUCT(R47,AA7:AA46),1))</f>
        <v>#DIV/0!</v>
      </c>
      <c r="S48" s="3610"/>
      <c r="T48" s="3610" t="e">
        <f>IF(F1="售价",ROUND(PRODUCT(T47,AB7:AB46),0),ROUND(PRODUCT(T47,AB7:AB46),1))</f>
        <v>#DIV/0!</v>
      </c>
      <c r="U48" s="3610"/>
      <c r="V48" s="3610" t="e">
        <f>IF(F1="售价",ROUND(PRODUCT(V47,AC7:AC46),0),ROUND(PRODUCT(V47,AC7:AC46),1))</f>
        <v>#DIV/0!</v>
      </c>
      <c r="W48" s="3610"/>
      <c r="X48" s="1558"/>
      <c r="Y48" s="1558"/>
      <c r="Z48" s="1558"/>
      <c r="AA48" s="1558"/>
      <c r="AB48" s="1558"/>
      <c r="AC48" s="1558"/>
    </row>
    <row r="49" spans="1:29" ht="15.75" thickBot="1">
      <c r="A49" s="619" t="s">
        <v>2936</v>
      </c>
      <c r="B49" s="620"/>
      <c r="C49" s="2658" t="e">
        <f>R49</f>
        <v>#DIV/0!</v>
      </c>
      <c r="D49" s="2658"/>
      <c r="E49" s="2658"/>
      <c r="F49" s="2658"/>
      <c r="G49" s="2658"/>
      <c r="H49" s="2658"/>
      <c r="I49" s="2658"/>
      <c r="J49" s="2658"/>
      <c r="K49" s="1607"/>
      <c r="L49" s="2144"/>
      <c r="M49" s="2145"/>
      <c r="N49" s="2145"/>
      <c r="O49" s="2145"/>
      <c r="P49" s="3494" t="str">
        <f>A49</f>
        <v>估价对象XX用房的比较价格（楼面单价，元/平方米）</v>
      </c>
      <c r="Q49" s="3495"/>
      <c r="R49" s="3609" t="e">
        <f>IF(F1="售价",ROUND(AVERAGE(R48:V48),0),ROUND(AVERAGE(R48:V48),1))</f>
        <v>#DIV/0!</v>
      </c>
      <c r="S49" s="3609"/>
      <c r="T49" s="3609"/>
      <c r="U49" s="3609"/>
      <c r="V49" s="3609"/>
      <c r="W49" s="360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8"/>
      <c r="N59" s="648"/>
      <c r="O59" s="648"/>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99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90"/>
      <c r="E73" s="690"/>
      <c r="F73" s="690"/>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2561</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619" t="s">
        <v>2562</v>
      </c>
      <c r="C82" s="2620" t="s">
        <v>2563</v>
      </c>
      <c r="D82" s="2620" t="s">
        <v>2564</v>
      </c>
      <c r="E82" s="2620" t="s">
        <v>2565</v>
      </c>
      <c r="F82" s="2620" t="s">
        <v>2566</v>
      </c>
      <c r="G82" s="2620" t="s">
        <v>2567</v>
      </c>
      <c r="H82" s="672"/>
      <c r="I82" s="672"/>
      <c r="J82" s="672"/>
      <c r="K82" s="672"/>
      <c r="L82" s="672"/>
      <c r="M82" s="2623"/>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1896" t="s">
        <v>2260</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
        <v>746</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道路级别</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690"/>
      <c r="D91" s="690"/>
      <c r="E91" s="690"/>
      <c r="F91" s="690"/>
      <c r="G91" s="690"/>
      <c r="H91" s="691"/>
      <c r="I91" s="691"/>
      <c r="J91" s="691"/>
      <c r="K91" s="691"/>
      <c r="L91" s="691"/>
      <c r="M91" s="692"/>
      <c r="N91" s="2167"/>
      <c r="O91" s="2167"/>
      <c r="P91" s="2168"/>
      <c r="Q91" s="2169"/>
      <c r="R91" s="2170"/>
      <c r="S91" s="2170"/>
      <c r="T91" s="2170"/>
      <c r="U91" s="2170"/>
      <c r="V91" s="2170"/>
      <c r="W91" s="2170"/>
      <c r="X91" s="2170"/>
      <c r="Y91" s="2170"/>
      <c r="Z91" s="2170"/>
      <c r="AA91" s="2170"/>
      <c r="AB91" s="2170"/>
      <c r="AC91" s="2170"/>
    </row>
    <row r="92" spans="1:29" ht="15.75" thickTop="1">
      <c r="A92" s="667"/>
      <c r="B92" s="671">
        <f>B28</f>
        <v>111</v>
      </c>
      <c r="C92" s="686"/>
      <c r="D92" s="686"/>
      <c r="E92" s="686"/>
      <c r="F92" s="686"/>
      <c r="G92" s="716"/>
      <c r="H92" s="716"/>
      <c r="I92" s="716"/>
      <c r="J92" s="716"/>
      <c r="K92" s="717"/>
      <c r="L92" s="718"/>
      <c r="M92" s="71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90"/>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90"/>
      <c r="E95" s="690"/>
      <c r="F95" s="690"/>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8"/>
      <c r="D97" s="698"/>
      <c r="E97" s="698"/>
      <c r="F97" s="698"/>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720"/>
      <c r="D98" s="720"/>
      <c r="E98" s="720"/>
      <c r="F98" s="720"/>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724"/>
      <c r="D99" s="724"/>
      <c r="E99" s="724"/>
      <c r="F99" s="724"/>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747</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69"/>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750</v>
      </c>
      <c r="C107" s="716"/>
      <c r="D107" s="716"/>
      <c r="E107" s="71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751</v>
      </c>
      <c r="C109" s="686"/>
      <c r="D109" s="686"/>
      <c r="E109" s="686"/>
      <c r="F109" s="716"/>
      <c r="G109" s="716"/>
      <c r="H109" s="71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6"/>
      <c r="B112" s="679"/>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753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1896" t="s">
        <v>2560</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754</v>
      </c>
      <c r="C118" s="716"/>
      <c r="D118" s="716"/>
      <c r="E118" s="716"/>
      <c r="F118" s="716"/>
      <c r="G118" s="716"/>
      <c r="H118" s="716"/>
      <c r="I118" s="716"/>
      <c r="J118" s="716"/>
      <c r="K118" s="717"/>
      <c r="L118" s="718"/>
      <c r="M118" s="71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6"/>
      <c r="B120" s="671" t="s">
        <v>733</v>
      </c>
      <c r="C120" s="686"/>
      <c r="D120" s="686"/>
      <c r="E120" s="686"/>
      <c r="F120" s="686"/>
      <c r="G120" s="686"/>
      <c r="H120" s="686"/>
      <c r="I120" s="686"/>
      <c r="J120" s="686"/>
      <c r="K120" s="686"/>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690"/>
      <c r="D121" s="669"/>
      <c r="E121" s="669"/>
      <c r="F121" s="669"/>
      <c r="G121" s="669"/>
      <c r="H121" s="669"/>
      <c r="I121" s="669"/>
      <c r="J121" s="669"/>
      <c r="K121" s="669"/>
      <c r="L121" s="669"/>
      <c r="M121" s="669"/>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90"/>
      <c r="E129" s="690"/>
      <c r="F129" s="690"/>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4">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4">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4">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757</v>
      </c>
      <c r="C1" s="502" t="s">
        <v>720</v>
      </c>
      <c r="D1" s="2370"/>
      <c r="E1" s="504"/>
      <c r="F1" s="2829"/>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467</v>
      </c>
      <c r="B2" s="848"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519</v>
      </c>
      <c r="B3" s="508" t="e">
        <f>C49</f>
        <v>#DIV/0!</v>
      </c>
      <c r="C3" s="850" t="s">
        <v>722</v>
      </c>
      <c r="D3" s="849">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6"/>
    </row>
    <row r="4" spans="1:29" ht="15">
      <c r="A4" s="510" t="s">
        <v>521</v>
      </c>
      <c r="B4" s="511"/>
      <c r="C4" s="3503" t="s">
        <v>522</v>
      </c>
      <c r="D4" s="3504"/>
      <c r="E4" s="3537" t="s">
        <v>523</v>
      </c>
      <c r="F4" s="3538"/>
      <c r="G4" s="3503" t="s">
        <v>524</v>
      </c>
      <c r="H4" s="3504"/>
      <c r="I4" s="3503" t="s">
        <v>525</v>
      </c>
      <c r="J4" s="3504"/>
      <c r="K4" s="512" t="s">
        <v>526</v>
      </c>
      <c r="L4" s="2133"/>
      <c r="M4" s="2134"/>
      <c r="N4" s="2134"/>
      <c r="O4" s="2134"/>
      <c r="P4" s="3505" t="s">
        <v>527</v>
      </c>
      <c r="Q4" s="3506"/>
      <c r="R4" s="3511" t="s">
        <v>523</v>
      </c>
      <c r="S4" s="3512"/>
      <c r="T4" s="3511" t="s">
        <v>524</v>
      </c>
      <c r="U4" s="3512"/>
      <c r="V4" s="3498" t="s">
        <v>525</v>
      </c>
      <c r="W4" s="3498"/>
      <c r="X4" s="1566"/>
      <c r="Y4" s="3511" t="s">
        <v>527</v>
      </c>
      <c r="Z4" s="3512"/>
      <c r="AA4" s="3500" t="s">
        <v>523</v>
      </c>
      <c r="AB4" s="3498" t="s">
        <v>524</v>
      </c>
      <c r="AC4" s="3500" t="s">
        <v>525</v>
      </c>
    </row>
    <row r="5" spans="1:29" ht="15">
      <c r="A5" s="513"/>
      <c r="B5" s="514"/>
      <c r="C5" s="3519" t="s">
        <v>2930</v>
      </c>
      <c r="D5" s="3520"/>
      <c r="E5" s="3539" t="s">
        <v>2931</v>
      </c>
      <c r="F5" s="3540"/>
      <c r="G5" s="3519" t="s">
        <v>2932</v>
      </c>
      <c r="H5" s="3520"/>
      <c r="I5" s="3519" t="s">
        <v>2933</v>
      </c>
      <c r="J5" s="3520"/>
      <c r="K5" s="512"/>
      <c r="L5" s="2133"/>
      <c r="M5" s="2134"/>
      <c r="N5" s="2134"/>
      <c r="O5" s="2134"/>
      <c r="P5" s="3507"/>
      <c r="Q5" s="3508"/>
      <c r="R5" s="3513"/>
      <c r="S5" s="3514"/>
      <c r="T5" s="3513"/>
      <c r="U5" s="3514"/>
      <c r="V5" s="3498"/>
      <c r="W5" s="3498"/>
      <c r="X5" s="1566"/>
      <c r="Y5" s="3513"/>
      <c r="Z5" s="3514"/>
      <c r="AA5" s="3501"/>
      <c r="AB5" s="3498"/>
      <c r="AC5" s="3501"/>
    </row>
    <row r="6" spans="1:29" ht="15.75" thickBot="1">
      <c r="A6" s="515"/>
      <c r="B6" s="516"/>
      <c r="C6" s="3517" t="s">
        <v>2934</v>
      </c>
      <c r="D6" s="3518"/>
      <c r="E6" s="3535" t="s">
        <v>2934</v>
      </c>
      <c r="F6" s="3536"/>
      <c r="G6" s="3517" t="s">
        <v>2934</v>
      </c>
      <c r="H6" s="3518"/>
      <c r="I6" s="3517" t="s">
        <v>2934</v>
      </c>
      <c r="J6" s="3518"/>
      <c r="K6" s="512" t="s">
        <v>528</v>
      </c>
      <c r="L6" s="2133"/>
      <c r="M6" s="2134"/>
      <c r="N6" s="2134"/>
      <c r="O6" s="2134"/>
      <c r="P6" s="3509"/>
      <c r="Q6" s="3510"/>
      <c r="R6" s="3513"/>
      <c r="S6" s="3514"/>
      <c r="T6" s="3515"/>
      <c r="U6" s="3516"/>
      <c r="V6" s="3498"/>
      <c r="W6" s="3498"/>
      <c r="X6" s="1566"/>
      <c r="Y6" s="3515"/>
      <c r="Z6" s="3516"/>
      <c r="AA6" s="3502"/>
      <c r="AB6" s="3498"/>
      <c r="AC6" s="3502"/>
    </row>
    <row r="7" spans="1:29" s="1218" customFormat="1" ht="15.75" thickBot="1">
      <c r="A7" s="2934"/>
      <c r="B7" s="2941" t="s">
        <v>529</v>
      </c>
      <c r="C7" s="517">
        <f>'数据-取费表'!B2</f>
        <v>43230</v>
      </c>
      <c r="D7" s="518">
        <v>100</v>
      </c>
      <c r="E7" s="519"/>
      <c r="F7" s="520">
        <f>SUMIF(58:58,YEAR(E7)&amp;"-"&amp;MONTH(E7),59:59)</f>
        <v>0</v>
      </c>
      <c r="G7" s="519"/>
      <c r="H7" s="518">
        <f>SUMIF(58:58,YEAR(G7)&amp;"-"&amp;MONTH(G7),59:59)</f>
        <v>0</v>
      </c>
      <c r="I7" s="519"/>
      <c r="J7" s="518">
        <f>SUMIF(58:58,YEAR(I7)&amp;"-"&amp;MONTH(I7),59:59)</f>
        <v>0</v>
      </c>
      <c r="K7" s="522"/>
      <c r="L7" s="2135"/>
      <c r="M7" s="2136"/>
      <c r="N7" s="2136"/>
      <c r="O7" s="2136"/>
      <c r="P7" s="3528" t="s">
        <v>530</v>
      </c>
      <c r="Q7" s="3530"/>
      <c r="R7" s="1567" t="s">
        <v>8</v>
      </c>
      <c r="S7" s="1568">
        <f t="shared" ref="S7:S15" si="0">F7</f>
        <v>0</v>
      </c>
      <c r="T7" s="1567" t="s">
        <v>8</v>
      </c>
      <c r="U7" s="1568">
        <f t="shared" ref="U7:U15" si="1">H7</f>
        <v>0</v>
      </c>
      <c r="V7" s="1567" t="s">
        <v>8</v>
      </c>
      <c r="W7" s="1568">
        <f t="shared" ref="W7:W15" si="2">J7</f>
        <v>0</v>
      </c>
      <c r="X7" s="1569"/>
      <c r="Y7" s="3528" t="s">
        <v>530</v>
      </c>
      <c r="Z7" s="3529"/>
      <c r="AA7" s="1570" t="e">
        <f>D7/F7</f>
        <v>#DIV/0!</v>
      </c>
      <c r="AB7" s="1570" t="e">
        <f>D7/H7</f>
        <v>#DIV/0!</v>
      </c>
      <c r="AC7" s="1570" t="e">
        <f>D7/J7</f>
        <v>#DIV/0!</v>
      </c>
    </row>
    <row r="8" spans="1:29" s="1218" customFormat="1" ht="15.75" thickBot="1">
      <c r="A8" s="2935"/>
      <c r="B8" s="2942" t="s">
        <v>531</v>
      </c>
      <c r="C8" s="523" t="s">
        <v>576</v>
      </c>
      <c r="D8" s="518">
        <v>100</v>
      </c>
      <c r="E8" s="523"/>
      <c r="F8" s="520">
        <f>SUMIF(61:61,E8,62:62)-SUMIF(61:61,C8,62:62)+100</f>
        <v>0</v>
      </c>
      <c r="G8" s="523"/>
      <c r="H8" s="518">
        <f>SUMIF(61:61,G8,62:62)-SUMIF(61:61,C8,62:62)+100</f>
        <v>0</v>
      </c>
      <c r="I8" s="523"/>
      <c r="J8" s="518">
        <f>SUMIF(61:61,I8,62:62)-SUMIF(61:61,C8,62:62)+100</f>
        <v>0</v>
      </c>
      <c r="K8" s="522"/>
      <c r="L8" s="2135"/>
      <c r="M8" s="2136"/>
      <c r="N8" s="2136"/>
      <c r="O8" s="2136"/>
      <c r="P8" s="3528" t="s">
        <v>533</v>
      </c>
      <c r="Q8" s="3529"/>
      <c r="R8" s="1567" t="s">
        <v>8</v>
      </c>
      <c r="S8" s="1568">
        <f t="shared" si="0"/>
        <v>0</v>
      </c>
      <c r="T8" s="1567" t="s">
        <v>8</v>
      </c>
      <c r="U8" s="1568">
        <f t="shared" si="1"/>
        <v>0</v>
      </c>
      <c r="V8" s="1567" t="s">
        <v>8</v>
      </c>
      <c r="W8" s="1568">
        <f t="shared" si="2"/>
        <v>0</v>
      </c>
      <c r="X8" s="1569"/>
      <c r="Y8" s="3528" t="s">
        <v>533</v>
      </c>
      <c r="Z8" s="3529"/>
      <c r="AA8" s="1570" t="e">
        <f t="shared" ref="AA8:AA46" si="3">D8/F8</f>
        <v>#DIV/0!</v>
      </c>
      <c r="AB8" s="1570" t="e">
        <f t="shared" ref="AB8:AB46" si="4">D8/H8</f>
        <v>#DIV/0!</v>
      </c>
      <c r="AC8" s="1570" t="e">
        <f t="shared" ref="AC8:AC46" si="5">D8/J8</f>
        <v>#DIV/0!</v>
      </c>
    </row>
    <row r="9" spans="1:29" s="1218" customFormat="1" ht="15">
      <c r="A9" s="2936"/>
      <c r="B9" s="2943" t="s">
        <v>2760</v>
      </c>
      <c r="C9" s="855"/>
      <c r="D9" s="252">
        <v>100</v>
      </c>
      <c r="E9" s="858"/>
      <c r="F9" s="252">
        <f>SUMIF(63:63,E9,64:64)-SUMIF(63:63,C9,64:64)+100</f>
        <v>100</v>
      </c>
      <c r="G9" s="856"/>
      <c r="H9" s="252">
        <f>SUMIF(63:63,G9,64:64)-SUMIF(63:63,C9,64:64)+100</f>
        <v>100</v>
      </c>
      <c r="I9" s="856"/>
      <c r="J9" s="252">
        <f>SUMIF(63:63,I9,64:64)-SUMIF(63:63,C9,64:64)+100</f>
        <v>100</v>
      </c>
      <c r="K9" s="522"/>
      <c r="L9" s="2135"/>
      <c r="M9" s="2136"/>
      <c r="N9" s="2136"/>
      <c r="O9" s="2137"/>
      <c r="P9" s="3497" t="s">
        <v>535</v>
      </c>
      <c r="Q9" s="1149" t="str">
        <f t="shared" ref="Q9:Q15" si="6">B9</f>
        <v>用途</v>
      </c>
      <c r="R9" s="1567" t="s">
        <v>8</v>
      </c>
      <c r="S9" s="1568">
        <f t="shared" si="0"/>
        <v>100</v>
      </c>
      <c r="T9" s="1567" t="s">
        <v>8</v>
      </c>
      <c r="U9" s="1568">
        <f t="shared" si="1"/>
        <v>100</v>
      </c>
      <c r="V9" s="1567" t="s">
        <v>8</v>
      </c>
      <c r="W9" s="1568">
        <f t="shared" si="2"/>
        <v>100</v>
      </c>
      <c r="X9" s="1569"/>
      <c r="Y9" s="3380" t="s">
        <v>536</v>
      </c>
      <c r="Z9" s="1148" t="str">
        <f t="shared" ref="Z9:Z15" si="7">Q9</f>
        <v>用途</v>
      </c>
      <c r="AA9" s="1570">
        <f t="shared" si="3"/>
        <v>1</v>
      </c>
      <c r="AB9" s="1570">
        <f t="shared" si="4"/>
        <v>1</v>
      </c>
      <c r="AC9" s="1570">
        <f t="shared" si="5"/>
        <v>1</v>
      </c>
    </row>
    <row r="10" spans="1:29" s="1336" customFormat="1" ht="27">
      <c r="A10" s="2937"/>
      <c r="B10" s="2942" t="s">
        <v>2761</v>
      </c>
      <c r="C10" s="859"/>
      <c r="D10" s="253">
        <v>100</v>
      </c>
      <c r="E10" s="859"/>
      <c r="F10" s="253">
        <f>SUMIF(65:65,E10,66:66)-SUMIF(65:65,C10,66:66)+100</f>
        <v>100</v>
      </c>
      <c r="G10" s="860"/>
      <c r="H10" s="253">
        <f>SUMIF(65:65,G10,66:66)-SUMIF(65:65,C10,66:66)+100</f>
        <v>100</v>
      </c>
      <c r="I10" s="859"/>
      <c r="J10" s="253">
        <f>SUMIF(65:65,I10,66:66)-SUMIF(65:65,C10,66:66)+100</f>
        <v>100</v>
      </c>
      <c r="K10" s="582"/>
      <c r="L10" s="2138"/>
      <c r="M10" s="2178"/>
      <c r="N10" s="2178"/>
      <c r="O10" s="2139"/>
      <c r="P10" s="3497"/>
      <c r="Q10" s="1149" t="str">
        <f t="shared" si="6"/>
        <v>土地使用年限（年）</v>
      </c>
      <c r="R10" s="1567" t="s">
        <v>8</v>
      </c>
      <c r="S10" s="1568">
        <f t="shared" si="0"/>
        <v>100</v>
      </c>
      <c r="T10" s="1567" t="s">
        <v>8</v>
      </c>
      <c r="U10" s="1568">
        <f t="shared" si="1"/>
        <v>100</v>
      </c>
      <c r="V10" s="1567" t="s">
        <v>8</v>
      </c>
      <c r="W10" s="1568">
        <f t="shared" si="2"/>
        <v>100</v>
      </c>
      <c r="X10" s="1569"/>
      <c r="Y10" s="3380"/>
      <c r="Z10" s="1148" t="str">
        <f t="shared" si="7"/>
        <v>土地使用年限（年）</v>
      </c>
      <c r="AA10" s="1570">
        <f t="shared" si="3"/>
        <v>1</v>
      </c>
      <c r="AB10" s="1570">
        <f t="shared" si="4"/>
        <v>1</v>
      </c>
      <c r="AC10" s="1570">
        <f t="shared" si="5"/>
        <v>1</v>
      </c>
    </row>
    <row r="11" spans="1:29" ht="15">
      <c r="A11" s="2938"/>
      <c r="B11" s="2942" t="s">
        <v>2762</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40"/>
      <c r="M11" s="2134"/>
      <c r="N11" s="2134"/>
      <c r="O11" s="2141"/>
      <c r="P11" s="3497"/>
      <c r="Q11" s="1149" t="str">
        <f t="shared" si="6"/>
        <v>容积率</v>
      </c>
      <c r="R11" s="1567" t="s">
        <v>8</v>
      </c>
      <c r="S11" s="1568" t="e">
        <f t="shared" si="0"/>
        <v>#N/A</v>
      </c>
      <c r="T11" s="1567" t="s">
        <v>8</v>
      </c>
      <c r="U11" s="1568" t="e">
        <f t="shared" si="1"/>
        <v>#N/A</v>
      </c>
      <c r="V11" s="1567" t="s">
        <v>8</v>
      </c>
      <c r="W11" s="1568" t="e">
        <f t="shared" si="2"/>
        <v>#N/A</v>
      </c>
      <c r="X11" s="1569"/>
      <c r="Y11" s="3380"/>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37"/>
      <c r="F12" s="253">
        <f>SUMIF(70:70,E12,71:71)-SUMIF(70:70,C12,71:71)+100</f>
        <v>100</v>
      </c>
      <c r="G12" s="910"/>
      <c r="H12" s="253">
        <f>SUMIF(70:70,G12,71:71)-SUMIF(70:70,C12,71:71)+100</f>
        <v>100</v>
      </c>
      <c r="I12" s="537"/>
      <c r="J12" s="253">
        <f>SUMIF(70:70,I12,71:71)-SUMIF(70:70,C12,71:71)+100</f>
        <v>100</v>
      </c>
      <c r="K12" s="579"/>
      <c r="L12" s="2135"/>
      <c r="M12" s="2136"/>
      <c r="N12" s="2136"/>
      <c r="O12" s="2137"/>
      <c r="P12" s="3497"/>
      <c r="Q12" s="1149">
        <f t="shared" si="6"/>
        <v>111</v>
      </c>
      <c r="R12" s="1567" t="s">
        <v>8</v>
      </c>
      <c r="S12" s="1568">
        <f t="shared" si="0"/>
        <v>100</v>
      </c>
      <c r="T12" s="1567" t="s">
        <v>8</v>
      </c>
      <c r="U12" s="1568">
        <f t="shared" si="1"/>
        <v>100</v>
      </c>
      <c r="V12" s="1567" t="s">
        <v>8</v>
      </c>
      <c r="W12" s="1568">
        <f t="shared" si="2"/>
        <v>100</v>
      </c>
      <c r="X12" s="1569"/>
      <c r="Y12" s="3380"/>
      <c r="Z12" s="1148">
        <f t="shared" si="7"/>
        <v>111</v>
      </c>
      <c r="AA12" s="1570">
        <f>D12/F12</f>
        <v>1</v>
      </c>
      <c r="AB12" s="1570">
        <f>D12/H12</f>
        <v>1</v>
      </c>
      <c r="AC12" s="1570">
        <f>D12/J12</f>
        <v>1</v>
      </c>
    </row>
    <row r="13" spans="1:29" ht="15">
      <c r="A13" s="2939"/>
      <c r="B13" s="2945">
        <v>111</v>
      </c>
      <c r="C13" s="537"/>
      <c r="D13" s="538">
        <v>100</v>
      </c>
      <c r="E13" s="537"/>
      <c r="F13" s="253">
        <f>SUMIF(72:72,E13,73:73)-SUMIF(72:72,C13,73:73)+100</f>
        <v>100</v>
      </c>
      <c r="G13" s="910"/>
      <c r="H13" s="538">
        <f>SUMIF(72:72,G13,73:73)-SUMIF(72:72,C13,73:73)+100</f>
        <v>100</v>
      </c>
      <c r="I13" s="537"/>
      <c r="J13" s="538">
        <f>SUMIF(72:72,I13,73:73)-SUMIF(72:72,C13,73:73)+100</f>
        <v>100</v>
      </c>
      <c r="K13" s="579"/>
      <c r="L13" s="2142"/>
      <c r="M13" s="2134"/>
      <c r="N13" s="2134"/>
      <c r="O13" s="2141"/>
      <c r="P13" s="3497"/>
      <c r="Q13" s="1149">
        <f t="shared" si="6"/>
        <v>111</v>
      </c>
      <c r="R13" s="1567" t="s">
        <v>8</v>
      </c>
      <c r="S13" s="1568">
        <f t="shared" si="0"/>
        <v>100</v>
      </c>
      <c r="T13" s="1567" t="s">
        <v>8</v>
      </c>
      <c r="U13" s="1568">
        <f t="shared" si="1"/>
        <v>100</v>
      </c>
      <c r="V13" s="1567" t="s">
        <v>8</v>
      </c>
      <c r="W13" s="1568">
        <f t="shared" si="2"/>
        <v>100</v>
      </c>
      <c r="X13" s="1569"/>
      <c r="Y13" s="3380"/>
      <c r="Z13" s="1148">
        <f t="shared" si="7"/>
        <v>111</v>
      </c>
      <c r="AA13" s="1570">
        <f t="shared" si="3"/>
        <v>1</v>
      </c>
      <c r="AB13" s="1570">
        <f t="shared" si="4"/>
        <v>1</v>
      </c>
      <c r="AC13" s="1570">
        <f t="shared" si="5"/>
        <v>1</v>
      </c>
    </row>
    <row r="14" spans="1:29" ht="15.75" thickBot="1">
      <c r="A14" s="2940"/>
      <c r="B14" s="2946">
        <v>111</v>
      </c>
      <c r="C14" s="543"/>
      <c r="D14" s="544">
        <v>100</v>
      </c>
      <c r="E14" s="543"/>
      <c r="F14" s="544">
        <f>SUMIF(74:74,E14,75:75)-SUMIF(74:74,C14,75:75)+100</f>
        <v>100</v>
      </c>
      <c r="G14" s="910"/>
      <c r="H14" s="544">
        <f>SUMIF(74:74,G14,75:75)-SUMIF(74:74,C14,75:75)+100</f>
        <v>100</v>
      </c>
      <c r="I14" s="537"/>
      <c r="J14" s="544">
        <f>SUMIF(74:74,I14,75:75)-SUMIF(74:74,C14,75:75)+100</f>
        <v>100</v>
      </c>
      <c r="K14" s="579"/>
      <c r="L14" s="2142"/>
      <c r="M14" s="2134"/>
      <c r="N14" s="2134"/>
      <c r="O14" s="2141"/>
      <c r="P14" s="3497"/>
      <c r="Q14" s="1149">
        <f t="shared" si="6"/>
        <v>111</v>
      </c>
      <c r="R14" s="1567" t="s">
        <v>8</v>
      </c>
      <c r="S14" s="1568">
        <f t="shared" si="0"/>
        <v>100</v>
      </c>
      <c r="T14" s="1567" t="s">
        <v>8</v>
      </c>
      <c r="U14" s="1568">
        <f t="shared" si="1"/>
        <v>100</v>
      </c>
      <c r="V14" s="1567" t="s">
        <v>8</v>
      </c>
      <c r="W14" s="1568">
        <f t="shared" si="2"/>
        <v>100</v>
      </c>
      <c r="X14" s="1569"/>
      <c r="Y14" s="3380"/>
      <c r="Z14" s="1148">
        <f t="shared" si="7"/>
        <v>111</v>
      </c>
      <c r="AA14" s="1570">
        <f t="shared" si="3"/>
        <v>1</v>
      </c>
      <c r="AB14" s="1570">
        <f t="shared" si="4"/>
        <v>1</v>
      </c>
      <c r="AC14" s="1570">
        <f t="shared" si="5"/>
        <v>1</v>
      </c>
    </row>
    <row r="15" spans="1:29" ht="71.25">
      <c r="A15" s="2932" t="s">
        <v>2758</v>
      </c>
      <c r="B15" s="164" t="s">
        <v>541</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2"/>
      <c r="M15" s="2134"/>
      <c r="N15" s="2134"/>
      <c r="O15" s="2141"/>
      <c r="P15" s="3531" t="s">
        <v>540</v>
      </c>
      <c r="Q15" s="1571" t="str">
        <f t="shared" si="6"/>
        <v>商业繁华度</v>
      </c>
      <c r="R15" s="1572" t="s">
        <v>8</v>
      </c>
      <c r="S15" s="1573">
        <f t="shared" si="0"/>
        <v>100</v>
      </c>
      <c r="T15" s="1572" t="s">
        <v>8</v>
      </c>
      <c r="U15" s="1573">
        <f t="shared" si="1"/>
        <v>100</v>
      </c>
      <c r="V15" s="1572" t="s">
        <v>8</v>
      </c>
      <c r="W15" s="1573">
        <f t="shared" si="2"/>
        <v>100</v>
      </c>
      <c r="X15" s="1566"/>
      <c r="Y15" s="3531" t="s">
        <v>540</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532"/>
      <c r="Q16" s="1571"/>
      <c r="R16" s="1572"/>
      <c r="S16" s="1573"/>
      <c r="T16" s="1572"/>
      <c r="U16" s="1573"/>
      <c r="V16" s="1572"/>
      <c r="W16" s="1573"/>
      <c r="X16" s="1566"/>
      <c r="Y16" s="3532"/>
      <c r="Z16" s="1574"/>
      <c r="AA16" s="1575">
        <v>1</v>
      </c>
      <c r="AB16" s="1575">
        <v>1</v>
      </c>
      <c r="AC16" s="1575">
        <v>1</v>
      </c>
    </row>
    <row r="17" spans="1:29" ht="256.5">
      <c r="A17" s="530"/>
      <c r="B17" s="869" t="s">
        <v>296</v>
      </c>
      <c r="C17" s="870"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2"/>
      <c r="M17" s="2134"/>
      <c r="N17" s="2134"/>
      <c r="O17" s="2141"/>
      <c r="P17" s="3532"/>
      <c r="Q17" s="1571" t="str">
        <f>B17</f>
        <v>交通便捷度</v>
      </c>
      <c r="R17" s="1572" t="s">
        <v>8</v>
      </c>
      <c r="S17" s="1573">
        <f>F17</f>
        <v>100</v>
      </c>
      <c r="T17" s="1572" t="s">
        <v>8</v>
      </c>
      <c r="U17" s="1573">
        <f>H17</f>
        <v>100</v>
      </c>
      <c r="V17" s="1572" t="s">
        <v>8</v>
      </c>
      <c r="W17" s="1573">
        <f>J17</f>
        <v>100</v>
      </c>
      <c r="X17" s="1566"/>
      <c r="Y17" s="3532"/>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532"/>
      <c r="Q18" s="1571"/>
      <c r="R18" s="1572"/>
      <c r="S18" s="1573"/>
      <c r="T18" s="1572"/>
      <c r="U18" s="1573"/>
      <c r="V18" s="1572"/>
      <c r="W18" s="1573"/>
      <c r="X18" s="1566"/>
      <c r="Y18" s="3532"/>
      <c r="Z18" s="1574"/>
      <c r="AA18" s="1575">
        <v>1</v>
      </c>
      <c r="AB18" s="1575">
        <v>1</v>
      </c>
      <c r="AC18" s="1575">
        <v>1</v>
      </c>
    </row>
    <row r="19" spans="1:29" ht="42.75">
      <c r="A19" s="530"/>
      <c r="B19" s="2622" t="s">
        <v>2550</v>
      </c>
      <c r="C19" s="870" t="str">
        <f>估价对象房地状况!C7</f>
        <v>估价对象所在区域公共配套设施齐备</v>
      </c>
      <c r="D19" s="563">
        <v>100</v>
      </c>
      <c r="E19" s="568"/>
      <c r="F19" s="569">
        <f>SUMIF(80:80,E20,81:81)-SUMIF(80:80,C20,81:81)+100</f>
        <v>100</v>
      </c>
      <c r="G19" s="570"/>
      <c r="H19" s="557">
        <f>SUMIF(80:80,G20,81:81)-SUMIF(80:80,C20,81:81)+100</f>
        <v>100</v>
      </c>
      <c r="I19" s="568"/>
      <c r="J19" s="557">
        <f>SUMIF(80:80,I20,81:81)-SUMIF(80:80,C20,81:81)+100</f>
        <v>100</v>
      </c>
      <c r="K19" s="896"/>
      <c r="L19" s="2142"/>
      <c r="M19" s="2134"/>
      <c r="N19" s="2134"/>
      <c r="O19" s="2141"/>
      <c r="P19" s="3532"/>
      <c r="Q19" s="1571" t="str">
        <f>B19</f>
        <v>公共配套设施</v>
      </c>
      <c r="R19" s="1572" t="s">
        <v>8</v>
      </c>
      <c r="S19" s="1573">
        <f>F19</f>
        <v>100</v>
      </c>
      <c r="T19" s="1572" t="s">
        <v>8</v>
      </c>
      <c r="U19" s="1573">
        <f>H19</f>
        <v>100</v>
      </c>
      <c r="V19" s="1572" t="s">
        <v>8</v>
      </c>
      <c r="W19" s="1573">
        <f>J19</f>
        <v>100</v>
      </c>
      <c r="X19" s="1566"/>
      <c r="Y19" s="3532"/>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2"/>
      <c r="M20" s="2134"/>
      <c r="N20" s="2134"/>
      <c r="O20" s="2141"/>
      <c r="P20" s="3532"/>
      <c r="Q20" s="1571"/>
      <c r="R20" s="1572"/>
      <c r="S20" s="1573"/>
      <c r="T20" s="1572"/>
      <c r="U20" s="1573"/>
      <c r="V20" s="1572"/>
      <c r="W20" s="1573"/>
      <c r="X20" s="1566"/>
      <c r="Y20" s="3532"/>
      <c r="Z20" s="1574"/>
      <c r="AA20" s="1575">
        <v>1</v>
      </c>
      <c r="AB20" s="1575">
        <v>1</v>
      </c>
      <c r="AC20" s="1575">
        <v>1</v>
      </c>
    </row>
    <row r="21" spans="1:29" ht="42.75">
      <c r="A21" s="530"/>
      <c r="B21" s="2615" t="s">
        <v>2562</v>
      </c>
      <c r="C21" s="870" t="str">
        <f>估价对象房地状况!C8</f>
        <v>估价对象所在区域基础设施水平达到七通</v>
      </c>
      <c r="D21" s="563">
        <v>100</v>
      </c>
      <c r="E21" s="570"/>
      <c r="F21" s="569">
        <f>SUMIF(82:82,E22,83:83)-SUMIF(82:82,C22,83:83)+100</f>
        <v>100</v>
      </c>
      <c r="G21" s="570"/>
      <c r="H21" s="563">
        <f>SUMIF(82:82,G22,83:83)-SUMIF(82:82,C22,83:83)+100</f>
        <v>100</v>
      </c>
      <c r="I21" s="568"/>
      <c r="J21" s="563">
        <f>SUMIF(82:82,I22,83:83)-SUMIF(82:82,C22,83:83)+100</f>
        <v>100</v>
      </c>
      <c r="K21" s="896"/>
      <c r="L21" s="2142"/>
      <c r="M21" s="2134"/>
      <c r="N21" s="2134"/>
      <c r="O21" s="2141"/>
      <c r="P21" s="3532"/>
      <c r="Q21" s="2601" t="str">
        <f>B21</f>
        <v>基础设施水平</v>
      </c>
      <c r="R21" s="1572" t="s">
        <v>8</v>
      </c>
      <c r="S21" s="1573">
        <f>F21</f>
        <v>100</v>
      </c>
      <c r="T21" s="1572" t="s">
        <v>8</v>
      </c>
      <c r="U21" s="1573">
        <f>H21</f>
        <v>100</v>
      </c>
      <c r="V21" s="1572" t="s">
        <v>8</v>
      </c>
      <c r="W21" s="1573">
        <f>J21</f>
        <v>100</v>
      </c>
      <c r="X21" s="2603"/>
      <c r="Y21" s="3532"/>
      <c r="Z21" s="2602"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4"/>
      <c r="L22" s="2142"/>
      <c r="M22" s="2134"/>
      <c r="N22" s="2134"/>
      <c r="O22" s="2141"/>
      <c r="P22" s="3532"/>
      <c r="Q22" s="2601"/>
      <c r="R22" s="1572"/>
      <c r="S22" s="1573"/>
      <c r="T22" s="1572"/>
      <c r="U22" s="1573"/>
      <c r="V22" s="1572"/>
      <c r="W22" s="1573"/>
      <c r="X22" s="2603"/>
      <c r="Y22" s="3532"/>
      <c r="Z22" s="2602"/>
      <c r="AA22" s="1575">
        <v>1</v>
      </c>
      <c r="AB22" s="1575">
        <v>1</v>
      </c>
      <c r="AC22" s="1575">
        <v>1</v>
      </c>
    </row>
    <row r="23" spans="1:29" ht="156.75">
      <c r="A23" s="530"/>
      <c r="B23" s="869" t="s">
        <v>297</v>
      </c>
      <c r="C23" s="898" t="str">
        <f>估价对象房地状况!C9</f>
        <v>区域自然环境：官园公园、什刹海公园、北海公园；人文环境：妙应寺白塔、恭王府、历代帝王庙、梅兰芳纪念馆、西直门天主教堂、西城区图书馆；综合评价环境状况好。</v>
      </c>
      <c r="D23" s="557">
        <v>100</v>
      </c>
      <c r="E23" s="560"/>
      <c r="F23" s="561">
        <f>SUMIF(84:84,E24,85:85)-SUMIF(84:84,C24,85:85)+100</f>
        <v>100</v>
      </c>
      <c r="G23" s="562"/>
      <c r="H23" s="557">
        <f>SUMIF(84:84,G24,85:85)-SUMIF(84:84,C24,85:85)+100</f>
        <v>100</v>
      </c>
      <c r="I23" s="560"/>
      <c r="J23" s="557">
        <f>SUMIF(84:84,I24,85:85)-SUMIF(84:84,C24,85:85)+100</f>
        <v>100</v>
      </c>
      <c r="K23" s="896"/>
      <c r="L23" s="2142"/>
      <c r="M23" s="2134"/>
      <c r="N23" s="2134"/>
      <c r="O23" s="2141"/>
      <c r="P23" s="3532"/>
      <c r="Q23" s="1571" t="str">
        <f>B23</f>
        <v>自然及人文环境</v>
      </c>
      <c r="R23" s="1572" t="s">
        <v>8</v>
      </c>
      <c r="S23" s="1573">
        <f>F23</f>
        <v>100</v>
      </c>
      <c r="T23" s="1572" t="s">
        <v>8</v>
      </c>
      <c r="U23" s="1573">
        <f>H23</f>
        <v>100</v>
      </c>
      <c r="V23" s="1572" t="s">
        <v>8</v>
      </c>
      <c r="W23" s="1573">
        <f>J23</f>
        <v>100</v>
      </c>
      <c r="X23" s="1566"/>
      <c r="Y23" s="3532"/>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2"/>
      <c r="M24" s="2134"/>
      <c r="N24" s="2134"/>
      <c r="O24" s="2141"/>
      <c r="P24" s="3532"/>
      <c r="Q24" s="1571"/>
      <c r="R24" s="1572"/>
      <c r="S24" s="1573"/>
      <c r="T24" s="1572"/>
      <c r="U24" s="1573"/>
      <c r="V24" s="1572"/>
      <c r="W24" s="1573"/>
      <c r="X24" s="1566"/>
      <c r="Y24" s="3532"/>
      <c r="Z24" s="1574"/>
      <c r="AA24" s="1575">
        <v>1</v>
      </c>
      <c r="AB24" s="1575">
        <v>1</v>
      </c>
      <c r="AC24" s="1575">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2"/>
      <c r="M25" s="2134"/>
      <c r="N25" s="2134"/>
      <c r="O25" s="2141"/>
      <c r="P25" s="3532"/>
      <c r="Q25" s="1571" t="str">
        <f t="shared" ref="Q25:Q46" si="11">B25</f>
        <v>临街状况</v>
      </c>
      <c r="R25" s="1572" t="s">
        <v>8</v>
      </c>
      <c r="S25" s="1573">
        <f>F25</f>
        <v>100</v>
      </c>
      <c r="T25" s="1572" t="s">
        <v>8</v>
      </c>
      <c r="U25" s="1573">
        <f>H25</f>
        <v>100</v>
      </c>
      <c r="V25" s="1572" t="s">
        <v>8</v>
      </c>
      <c r="W25" s="1573">
        <f>J25</f>
        <v>100</v>
      </c>
      <c r="X25" s="1566"/>
      <c r="Y25" s="3532"/>
      <c r="Z25" s="1574" t="str">
        <f>Q25</f>
        <v>临街状况</v>
      </c>
      <c r="AA25" s="1575">
        <f t="shared" si="3"/>
        <v>1</v>
      </c>
      <c r="AB25" s="1575">
        <f t="shared" si="4"/>
        <v>1</v>
      </c>
      <c r="AC25" s="1575">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2"/>
      <c r="M26" s="2134"/>
      <c r="N26" s="2134"/>
      <c r="O26" s="2141"/>
      <c r="P26" s="3532"/>
      <c r="Q26" s="1571" t="str">
        <f t="shared" si="11"/>
        <v>平面位置/可视性</v>
      </c>
      <c r="R26" s="1572" t="s">
        <v>8</v>
      </c>
      <c r="S26" s="1573">
        <f>F26</f>
        <v>100</v>
      </c>
      <c r="T26" s="1572" t="s">
        <v>8</v>
      </c>
      <c r="U26" s="1573">
        <f>H26</f>
        <v>100</v>
      </c>
      <c r="V26" s="1572" t="s">
        <v>8</v>
      </c>
      <c r="W26" s="1573">
        <f>J26</f>
        <v>100</v>
      </c>
      <c r="X26" s="1566"/>
      <c r="Y26" s="3532"/>
      <c r="Z26" s="1574" t="str">
        <f>Q26</f>
        <v>平面位置/可视性</v>
      </c>
      <c r="AA26" s="1575">
        <f t="shared" si="3"/>
        <v>1</v>
      </c>
      <c r="AB26" s="1575">
        <f t="shared" si="4"/>
        <v>1</v>
      </c>
      <c r="AC26" s="1575">
        <f t="shared" si="5"/>
        <v>1</v>
      </c>
    </row>
    <row r="27" spans="1:29" s="1218"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5"/>
      <c r="M27" s="2136"/>
      <c r="N27" s="2136"/>
      <c r="O27" s="2137"/>
      <c r="P27" s="3532"/>
      <c r="Q27" s="1149" t="str">
        <f t="shared" si="11"/>
        <v>人流量</v>
      </c>
      <c r="R27" s="1567" t="s">
        <v>8</v>
      </c>
      <c r="S27" s="1568">
        <f>F27</f>
        <v>100</v>
      </c>
      <c r="T27" s="1567" t="s">
        <v>8</v>
      </c>
      <c r="U27" s="1568">
        <f>H27</f>
        <v>100</v>
      </c>
      <c r="V27" s="1567" t="s">
        <v>8</v>
      </c>
      <c r="W27" s="1568">
        <f>J27</f>
        <v>100</v>
      </c>
      <c r="X27" s="1569"/>
      <c r="Y27" s="3532"/>
      <c r="Z27" s="1148" t="str">
        <f>Q27</f>
        <v>人流量</v>
      </c>
      <c r="AA27" s="1575">
        <f>D27/F27</f>
        <v>1</v>
      </c>
      <c r="AB27" s="1575">
        <f>D27/H27</f>
        <v>1</v>
      </c>
      <c r="AC27" s="1575">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2"/>
      <c r="M28" s="2134"/>
      <c r="N28" s="2134"/>
      <c r="O28" s="2141"/>
      <c r="P28" s="3532"/>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532"/>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2"/>
      <c r="M29" s="2134"/>
      <c r="N29" s="2134"/>
      <c r="O29" s="2141"/>
      <c r="P29" s="3532"/>
      <c r="Q29" s="1571">
        <f t="shared" si="11"/>
        <v>111</v>
      </c>
      <c r="R29" s="1572" t="s">
        <v>8</v>
      </c>
      <c r="S29" s="1573">
        <f t="shared" si="12"/>
        <v>100</v>
      </c>
      <c r="T29" s="1572" t="s">
        <v>8</v>
      </c>
      <c r="U29" s="1573">
        <f t="shared" si="13"/>
        <v>100</v>
      </c>
      <c r="V29" s="1572" t="s">
        <v>8</v>
      </c>
      <c r="W29" s="1573">
        <f t="shared" si="14"/>
        <v>100</v>
      </c>
      <c r="X29" s="1566"/>
      <c r="Y29" s="3532"/>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2"/>
      <c r="M30" s="2134"/>
      <c r="N30" s="2134"/>
      <c r="O30" s="2141"/>
      <c r="P30" s="3532"/>
      <c r="Q30" s="1571">
        <f t="shared" si="11"/>
        <v>111</v>
      </c>
      <c r="R30" s="1572" t="s">
        <v>8</v>
      </c>
      <c r="S30" s="1573">
        <f t="shared" si="12"/>
        <v>100</v>
      </c>
      <c r="T30" s="1572" t="s">
        <v>8</v>
      </c>
      <c r="U30" s="1573">
        <f t="shared" si="13"/>
        <v>100</v>
      </c>
      <c r="V30" s="1572" t="s">
        <v>8</v>
      </c>
      <c r="W30" s="1573">
        <f t="shared" si="14"/>
        <v>100</v>
      </c>
      <c r="X30" s="1566"/>
      <c r="Y30" s="3532"/>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2"/>
      <c r="M31" s="2134"/>
      <c r="N31" s="2134"/>
      <c r="O31" s="2141"/>
      <c r="P31" s="3532"/>
      <c r="Q31" s="1571">
        <f t="shared" si="11"/>
        <v>111</v>
      </c>
      <c r="R31" s="1572" t="s">
        <v>8</v>
      </c>
      <c r="S31" s="1573">
        <f t="shared" si="12"/>
        <v>100</v>
      </c>
      <c r="T31" s="1572" t="s">
        <v>8</v>
      </c>
      <c r="U31" s="1573">
        <f t="shared" si="13"/>
        <v>100</v>
      </c>
      <c r="V31" s="1572" t="s">
        <v>8</v>
      </c>
      <c r="W31" s="1573">
        <f t="shared" si="14"/>
        <v>100</v>
      </c>
      <c r="X31" s="1566"/>
      <c r="Y31" s="3532"/>
      <c r="Z31" s="1574">
        <f t="shared" si="15"/>
        <v>111</v>
      </c>
      <c r="AA31" s="1575">
        <f t="shared" si="3"/>
        <v>1</v>
      </c>
      <c r="AB31" s="1575">
        <f t="shared" si="4"/>
        <v>1</v>
      </c>
      <c r="AC31" s="1575">
        <f t="shared" si="5"/>
        <v>1</v>
      </c>
    </row>
    <row r="32" spans="1:29" ht="15">
      <c r="A32" s="2929" t="s">
        <v>2759</v>
      </c>
      <c r="B32" s="170"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2"/>
      <c r="M32" s="2134"/>
      <c r="N32" s="2134"/>
      <c r="O32" s="2141"/>
      <c r="P32" s="3533" t="s">
        <v>550</v>
      </c>
      <c r="Q32" s="1571" t="str">
        <f t="shared" si="11"/>
        <v>商业类型</v>
      </c>
      <c r="R32" s="1572" t="s">
        <v>8</v>
      </c>
      <c r="S32" s="1573">
        <f t="shared" si="12"/>
        <v>100</v>
      </c>
      <c r="T32" s="1572" t="s">
        <v>8</v>
      </c>
      <c r="U32" s="1573">
        <f t="shared" si="13"/>
        <v>100</v>
      </c>
      <c r="V32" s="1572" t="s">
        <v>8</v>
      </c>
      <c r="W32" s="1573">
        <f t="shared" si="14"/>
        <v>100</v>
      </c>
      <c r="X32" s="1566"/>
      <c r="Y32" s="3534" t="s">
        <v>550</v>
      </c>
      <c r="Z32" s="1574" t="str">
        <f t="shared" si="15"/>
        <v>商业类型</v>
      </c>
      <c r="AA32" s="1575">
        <f t="shared" si="3"/>
        <v>1</v>
      </c>
      <c r="AB32" s="1575">
        <f t="shared" si="4"/>
        <v>1</v>
      </c>
      <c r="AC32" s="1575">
        <f t="shared" si="5"/>
        <v>1</v>
      </c>
    </row>
    <row r="33" spans="1:29" s="1337"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40"/>
      <c r="M33" s="2171"/>
      <c r="N33" s="2171"/>
      <c r="O33" s="2143"/>
      <c r="P33" s="3534"/>
      <c r="Q33" s="1604" t="str">
        <f t="shared" si="11"/>
        <v>项目建筑规模</v>
      </c>
      <c r="R33" s="1576" t="s">
        <v>8</v>
      </c>
      <c r="S33" s="1577" t="e">
        <f t="shared" si="12"/>
        <v>#N/A</v>
      </c>
      <c r="T33" s="1576" t="s">
        <v>8</v>
      </c>
      <c r="U33" s="1577" t="e">
        <f t="shared" si="13"/>
        <v>#N/A</v>
      </c>
      <c r="V33" s="1576" t="s">
        <v>8</v>
      </c>
      <c r="W33" s="1577" t="e">
        <f t="shared" si="14"/>
        <v>#N/A</v>
      </c>
      <c r="X33" s="1578"/>
      <c r="Y33" s="3534"/>
      <c r="Z33" s="1579" t="str">
        <f t="shared" si="15"/>
        <v>项目建筑规模</v>
      </c>
      <c r="AA33" s="1575" t="e">
        <f t="shared" si="3"/>
        <v>#N/A</v>
      </c>
      <c r="AB33" s="1575" t="e">
        <f t="shared" si="4"/>
        <v>#N/A</v>
      </c>
      <c r="AC33" s="1575"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2"/>
      <c r="M34" s="2134"/>
      <c r="N34" s="2134"/>
      <c r="O34" s="2141"/>
      <c r="P34" s="3534"/>
      <c r="Q34" s="1571" t="str">
        <f t="shared" si="11"/>
        <v>建筑结构</v>
      </c>
      <c r="R34" s="1572" t="s">
        <v>8</v>
      </c>
      <c r="S34" s="1573">
        <f t="shared" si="12"/>
        <v>100</v>
      </c>
      <c r="T34" s="1572" t="s">
        <v>8</v>
      </c>
      <c r="U34" s="1573">
        <f t="shared" si="13"/>
        <v>100</v>
      </c>
      <c r="V34" s="1572" t="s">
        <v>8</v>
      </c>
      <c r="W34" s="1573">
        <f t="shared" si="14"/>
        <v>100</v>
      </c>
      <c r="X34" s="1566"/>
      <c r="Y34" s="3534"/>
      <c r="Z34" s="1574" t="str">
        <f t="shared" si="15"/>
        <v>建筑结构</v>
      </c>
      <c r="AA34" s="1575">
        <f t="shared" si="3"/>
        <v>1</v>
      </c>
      <c r="AB34" s="1575">
        <f t="shared" si="4"/>
        <v>1</v>
      </c>
      <c r="AC34" s="1575">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2"/>
      <c r="M35" s="2134"/>
      <c r="N35" s="2134"/>
      <c r="O35" s="2141"/>
      <c r="P35" s="3534"/>
      <c r="Q35" s="1571" t="str">
        <f t="shared" si="11"/>
        <v>公共部分装修</v>
      </c>
      <c r="R35" s="1572" t="s">
        <v>8</v>
      </c>
      <c r="S35" s="1573">
        <f t="shared" si="12"/>
        <v>100</v>
      </c>
      <c r="T35" s="1572" t="s">
        <v>8</v>
      </c>
      <c r="U35" s="1573">
        <f t="shared" si="13"/>
        <v>100</v>
      </c>
      <c r="V35" s="1572" t="s">
        <v>8</v>
      </c>
      <c r="W35" s="1573">
        <f t="shared" si="14"/>
        <v>100</v>
      </c>
      <c r="X35" s="1566"/>
      <c r="Y35" s="3534"/>
      <c r="Z35" s="1574" t="str">
        <f t="shared" si="15"/>
        <v>公共部分装修</v>
      </c>
      <c r="AA35" s="1575">
        <f t="shared" si="3"/>
        <v>1</v>
      </c>
      <c r="AB35" s="1575">
        <f t="shared" si="4"/>
        <v>1</v>
      </c>
      <c r="AC35" s="1575">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2"/>
      <c r="M36" s="2134"/>
      <c r="N36" s="2134"/>
      <c r="O36" s="2141"/>
      <c r="P36" s="3534"/>
      <c r="Q36" s="1571" t="str">
        <f t="shared" si="11"/>
        <v>成新度</v>
      </c>
      <c r="R36" s="1572" t="s">
        <v>8</v>
      </c>
      <c r="S36" s="1573" t="e">
        <f t="shared" si="12"/>
        <v>#N/A</v>
      </c>
      <c r="T36" s="1572" t="s">
        <v>8</v>
      </c>
      <c r="U36" s="1573" t="e">
        <f t="shared" si="13"/>
        <v>#N/A</v>
      </c>
      <c r="V36" s="1572" t="s">
        <v>8</v>
      </c>
      <c r="W36" s="1573" t="e">
        <f t="shared" si="14"/>
        <v>#N/A</v>
      </c>
      <c r="X36" s="1566"/>
      <c r="Y36" s="3534"/>
      <c r="Z36" s="1574" t="str">
        <f t="shared" si="15"/>
        <v>成新度</v>
      </c>
      <c r="AA36" s="1575" t="e">
        <f t="shared" si="3"/>
        <v>#N/A</v>
      </c>
      <c r="AB36" s="1575" t="e">
        <f t="shared" si="4"/>
        <v>#N/A</v>
      </c>
      <c r="AC36" s="1575" t="e">
        <f t="shared" si="5"/>
        <v>#N/A</v>
      </c>
    </row>
    <row r="37" spans="1:29" s="1218" customFormat="1" ht="15">
      <c r="A37" s="598"/>
      <c r="B37" s="1895" t="s">
        <v>2569</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5"/>
      <c r="M37" s="2136"/>
      <c r="N37" s="2136"/>
      <c r="O37" s="2137"/>
      <c r="P37" s="3534"/>
      <c r="Q37" s="1149" t="str">
        <f t="shared" si="11"/>
        <v>市政基础设施</v>
      </c>
      <c r="R37" s="1567" t="s">
        <v>8</v>
      </c>
      <c r="S37" s="1568">
        <f t="shared" si="12"/>
        <v>100</v>
      </c>
      <c r="T37" s="1567" t="s">
        <v>8</v>
      </c>
      <c r="U37" s="1568">
        <f t="shared" si="13"/>
        <v>100</v>
      </c>
      <c r="V37" s="1567" t="s">
        <v>8</v>
      </c>
      <c r="W37" s="1568">
        <f t="shared" si="14"/>
        <v>100</v>
      </c>
      <c r="X37" s="1569"/>
      <c r="Y37" s="3534"/>
      <c r="Z37" s="1148" t="str">
        <f t="shared" si="15"/>
        <v>市政基础设施</v>
      </c>
      <c r="AA37" s="1570">
        <f t="shared" si="3"/>
        <v>1</v>
      </c>
      <c r="AB37" s="1570">
        <f t="shared" si="4"/>
        <v>1</v>
      </c>
      <c r="AC37" s="1570">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2"/>
      <c r="M38" s="2134"/>
      <c r="N38" s="2134"/>
      <c r="O38" s="2141"/>
      <c r="P38" s="3534" t="s">
        <v>766</v>
      </c>
      <c r="Q38" s="1571" t="str">
        <f t="shared" si="11"/>
        <v>业态</v>
      </c>
      <c r="R38" s="1572" t="s">
        <v>8</v>
      </c>
      <c r="S38" s="1573">
        <f t="shared" si="12"/>
        <v>100</v>
      </c>
      <c r="T38" s="1572" t="s">
        <v>8</v>
      </c>
      <c r="U38" s="1573">
        <f t="shared" si="13"/>
        <v>100</v>
      </c>
      <c r="V38" s="1572" t="s">
        <v>8</v>
      </c>
      <c r="W38" s="1573">
        <f t="shared" si="14"/>
        <v>100</v>
      </c>
      <c r="X38" s="1566"/>
      <c r="Y38" s="3534" t="s">
        <v>766</v>
      </c>
      <c r="Z38" s="1574" t="str">
        <f t="shared" si="15"/>
        <v>业态</v>
      </c>
      <c r="AA38" s="1575">
        <f t="shared" si="3"/>
        <v>1</v>
      </c>
      <c r="AB38" s="1575">
        <f t="shared" si="4"/>
        <v>1</v>
      </c>
      <c r="AC38" s="1575">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2"/>
      <c r="M39" s="2134"/>
      <c r="N39" s="2134"/>
      <c r="O39" s="2141"/>
      <c r="P39" s="3534"/>
      <c r="Q39" s="1571" t="str">
        <f t="shared" si="11"/>
        <v>层高</v>
      </c>
      <c r="R39" s="1572" t="s">
        <v>8</v>
      </c>
      <c r="S39" s="1573">
        <f t="shared" si="12"/>
        <v>100</v>
      </c>
      <c r="T39" s="1572" t="s">
        <v>8</v>
      </c>
      <c r="U39" s="1573">
        <f t="shared" si="13"/>
        <v>100</v>
      </c>
      <c r="V39" s="1572" t="s">
        <v>8</v>
      </c>
      <c r="W39" s="1573">
        <f t="shared" si="14"/>
        <v>100</v>
      </c>
      <c r="X39" s="1566"/>
      <c r="Y39" s="3534"/>
      <c r="Z39" s="1574" t="str">
        <f t="shared" si="15"/>
        <v>层高</v>
      </c>
      <c r="AA39" s="1575">
        <f t="shared" si="3"/>
        <v>1</v>
      </c>
      <c r="AB39" s="1575">
        <f t="shared" si="4"/>
        <v>1</v>
      </c>
      <c r="AC39" s="1575">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2"/>
      <c r="M40" s="2134"/>
      <c r="N40" s="2134"/>
      <c r="O40" s="2141"/>
      <c r="P40" s="3534"/>
      <c r="Q40" s="1571" t="str">
        <f t="shared" si="11"/>
        <v>单套建筑面积</v>
      </c>
      <c r="R40" s="1572" t="s">
        <v>8</v>
      </c>
      <c r="S40" s="1573">
        <f t="shared" si="12"/>
        <v>100</v>
      </c>
      <c r="T40" s="1572" t="s">
        <v>8</v>
      </c>
      <c r="U40" s="1573">
        <f t="shared" si="13"/>
        <v>100</v>
      </c>
      <c r="V40" s="1572" t="s">
        <v>8</v>
      </c>
      <c r="W40" s="1573">
        <f t="shared" si="14"/>
        <v>100</v>
      </c>
      <c r="X40" s="1566"/>
      <c r="Y40" s="3534"/>
      <c r="Z40" s="1574" t="str">
        <f t="shared" si="15"/>
        <v>单套建筑面积</v>
      </c>
      <c r="AA40" s="1575">
        <f t="shared" si="3"/>
        <v>1</v>
      </c>
      <c r="AB40" s="1575">
        <f t="shared" si="4"/>
        <v>1</v>
      </c>
      <c r="AC40" s="1575">
        <f t="shared" si="5"/>
        <v>1</v>
      </c>
    </row>
    <row r="41" spans="1:29" s="1337"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40"/>
      <c r="M41" s="2171"/>
      <c r="N41" s="2171"/>
      <c r="O41" s="2143"/>
      <c r="P41" s="3534"/>
      <c r="Q41" s="1604" t="str">
        <f t="shared" si="11"/>
        <v>进深比</v>
      </c>
      <c r="R41" s="1576" t="s">
        <v>8</v>
      </c>
      <c r="S41" s="1577">
        <f t="shared" si="12"/>
        <v>100</v>
      </c>
      <c r="T41" s="1576" t="s">
        <v>8</v>
      </c>
      <c r="U41" s="1577">
        <f t="shared" si="13"/>
        <v>100</v>
      </c>
      <c r="V41" s="1576" t="s">
        <v>8</v>
      </c>
      <c r="W41" s="1577">
        <f t="shared" si="14"/>
        <v>100</v>
      </c>
      <c r="X41" s="1578"/>
      <c r="Y41" s="3534"/>
      <c r="Z41" s="1579" t="str">
        <f t="shared" si="15"/>
        <v>进深比</v>
      </c>
      <c r="AA41" s="1575">
        <f t="shared" si="3"/>
        <v>1</v>
      </c>
      <c r="AB41" s="1575">
        <f t="shared" si="4"/>
        <v>1</v>
      </c>
      <c r="AC41" s="1575">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2"/>
      <c r="M42" s="2134"/>
      <c r="N42" s="2134"/>
      <c r="O42" s="2141"/>
      <c r="P42" s="3534"/>
      <c r="Q42" s="1571" t="str">
        <f t="shared" si="11"/>
        <v>内部装修</v>
      </c>
      <c r="R42" s="1572" t="s">
        <v>8</v>
      </c>
      <c r="S42" s="1573">
        <f t="shared" si="12"/>
        <v>100</v>
      </c>
      <c r="T42" s="1572" t="s">
        <v>8</v>
      </c>
      <c r="U42" s="1573">
        <f t="shared" si="13"/>
        <v>100</v>
      </c>
      <c r="V42" s="1572" t="s">
        <v>8</v>
      </c>
      <c r="W42" s="1573">
        <f t="shared" si="14"/>
        <v>100</v>
      </c>
      <c r="X42" s="1566"/>
      <c r="Y42" s="3534"/>
      <c r="Z42" s="1574" t="str">
        <f t="shared" si="15"/>
        <v>内部装修</v>
      </c>
      <c r="AA42" s="1575">
        <f t="shared" si="3"/>
        <v>1</v>
      </c>
      <c r="AB42" s="1575">
        <f t="shared" si="4"/>
        <v>1</v>
      </c>
      <c r="AC42" s="1575">
        <f t="shared" si="5"/>
        <v>1</v>
      </c>
    </row>
    <row r="43" spans="1:29" ht="27">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2"/>
      <c r="M43" s="2134"/>
      <c r="N43" s="2134"/>
      <c r="O43" s="2141"/>
      <c r="P43" s="3534"/>
      <c r="Q43" s="1571" t="str">
        <f t="shared" si="11"/>
        <v>内部装修维护情况</v>
      </c>
      <c r="R43" s="1572" t="s">
        <v>8</v>
      </c>
      <c r="S43" s="1573">
        <f t="shared" si="12"/>
        <v>100</v>
      </c>
      <c r="T43" s="1572" t="s">
        <v>8</v>
      </c>
      <c r="U43" s="1573">
        <f t="shared" si="13"/>
        <v>100</v>
      </c>
      <c r="V43" s="1572" t="s">
        <v>8</v>
      </c>
      <c r="W43" s="1573">
        <f t="shared" si="14"/>
        <v>100</v>
      </c>
      <c r="X43" s="1566"/>
      <c r="Y43" s="3534"/>
      <c r="Z43" s="1574" t="str">
        <f t="shared" si="15"/>
        <v>内部装修维护情况</v>
      </c>
      <c r="AA43" s="1575">
        <f t="shared" si="3"/>
        <v>1</v>
      </c>
      <c r="AB43" s="1575">
        <f t="shared" si="4"/>
        <v>1</v>
      </c>
      <c r="AC43" s="1575">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5"/>
      <c r="M44" s="2136"/>
      <c r="N44" s="2136"/>
      <c r="O44" s="2137"/>
      <c r="P44" s="3534"/>
      <c r="Q44" s="1149">
        <f t="shared" si="11"/>
        <v>111</v>
      </c>
      <c r="R44" s="1567" t="s">
        <v>8</v>
      </c>
      <c r="S44" s="1568">
        <f t="shared" si="12"/>
        <v>100</v>
      </c>
      <c r="T44" s="1567" t="s">
        <v>8</v>
      </c>
      <c r="U44" s="1568">
        <f t="shared" si="13"/>
        <v>100</v>
      </c>
      <c r="V44" s="1567" t="s">
        <v>8</v>
      </c>
      <c r="W44" s="1568">
        <f t="shared" si="14"/>
        <v>100</v>
      </c>
      <c r="X44" s="1569"/>
      <c r="Y44" s="3534"/>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2"/>
      <c r="M45" s="2134"/>
      <c r="N45" s="2134"/>
      <c r="O45" s="2141"/>
      <c r="P45" s="3534"/>
      <c r="Q45" s="1571">
        <f t="shared" si="11"/>
        <v>111</v>
      </c>
      <c r="R45" s="1572" t="s">
        <v>8</v>
      </c>
      <c r="S45" s="1573">
        <f t="shared" si="12"/>
        <v>100</v>
      </c>
      <c r="T45" s="1572" t="s">
        <v>8</v>
      </c>
      <c r="U45" s="1573">
        <f t="shared" si="13"/>
        <v>100</v>
      </c>
      <c r="V45" s="1572" t="s">
        <v>8</v>
      </c>
      <c r="W45" s="1573">
        <f t="shared" si="14"/>
        <v>100</v>
      </c>
      <c r="X45" s="1566"/>
      <c r="Y45" s="3534"/>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2"/>
      <c r="M46" s="2134"/>
      <c r="N46" s="2134"/>
      <c r="O46" s="2141"/>
      <c r="P46" s="3611"/>
      <c r="Q46" s="1571">
        <f t="shared" si="11"/>
        <v>111</v>
      </c>
      <c r="R46" s="1572" t="s">
        <v>8</v>
      </c>
      <c r="S46" s="1573">
        <f t="shared" si="12"/>
        <v>100</v>
      </c>
      <c r="T46" s="1572" t="s">
        <v>8</v>
      </c>
      <c r="U46" s="1573">
        <f t="shared" si="13"/>
        <v>100</v>
      </c>
      <c r="V46" s="1572" t="s">
        <v>8</v>
      </c>
      <c r="W46" s="1573">
        <f t="shared" si="14"/>
        <v>100</v>
      </c>
      <c r="X46" s="1566"/>
      <c r="Y46" s="3611"/>
      <c r="Z46" s="1574">
        <f t="shared" si="15"/>
        <v>111</v>
      </c>
      <c r="AA46" s="1575">
        <f t="shared" si="3"/>
        <v>1</v>
      </c>
      <c r="AB46" s="1575">
        <f t="shared" si="4"/>
        <v>1</v>
      </c>
      <c r="AC46" s="1575">
        <f t="shared" si="5"/>
        <v>1</v>
      </c>
    </row>
    <row r="47" spans="1:29" ht="15">
      <c r="A47" s="605" t="s">
        <v>736</v>
      </c>
      <c r="B47" s="885"/>
      <c r="C47" s="2649" t="s">
        <v>1</v>
      </c>
      <c r="D47" s="2650"/>
      <c r="E47" s="2651"/>
      <c r="F47" s="2652"/>
      <c r="G47" s="2653"/>
      <c r="H47" s="2654"/>
      <c r="I47" s="2651"/>
      <c r="J47" s="2654"/>
      <c r="K47" s="1610"/>
      <c r="L47" s="2144"/>
      <c r="M47" s="2145"/>
      <c r="N47" s="2134"/>
      <c r="O47" s="2145"/>
      <c r="P47" s="3497" t="str">
        <f>A47</f>
        <v>成交单价（元/平方米）</v>
      </c>
      <c r="Q47" s="3497"/>
      <c r="R47" s="3610">
        <f>E47</f>
        <v>0</v>
      </c>
      <c r="S47" s="3610"/>
      <c r="T47" s="3610">
        <f>G47</f>
        <v>0</v>
      </c>
      <c r="U47" s="3610"/>
      <c r="V47" s="3610">
        <f>I47</f>
        <v>0</v>
      </c>
      <c r="W47" s="3610"/>
      <c r="X47" s="1558"/>
      <c r="Y47" s="1580"/>
      <c r="Z47" s="1558"/>
      <c r="AA47" s="1558"/>
      <c r="AB47" s="1558"/>
      <c r="AC47" s="1558"/>
    </row>
    <row r="48" spans="1:29" ht="15.75" thickBot="1">
      <c r="A48" s="613" t="s">
        <v>2764</v>
      </c>
      <c r="B48" s="886"/>
      <c r="C48" s="2655" t="e">
        <f>R49</f>
        <v>#DIV/0!</v>
      </c>
      <c r="D48" s="2656"/>
      <c r="E48" s="2657" t="e">
        <f>R48</f>
        <v>#DIV/0!</v>
      </c>
      <c r="F48" s="2657"/>
      <c r="G48" s="2655" t="e">
        <f>T48</f>
        <v>#DIV/0!</v>
      </c>
      <c r="H48" s="2656"/>
      <c r="I48" s="2657" t="e">
        <f>V48</f>
        <v>#DIV/0!</v>
      </c>
      <c r="J48" s="2656"/>
      <c r="K48" s="1611"/>
      <c r="L48" s="2144"/>
      <c r="M48" s="2145"/>
      <c r="N48" s="2134"/>
      <c r="O48" s="2145"/>
      <c r="P48" s="3497" t="str">
        <f>A48</f>
        <v>比较价格（元/平方米）</v>
      </c>
      <c r="Q48" s="3497"/>
      <c r="R48" s="3610" t="e">
        <f>IF(F1="售价",ROUND(PRODUCT(R47,AA7:AA46),0),ROUND(PRODUCT(R47,AA7:AA46),1))</f>
        <v>#DIV/0!</v>
      </c>
      <c r="S48" s="3610"/>
      <c r="T48" s="3610" t="e">
        <f>IF(F1="售价",ROUND(PRODUCT(T47,AB7:AB46),0),ROUND(PRODUCT(T47,AB7:AB46),1))</f>
        <v>#DIV/0!</v>
      </c>
      <c r="U48" s="3610"/>
      <c r="V48" s="3610" t="e">
        <f>IF(F1="售价",ROUND(PRODUCT(V47,AC7:AC46),0),ROUND(PRODUCT(V47,AC7:AC46),1))</f>
        <v>#DIV/0!</v>
      </c>
      <c r="W48" s="3610"/>
      <c r="X48" s="1558"/>
      <c r="Y48" s="1558"/>
      <c r="Z48" s="1558"/>
      <c r="AA48" s="1558"/>
      <c r="AB48" s="1558"/>
      <c r="AC48" s="1558"/>
    </row>
    <row r="49" spans="1:29" ht="15.75" thickBot="1">
      <c r="A49" s="619" t="s">
        <v>2936</v>
      </c>
      <c r="B49" s="620"/>
      <c r="C49" s="2658" t="e">
        <f>R49</f>
        <v>#DIV/0!</v>
      </c>
      <c r="D49" s="2658"/>
      <c r="E49" s="2658"/>
      <c r="F49" s="2658"/>
      <c r="G49" s="2658"/>
      <c r="H49" s="2658"/>
      <c r="I49" s="2658"/>
      <c r="J49" s="2658"/>
      <c r="K49" s="1612"/>
      <c r="L49" s="2144"/>
      <c r="M49" s="2145"/>
      <c r="N49" s="2134"/>
      <c r="O49" s="2145"/>
      <c r="P49" s="3494" t="str">
        <f>A49</f>
        <v>估价对象XX用房的比较价格（楼面单价，元/平方米）</v>
      </c>
      <c r="Q49" s="3495"/>
      <c r="R49" s="3609" t="e">
        <f>IF(F1="售价",ROUND(AVERAGE(R48:V48),0),ROUND(AVERAGE(R48:V48),1))</f>
        <v>#DIV/0!</v>
      </c>
      <c r="S49" s="3609"/>
      <c r="T49" s="3609"/>
      <c r="U49" s="3609"/>
      <c r="V49" s="3609"/>
      <c r="W49" s="3609"/>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3" t="s">
        <v>529</v>
      </c>
      <c r="B58" s="644"/>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60"/>
      <c r="Q58" s="2161"/>
      <c r="R58" s="2161"/>
      <c r="S58" s="2161"/>
      <c r="T58" s="2161"/>
      <c r="U58" s="2161"/>
      <c r="V58" s="2161"/>
      <c r="W58" s="2161"/>
      <c r="X58" s="2161"/>
      <c r="Y58" s="2161"/>
      <c r="Z58" s="2161"/>
      <c r="AA58" s="2161"/>
      <c r="AB58" s="2161"/>
      <c r="AC58" s="2161"/>
    </row>
    <row r="59" spans="1:29" s="1218" customFormat="1" ht="15">
      <c r="A59" s="645"/>
      <c r="B59" s="646"/>
      <c r="C59" s="647">
        <v>100</v>
      </c>
      <c r="D59" s="648"/>
      <c r="E59" s="648"/>
      <c r="F59" s="648"/>
      <c r="G59" s="648"/>
      <c r="H59" s="648"/>
      <c r="I59" s="648"/>
      <c r="J59" s="648"/>
      <c r="K59" s="648"/>
      <c r="L59" s="648"/>
      <c r="M59" s="649"/>
      <c r="N59" s="648"/>
      <c r="O59" s="650"/>
      <c r="P59" s="2158"/>
      <c r="Q59" s="1993"/>
      <c r="R59" s="1993"/>
      <c r="S59" s="1993"/>
      <c r="T59" s="1993"/>
      <c r="U59" s="1993"/>
      <c r="V59" s="1993"/>
      <c r="W59" s="1993"/>
      <c r="X59" s="1993"/>
      <c r="Y59" s="1993"/>
      <c r="Z59" s="1993"/>
      <c r="AA59" s="1993"/>
      <c r="AB59" s="1993"/>
      <c r="AC59" s="1993"/>
    </row>
    <row r="60" spans="1:29" s="1218" customFormat="1" ht="15.75" thickBot="1">
      <c r="A60" s="651" t="s">
        <v>575</v>
      </c>
      <c r="B60" s="652"/>
      <c r="C60" s="653"/>
      <c r="D60" s="654"/>
      <c r="E60" s="654"/>
      <c r="F60" s="654"/>
      <c r="G60" s="654"/>
      <c r="H60" s="654"/>
      <c r="I60" s="654"/>
      <c r="J60" s="654"/>
      <c r="K60" s="654"/>
      <c r="L60" s="654"/>
      <c r="M60" s="655"/>
      <c r="N60" s="654"/>
      <c r="O60" s="656"/>
      <c r="P60" s="2158"/>
      <c r="Q60" s="2158"/>
      <c r="R60" s="1993"/>
      <c r="S60" s="1993"/>
      <c r="T60" s="1993"/>
      <c r="U60" s="1993"/>
      <c r="V60" s="1993"/>
      <c r="W60" s="1993"/>
      <c r="X60" s="1993"/>
      <c r="Y60" s="1993"/>
      <c r="Z60" s="1993"/>
      <c r="AA60" s="1993"/>
      <c r="AB60" s="1993"/>
      <c r="AC60" s="1993"/>
    </row>
    <row r="61" spans="1:29" s="1218" customFormat="1" ht="15">
      <c r="A61" s="657" t="s">
        <v>531</v>
      </c>
      <c r="B61" s="646"/>
      <c r="C61" s="658" t="s">
        <v>576</v>
      </c>
      <c r="D61" s="659"/>
      <c r="E61" s="659"/>
      <c r="F61" s="659"/>
      <c r="G61" s="659"/>
      <c r="H61" s="659"/>
      <c r="I61" s="659"/>
      <c r="J61" s="659"/>
      <c r="K61" s="659"/>
      <c r="L61" s="660"/>
      <c r="M61" s="661"/>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7"/>
      <c r="B62" s="646"/>
      <c r="C62" s="887">
        <v>100</v>
      </c>
      <c r="D62" s="648"/>
      <c r="E62" s="648"/>
      <c r="F62" s="648"/>
      <c r="G62" s="648"/>
      <c r="H62" s="648"/>
      <c r="I62" s="648"/>
      <c r="J62" s="648"/>
      <c r="K62" s="648"/>
      <c r="L62" s="648"/>
      <c r="M62" s="650"/>
      <c r="N62" s="2162"/>
      <c r="O62" s="2162"/>
      <c r="P62" s="2158"/>
      <c r="Q62" s="2158"/>
      <c r="R62" s="1993"/>
      <c r="S62" s="1993"/>
      <c r="T62" s="1993"/>
      <c r="U62" s="1993"/>
      <c r="V62" s="1993"/>
      <c r="W62" s="1993"/>
      <c r="X62" s="1993"/>
      <c r="Y62" s="1993"/>
      <c r="Z62" s="1993"/>
      <c r="AA62" s="1993"/>
      <c r="AB62" s="1993"/>
      <c r="AC62" s="1203"/>
    </row>
    <row r="63" spans="1:29">
      <c r="A63" s="662" t="s">
        <v>577</v>
      </c>
      <c r="B63" s="663" t="s">
        <v>534</v>
      </c>
      <c r="C63" s="702">
        <f>C9</f>
        <v>0</v>
      </c>
      <c r="D63" s="596"/>
      <c r="E63" s="596"/>
      <c r="F63" s="596"/>
      <c r="G63" s="596"/>
      <c r="H63" s="596"/>
      <c r="I63" s="596"/>
      <c r="J63" s="596"/>
      <c r="K63" s="664"/>
      <c r="L63" s="665"/>
      <c r="M63" s="666"/>
      <c r="N63" s="2164"/>
      <c r="O63" s="2164"/>
      <c r="P63" s="2165"/>
      <c r="Q63" s="2158"/>
      <c r="R63" s="2145"/>
      <c r="S63" s="2145"/>
      <c r="T63" s="2145"/>
      <c r="U63" s="2145"/>
      <c r="V63" s="2145"/>
      <c r="W63" s="2145"/>
      <c r="X63" s="2145"/>
      <c r="Y63" s="2145"/>
      <c r="Z63" s="2145"/>
      <c r="AA63" s="2145"/>
      <c r="AB63" s="2145"/>
      <c r="AC63" s="2145"/>
    </row>
    <row r="64" spans="1:29" ht="15.75" thickBot="1">
      <c r="A64" s="667"/>
      <c r="B64" s="668"/>
      <c r="C64" s="669"/>
      <c r="D64" s="669"/>
      <c r="E64" s="669"/>
      <c r="F64" s="669"/>
      <c r="G64" s="669"/>
      <c r="H64" s="669"/>
      <c r="I64" s="669"/>
      <c r="J64" s="669"/>
      <c r="K64" s="669"/>
      <c r="L64" s="669"/>
      <c r="M64" s="670"/>
      <c r="N64" s="2166"/>
      <c r="O64" s="2166"/>
      <c r="P64" s="2165"/>
      <c r="Q64" s="2158"/>
      <c r="R64" s="2145"/>
      <c r="S64" s="2145"/>
      <c r="T64" s="2145"/>
      <c r="U64" s="2145"/>
      <c r="V64" s="2145"/>
      <c r="W64" s="2145"/>
      <c r="X64" s="2145"/>
      <c r="Y64" s="2145"/>
      <c r="Z64" s="2145"/>
      <c r="AA64" s="2145"/>
      <c r="AB64" s="2145"/>
      <c r="AC64" s="2145"/>
    </row>
    <row r="65" spans="1:29" ht="27.75" thickTop="1">
      <c r="A65" s="667"/>
      <c r="B65" s="671" t="s">
        <v>537</v>
      </c>
      <c r="C65" s="672" t="s">
        <v>737</v>
      </c>
      <c r="D65" s="672" t="s">
        <v>738</v>
      </c>
      <c r="E65" s="672" t="s">
        <v>739</v>
      </c>
      <c r="F65" s="672" t="s">
        <v>740</v>
      </c>
      <c r="G65" s="672" t="s">
        <v>741</v>
      </c>
      <c r="H65" s="672" t="s">
        <v>742</v>
      </c>
      <c r="I65" s="672" t="s">
        <v>743</v>
      </c>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7"/>
      <c r="B68" s="681"/>
      <c r="C68" s="539"/>
      <c r="D68" s="539"/>
      <c r="E68" s="539"/>
      <c r="F68" s="539"/>
      <c r="G68" s="539"/>
      <c r="H68" s="539"/>
      <c r="I68" s="539"/>
      <c r="J68" s="539"/>
      <c r="K68" s="682"/>
      <c r="L68" s="683"/>
      <c r="M68" s="684"/>
      <c r="N68" s="2164"/>
      <c r="O68" s="2164"/>
      <c r="P68" s="2165"/>
      <c r="Q68" s="2158"/>
      <c r="R68" s="2145"/>
      <c r="S68" s="2145"/>
      <c r="T68" s="2145"/>
      <c r="U68" s="2145"/>
      <c r="V68" s="2145"/>
      <c r="W68" s="2145"/>
      <c r="X68" s="2145"/>
      <c r="Y68" s="2145"/>
      <c r="Z68" s="2145"/>
      <c r="AA68" s="2145"/>
      <c r="AB68" s="2145"/>
      <c r="AC68" s="2145"/>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5"/>
      <c r="B70" s="671">
        <f>B12</f>
        <v>111</v>
      </c>
      <c r="C70" s="686"/>
      <c r="D70" s="686"/>
      <c r="E70" s="686"/>
      <c r="F70" s="686"/>
      <c r="G70" s="686"/>
      <c r="H70" s="687"/>
      <c r="I70" s="687"/>
      <c r="J70" s="687"/>
      <c r="K70" s="687"/>
      <c r="L70" s="688"/>
      <c r="M70" s="689"/>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5"/>
      <c r="B71" s="676"/>
      <c r="C71" s="690"/>
      <c r="D71" s="669"/>
      <c r="E71" s="669"/>
      <c r="F71" s="669"/>
      <c r="G71" s="669"/>
      <c r="H71" s="669"/>
      <c r="I71" s="669"/>
      <c r="J71" s="669"/>
      <c r="K71" s="669"/>
      <c r="L71" s="669"/>
      <c r="M71" s="670"/>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5"/>
      <c r="B72" s="671">
        <f>B13</f>
        <v>111</v>
      </c>
      <c r="C72" s="686"/>
      <c r="D72" s="686"/>
      <c r="E72" s="686"/>
      <c r="F72" s="686"/>
      <c r="G72" s="686"/>
      <c r="H72" s="687"/>
      <c r="I72" s="687"/>
      <c r="J72" s="687"/>
      <c r="K72" s="687"/>
      <c r="L72" s="688"/>
      <c r="M72" s="689"/>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5"/>
      <c r="B73" s="676"/>
      <c r="C73" s="690"/>
      <c r="D73" s="669"/>
      <c r="E73" s="669"/>
      <c r="F73" s="669"/>
      <c r="G73" s="690"/>
      <c r="H73" s="691"/>
      <c r="I73" s="691"/>
      <c r="J73" s="691"/>
      <c r="K73" s="691"/>
      <c r="L73" s="691"/>
      <c r="M73" s="692"/>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5"/>
      <c r="B74" s="679">
        <f>B14</f>
        <v>111</v>
      </c>
      <c r="C74" s="686"/>
      <c r="D74" s="686"/>
      <c r="E74" s="686"/>
      <c r="F74" s="686"/>
      <c r="G74" s="659"/>
      <c r="H74" s="693"/>
      <c r="I74" s="693"/>
      <c r="J74" s="693"/>
      <c r="K74" s="693"/>
      <c r="L74" s="694"/>
      <c r="M74" s="695"/>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6"/>
      <c r="B75" s="697"/>
      <c r="C75" s="698"/>
      <c r="D75" s="698"/>
      <c r="E75" s="698"/>
      <c r="F75" s="698"/>
      <c r="G75" s="698"/>
      <c r="H75" s="699"/>
      <c r="I75" s="699"/>
      <c r="J75" s="699"/>
      <c r="K75" s="699"/>
      <c r="L75" s="699"/>
      <c r="M75" s="700"/>
      <c r="N75" s="2167"/>
      <c r="O75" s="2167"/>
      <c r="P75" s="2168"/>
      <c r="Q75" s="2169"/>
      <c r="R75" s="2170"/>
      <c r="S75" s="2170"/>
      <c r="T75" s="2170"/>
      <c r="U75" s="2170"/>
      <c r="V75" s="2170"/>
      <c r="W75" s="2170"/>
      <c r="X75" s="2170"/>
      <c r="Y75" s="2170"/>
      <c r="Z75" s="2170"/>
      <c r="AA75" s="2170"/>
      <c r="AB75" s="2170"/>
      <c r="AC75" s="2170"/>
    </row>
    <row r="76" spans="1:29">
      <c r="A76" s="662" t="s">
        <v>539</v>
      </c>
      <c r="B76" s="663" t="s">
        <v>578</v>
      </c>
      <c r="C76" s="701" t="s">
        <v>579</v>
      </c>
      <c r="D76" s="701" t="s">
        <v>580</v>
      </c>
      <c r="E76" s="701" t="s">
        <v>581</v>
      </c>
      <c r="F76" s="701" t="s">
        <v>582</v>
      </c>
      <c r="G76" s="701" t="s">
        <v>583</v>
      </c>
      <c r="H76" s="702"/>
      <c r="I76" s="702"/>
      <c r="J76" s="702"/>
      <c r="K76" s="703"/>
      <c r="L76" s="704"/>
      <c r="M76" s="705"/>
      <c r="N76" s="2164"/>
      <c r="O76" s="2164"/>
      <c r="P76" s="2174"/>
      <c r="Q76" s="2158"/>
      <c r="R76" s="2145"/>
      <c r="S76" s="2145"/>
      <c r="T76" s="2145"/>
      <c r="U76" s="2145"/>
      <c r="V76" s="2145"/>
      <c r="W76" s="2145"/>
      <c r="X76" s="2145"/>
      <c r="Y76" s="2145"/>
      <c r="Z76" s="2145"/>
      <c r="AA76" s="2145"/>
      <c r="AB76" s="2145"/>
      <c r="AC76" s="2145"/>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586</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ht="15.75" thickTop="1">
      <c r="A80" s="667"/>
      <c r="B80" s="1896" t="s">
        <v>2561</v>
      </c>
      <c r="C80" s="706" t="s">
        <v>579</v>
      </c>
      <c r="D80" s="706" t="s">
        <v>580</v>
      </c>
      <c r="E80" s="706" t="s">
        <v>581</v>
      </c>
      <c r="F80" s="706" t="s">
        <v>582</v>
      </c>
      <c r="G80" s="706" t="s">
        <v>583</v>
      </c>
      <c r="H80" s="672"/>
      <c r="I80" s="672"/>
      <c r="J80" s="672"/>
      <c r="K80" s="673"/>
      <c r="L80" s="674"/>
      <c r="M80" s="675"/>
      <c r="N80" s="2164"/>
      <c r="O80" s="2164"/>
      <c r="P80" s="2165"/>
      <c r="Q80" s="2158"/>
      <c r="R80" s="2145"/>
      <c r="S80" s="2145"/>
      <c r="T80" s="2145"/>
      <c r="U80" s="2145"/>
      <c r="V80" s="2145"/>
      <c r="W80" s="2145"/>
      <c r="X80" s="2145"/>
      <c r="Y80" s="2145"/>
      <c r="Z80" s="2145"/>
      <c r="AA80" s="2145"/>
      <c r="AB80" s="2145"/>
      <c r="AC80" s="2145"/>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6"/>
      <c r="O81" s="2166"/>
      <c r="P81" s="2165"/>
      <c r="Q81" s="2158"/>
      <c r="R81" s="2145"/>
      <c r="S81" s="2145"/>
      <c r="T81" s="2145"/>
      <c r="U81" s="2145"/>
      <c r="V81" s="2145"/>
      <c r="W81" s="2145"/>
      <c r="X81" s="2145"/>
      <c r="Y81" s="2145"/>
      <c r="Z81" s="2145"/>
      <c r="AA81" s="2145"/>
      <c r="AB81" s="2145"/>
      <c r="AC81" s="2145"/>
    </row>
    <row r="82" spans="1:29" ht="15.75" thickTop="1">
      <c r="A82" s="667"/>
      <c r="B82" s="2619" t="s">
        <v>2562</v>
      </c>
      <c r="C82" s="2620" t="s">
        <v>2563</v>
      </c>
      <c r="D82" s="2620" t="s">
        <v>2564</v>
      </c>
      <c r="E82" s="2620" t="s">
        <v>2565</v>
      </c>
      <c r="F82" s="2620" t="s">
        <v>2566</v>
      </c>
      <c r="G82" s="2620" t="s">
        <v>2567</v>
      </c>
      <c r="H82" s="672"/>
      <c r="I82" s="672"/>
      <c r="J82" s="672"/>
      <c r="K82" s="672"/>
      <c r="L82" s="672"/>
      <c r="M82" s="2623"/>
      <c r="N82" s="2166"/>
      <c r="O82" s="2166"/>
      <c r="P82" s="2165"/>
      <c r="Q82" s="2158"/>
      <c r="R82" s="2145"/>
      <c r="S82" s="2145"/>
      <c r="T82" s="2145"/>
      <c r="U82" s="2145"/>
      <c r="V82" s="2145"/>
      <c r="W82" s="2145"/>
      <c r="X82" s="2145"/>
      <c r="Y82" s="2145"/>
      <c r="Z82" s="2145"/>
      <c r="AA82" s="2145"/>
      <c r="AB82" s="2145"/>
      <c r="AC82" s="2145"/>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6"/>
      <c r="O83" s="2166"/>
      <c r="P83" s="2165"/>
      <c r="Q83" s="2158"/>
      <c r="R83" s="2145"/>
      <c r="S83" s="2145"/>
      <c r="T83" s="2145"/>
      <c r="U83" s="2145"/>
      <c r="V83" s="2145"/>
      <c r="W83" s="2145"/>
      <c r="X83" s="2145"/>
      <c r="Y83" s="2145"/>
      <c r="Z83" s="2145"/>
      <c r="AA83" s="2145"/>
      <c r="AB83" s="2145"/>
      <c r="AC83" s="2145"/>
    </row>
    <row r="84" spans="1:29" ht="15.75" thickTop="1">
      <c r="A84" s="667"/>
      <c r="B84" s="671" t="s">
        <v>744</v>
      </c>
      <c r="C84" s="706" t="s">
        <v>579</v>
      </c>
      <c r="D84" s="706" t="s">
        <v>580</v>
      </c>
      <c r="E84" s="706" t="s">
        <v>581</v>
      </c>
      <c r="F84" s="706" t="s">
        <v>582</v>
      </c>
      <c r="G84" s="706" t="s">
        <v>583</v>
      </c>
      <c r="H84" s="672"/>
      <c r="I84" s="672"/>
      <c r="J84" s="672"/>
      <c r="K84" s="673"/>
      <c r="L84" s="674"/>
      <c r="M84" s="675"/>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7"/>
      <c r="B86" s="671" t="s">
        <v>771</v>
      </c>
      <c r="C86" s="686"/>
      <c r="D86" s="686"/>
      <c r="E86" s="686"/>
      <c r="F86" s="686"/>
      <c r="G86" s="686"/>
      <c r="H86" s="686"/>
      <c r="I86" s="686"/>
      <c r="J86" s="686"/>
      <c r="K86" s="686"/>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7"/>
      <c r="B88" s="671" t="str">
        <f>B26</f>
        <v>平面位置/可视性</v>
      </c>
      <c r="C88" s="686"/>
      <c r="D88" s="686"/>
      <c r="E88" s="686"/>
      <c r="F88" s="890"/>
      <c r="G88" s="686"/>
      <c r="H88" s="686"/>
      <c r="I88" s="686"/>
      <c r="J88" s="686"/>
      <c r="K88" s="686"/>
      <c r="L88" s="686"/>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7"/>
      <c r="B89" s="676"/>
      <c r="C89" s="690"/>
      <c r="D89" s="669"/>
      <c r="E89" s="669"/>
      <c r="F89" s="669"/>
      <c r="G89" s="669"/>
      <c r="H89" s="669"/>
      <c r="I89" s="669"/>
      <c r="J89" s="669"/>
      <c r="K89" s="669"/>
      <c r="L89" s="669"/>
      <c r="M89" s="669"/>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5"/>
      <c r="B90" s="671" t="str">
        <f>B27</f>
        <v>人流量</v>
      </c>
      <c r="C90" s="686"/>
      <c r="D90" s="686"/>
      <c r="E90" s="686"/>
      <c r="F90" s="686"/>
      <c r="G90" s="686"/>
      <c r="H90" s="687"/>
      <c r="I90" s="687"/>
      <c r="J90" s="687"/>
      <c r="K90" s="687"/>
      <c r="L90" s="688"/>
      <c r="M90" s="689"/>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7"/>
      <c r="B92" s="671" t="str">
        <f>B28</f>
        <v>楼层</v>
      </c>
      <c r="C92" s="686"/>
      <c r="D92" s="686"/>
      <c r="E92" s="686"/>
      <c r="F92" s="686"/>
      <c r="G92" s="686"/>
      <c r="H92" s="686"/>
      <c r="I92" s="686"/>
      <c r="J92" s="686"/>
      <c r="K92" s="686"/>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7"/>
      <c r="B93" s="676"/>
      <c r="C93" s="669"/>
      <c r="D93" s="669"/>
      <c r="E93" s="669"/>
      <c r="F93" s="669"/>
      <c r="G93" s="669"/>
      <c r="H93" s="669"/>
      <c r="I93" s="669"/>
      <c r="J93" s="669"/>
      <c r="K93" s="669"/>
      <c r="L93" s="669"/>
      <c r="M93" s="670"/>
      <c r="N93" s="2166"/>
      <c r="O93" s="2166"/>
      <c r="P93" s="2165"/>
      <c r="Q93" s="2158"/>
      <c r="R93" s="2145"/>
      <c r="S93" s="2145"/>
      <c r="T93" s="2145"/>
      <c r="U93" s="2145"/>
      <c r="V93" s="2145"/>
      <c r="W93" s="2145"/>
      <c r="X93" s="2145"/>
      <c r="Y93" s="2145"/>
      <c r="Z93" s="2145"/>
      <c r="AA93" s="2145"/>
      <c r="AB93" s="2145"/>
      <c r="AC93" s="2145"/>
    </row>
    <row r="94" spans="1:29" ht="15.75" thickTop="1">
      <c r="A94" s="667"/>
      <c r="B94" s="671">
        <f>B29</f>
        <v>111</v>
      </c>
      <c r="C94" s="686"/>
      <c r="D94" s="686"/>
      <c r="E94" s="686"/>
      <c r="F94" s="686"/>
      <c r="G94" s="716"/>
      <c r="H94" s="716"/>
      <c r="I94" s="716"/>
      <c r="J94" s="716"/>
      <c r="K94" s="717"/>
      <c r="L94" s="718"/>
      <c r="M94" s="719"/>
      <c r="N94" s="2164"/>
      <c r="O94" s="2164"/>
      <c r="P94" s="2165"/>
      <c r="Q94" s="2158"/>
      <c r="R94" s="2145"/>
      <c r="S94" s="2145"/>
      <c r="T94" s="2145"/>
      <c r="U94" s="2145"/>
      <c r="V94" s="2145"/>
      <c r="W94" s="2145"/>
      <c r="X94" s="2145"/>
      <c r="Y94" s="2145"/>
      <c r="Z94" s="2145"/>
      <c r="AA94" s="2145"/>
      <c r="AB94" s="2145"/>
      <c r="AC94" s="2145"/>
    </row>
    <row r="95" spans="1:29" ht="15.75" thickBot="1">
      <c r="A95" s="667"/>
      <c r="B95" s="676"/>
      <c r="C95" s="690"/>
      <c r="D95" s="669"/>
      <c r="E95" s="669"/>
      <c r="F95" s="669"/>
      <c r="G95" s="669"/>
      <c r="H95" s="669"/>
      <c r="I95" s="669"/>
      <c r="J95" s="669"/>
      <c r="K95" s="669"/>
      <c r="L95" s="669"/>
      <c r="M95" s="670"/>
      <c r="N95" s="2166"/>
      <c r="O95" s="2166"/>
      <c r="P95" s="2165"/>
      <c r="Q95" s="2158"/>
      <c r="R95" s="2145"/>
      <c r="S95" s="2145"/>
      <c r="T95" s="2145"/>
      <c r="U95" s="2145"/>
      <c r="V95" s="2145"/>
      <c r="W95" s="2145"/>
      <c r="X95" s="2145"/>
      <c r="Y95" s="2145"/>
      <c r="Z95" s="2145"/>
      <c r="AA95" s="2145"/>
      <c r="AB95" s="2145"/>
      <c r="AC95" s="2145"/>
    </row>
    <row r="96" spans="1:29" ht="15.75" thickTop="1">
      <c r="A96" s="667"/>
      <c r="B96" s="671">
        <f>B30</f>
        <v>111</v>
      </c>
      <c r="C96" s="686"/>
      <c r="D96" s="686"/>
      <c r="E96" s="686"/>
      <c r="F96" s="686"/>
      <c r="G96" s="716"/>
      <c r="H96" s="716"/>
      <c r="I96" s="716"/>
      <c r="J96" s="716"/>
      <c r="K96" s="717"/>
      <c r="L96" s="718"/>
      <c r="M96" s="719"/>
      <c r="N96" s="2164"/>
      <c r="O96" s="2164"/>
      <c r="P96" s="2165"/>
      <c r="Q96" s="2158"/>
      <c r="R96" s="2145"/>
      <c r="S96" s="2145"/>
      <c r="T96" s="2145"/>
      <c r="U96" s="2145"/>
      <c r="V96" s="2145"/>
      <c r="W96" s="2145"/>
      <c r="X96" s="2145"/>
      <c r="Y96" s="2145"/>
      <c r="Z96" s="2145"/>
      <c r="AA96" s="2145"/>
      <c r="AB96" s="2145"/>
      <c r="AC96" s="2145"/>
    </row>
    <row r="97" spans="1:29" ht="15.75" thickBot="1">
      <c r="A97" s="667"/>
      <c r="B97" s="676"/>
      <c r="C97" s="690"/>
      <c r="D97" s="669"/>
      <c r="E97" s="669"/>
      <c r="F97" s="669"/>
      <c r="G97" s="669"/>
      <c r="H97" s="669"/>
      <c r="I97" s="669"/>
      <c r="J97" s="669"/>
      <c r="K97" s="669"/>
      <c r="L97" s="669"/>
      <c r="M97" s="670"/>
      <c r="N97" s="2166"/>
      <c r="O97" s="2166"/>
      <c r="P97" s="2165"/>
      <c r="Q97" s="2158"/>
      <c r="R97" s="2145"/>
      <c r="S97" s="2145"/>
      <c r="T97" s="2145"/>
      <c r="U97" s="2145"/>
      <c r="V97" s="2145"/>
      <c r="W97" s="2145"/>
      <c r="X97" s="2145"/>
      <c r="Y97" s="2145"/>
      <c r="Z97" s="2145"/>
      <c r="AA97" s="2145"/>
      <c r="AB97" s="2145"/>
      <c r="AC97" s="2145"/>
    </row>
    <row r="98" spans="1:29" ht="15.75" thickTop="1">
      <c r="A98" s="667"/>
      <c r="B98" s="679">
        <f>B31</f>
        <v>111</v>
      </c>
      <c r="C98" s="686"/>
      <c r="D98" s="686"/>
      <c r="E98" s="686"/>
      <c r="F98" s="686"/>
      <c r="G98" s="720"/>
      <c r="H98" s="720"/>
      <c r="I98" s="720"/>
      <c r="J98" s="720"/>
      <c r="K98" s="721"/>
      <c r="L98" s="722"/>
      <c r="M98" s="723"/>
      <c r="N98" s="2164"/>
      <c r="O98" s="2164"/>
      <c r="P98" s="2165"/>
      <c r="Q98" s="2158"/>
      <c r="R98" s="2145"/>
      <c r="S98" s="2145"/>
      <c r="T98" s="2145"/>
      <c r="U98" s="2145"/>
      <c r="V98" s="2145"/>
      <c r="W98" s="2145"/>
      <c r="X98" s="2145"/>
      <c r="Y98" s="2145"/>
      <c r="Z98" s="2145"/>
      <c r="AA98" s="2145"/>
      <c r="AB98" s="2145"/>
      <c r="AC98" s="2145"/>
    </row>
    <row r="99" spans="1:29" ht="15.75" thickBot="1">
      <c r="A99" s="891"/>
      <c r="B99" s="697"/>
      <c r="C99" s="698"/>
      <c r="D99" s="698"/>
      <c r="E99" s="698"/>
      <c r="F99" s="698"/>
      <c r="G99" s="724"/>
      <c r="H99" s="724"/>
      <c r="I99" s="724"/>
      <c r="J99" s="724"/>
      <c r="K99" s="724"/>
      <c r="L99" s="724"/>
      <c r="M99" s="725"/>
      <c r="N99" s="2166"/>
      <c r="O99" s="2166"/>
      <c r="P99" s="2165"/>
      <c r="Q99" s="2158"/>
      <c r="R99" s="2145"/>
      <c r="S99" s="2145"/>
      <c r="T99" s="2145"/>
      <c r="U99" s="2145"/>
      <c r="V99" s="2145"/>
      <c r="W99" s="2145"/>
      <c r="X99" s="2145"/>
      <c r="Y99" s="2145"/>
      <c r="Z99" s="2145"/>
      <c r="AA99" s="2145"/>
      <c r="AB99" s="2145"/>
      <c r="AC99" s="2145"/>
    </row>
    <row r="100" spans="1:29">
      <c r="A100" s="662" t="s">
        <v>551</v>
      </c>
      <c r="B100" s="663" t="s">
        <v>772</v>
      </c>
      <c r="C100" s="596"/>
      <c r="D100" s="596"/>
      <c r="E100" s="596"/>
      <c r="F100" s="596"/>
      <c r="G100" s="596"/>
      <c r="H100" s="596"/>
      <c r="I100" s="596"/>
      <c r="J100" s="596"/>
      <c r="K100" s="664"/>
      <c r="L100" s="665"/>
      <c r="M100" s="666"/>
      <c r="N100" s="2164"/>
      <c r="O100" s="2164"/>
      <c r="P100" s="2165"/>
      <c r="Q100" s="2158"/>
      <c r="R100" s="2145"/>
      <c r="S100" s="2145"/>
      <c r="T100" s="2145"/>
      <c r="U100" s="2145"/>
      <c r="V100" s="2145"/>
      <c r="W100" s="2145"/>
      <c r="X100" s="2145"/>
      <c r="Y100" s="2145"/>
      <c r="Z100" s="2145"/>
      <c r="AA100" s="2145"/>
      <c r="AB100" s="2145"/>
      <c r="AC100" s="2145"/>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6"/>
      <c r="B103" s="727"/>
      <c r="C103" s="728"/>
      <c r="D103" s="728"/>
      <c r="E103" s="728"/>
      <c r="F103" s="728"/>
      <c r="G103" s="728"/>
      <c r="H103" s="728"/>
      <c r="I103" s="728"/>
      <c r="J103" s="729"/>
      <c r="K103" s="729"/>
      <c r="L103" s="730"/>
      <c r="M103" s="731"/>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5"/>
      <c r="B104" s="676"/>
      <c r="C104" s="690"/>
      <c r="D104" s="669"/>
      <c r="E104" s="669"/>
      <c r="F104" s="669"/>
      <c r="G104" s="669"/>
      <c r="H104" s="669"/>
      <c r="I104" s="669"/>
      <c r="J104" s="669"/>
      <c r="K104" s="669"/>
      <c r="L104" s="669"/>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3"/>
      <c r="B105" s="671" t="s">
        <v>749</v>
      </c>
      <c r="C105" s="686"/>
      <c r="D105" s="686"/>
      <c r="E105" s="716"/>
      <c r="F105" s="716"/>
      <c r="G105" s="716"/>
      <c r="H105" s="716"/>
      <c r="I105" s="716"/>
      <c r="J105" s="716"/>
      <c r="K105" s="717"/>
      <c r="L105" s="718"/>
      <c r="M105" s="719"/>
      <c r="N105" s="2164"/>
      <c r="O105" s="2164"/>
      <c r="P105" s="2165"/>
      <c r="Q105" s="2158"/>
      <c r="R105" s="2145"/>
      <c r="S105" s="2145"/>
      <c r="T105" s="2145"/>
      <c r="U105" s="2145"/>
      <c r="V105" s="2145"/>
      <c r="W105" s="2145"/>
      <c r="X105" s="2145"/>
      <c r="Y105" s="2145"/>
      <c r="Z105" s="2145"/>
      <c r="AA105" s="2145"/>
      <c r="AB105" s="2145"/>
      <c r="AC105" s="2145"/>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3"/>
      <c r="B107" s="671" t="s">
        <v>751</v>
      </c>
      <c r="C107" s="686"/>
      <c r="D107" s="686"/>
      <c r="E107" s="686"/>
      <c r="F107" s="716"/>
      <c r="G107" s="716"/>
      <c r="H107" s="716"/>
      <c r="I107" s="716"/>
      <c r="J107" s="716"/>
      <c r="K107" s="717"/>
      <c r="L107" s="718"/>
      <c r="M107" s="719"/>
      <c r="N107" s="2164"/>
      <c r="O107" s="2164"/>
      <c r="P107" s="2165"/>
      <c r="Q107" s="2158"/>
      <c r="R107" s="2145"/>
      <c r="S107" s="2145"/>
      <c r="T107" s="2145"/>
      <c r="U107" s="2145"/>
      <c r="V107" s="2145"/>
      <c r="W107" s="2145"/>
      <c r="X107" s="2145"/>
      <c r="Y107" s="2145"/>
      <c r="Z107" s="2145"/>
      <c r="AA107" s="2145"/>
      <c r="AB107" s="2145"/>
      <c r="AC107" s="2145"/>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4"/>
      <c r="O109" s="2164"/>
      <c r="P109" s="2165"/>
      <c r="Q109" s="2158"/>
      <c r="R109" s="2145"/>
      <c r="S109" s="2145"/>
      <c r="T109" s="2145"/>
      <c r="U109" s="2145"/>
      <c r="V109" s="2145"/>
      <c r="W109" s="2145"/>
      <c r="X109" s="2145"/>
      <c r="Y109" s="2145"/>
      <c r="Z109" s="2145"/>
      <c r="AA109" s="2145"/>
      <c r="AB109" s="2145"/>
      <c r="AC109" s="2145"/>
    </row>
    <row r="110" spans="1:29">
      <c r="A110" s="733"/>
      <c r="B110" s="679"/>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6"/>
      <c r="B112" s="1896" t="s">
        <v>2560</v>
      </c>
      <c r="C112" s="686"/>
      <c r="D112" s="686"/>
      <c r="E112" s="686"/>
      <c r="F112" s="686"/>
      <c r="G112" s="686"/>
      <c r="H112" s="716"/>
      <c r="I112" s="716"/>
      <c r="J112" s="716"/>
      <c r="K112" s="717"/>
      <c r="L112" s="718"/>
      <c r="M112" s="719"/>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3"/>
      <c r="B114" s="671" t="s">
        <v>773</v>
      </c>
      <c r="C114" s="686"/>
      <c r="D114" s="686"/>
      <c r="E114" s="716"/>
      <c r="F114" s="716"/>
      <c r="G114" s="716"/>
      <c r="H114" s="716"/>
      <c r="I114" s="716"/>
      <c r="J114" s="716"/>
      <c r="K114" s="717"/>
      <c r="L114" s="718"/>
      <c r="M114" s="719"/>
      <c r="N114" s="2164"/>
      <c r="O114" s="2164"/>
      <c r="P114" s="2165"/>
      <c r="Q114" s="2158"/>
      <c r="R114" s="2145"/>
      <c r="S114" s="2145"/>
      <c r="T114" s="2145"/>
      <c r="U114" s="2145"/>
      <c r="V114" s="2145"/>
      <c r="W114" s="2145"/>
      <c r="X114" s="2145"/>
      <c r="Y114" s="2145"/>
      <c r="Z114" s="2145"/>
      <c r="AA114" s="2145"/>
      <c r="AB114" s="2145"/>
      <c r="AC114" s="2145"/>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3"/>
      <c r="B116" s="671" t="s">
        <v>774</v>
      </c>
      <c r="C116" s="686"/>
      <c r="D116" s="686"/>
      <c r="E116" s="686"/>
      <c r="F116" s="686"/>
      <c r="G116" s="686"/>
      <c r="H116" s="716"/>
      <c r="I116" s="716"/>
      <c r="J116" s="716"/>
      <c r="K116" s="717"/>
      <c r="L116" s="718"/>
      <c r="M116" s="719"/>
      <c r="N116" s="2164"/>
      <c r="O116" s="2164"/>
      <c r="P116" s="2165"/>
      <c r="Q116" s="2158"/>
      <c r="R116" s="2145"/>
      <c r="S116" s="2145"/>
      <c r="T116" s="2145"/>
      <c r="U116" s="2145"/>
      <c r="V116" s="2145"/>
      <c r="W116" s="2145"/>
      <c r="X116" s="2145"/>
      <c r="Y116" s="2145"/>
      <c r="Z116" s="2145"/>
      <c r="AA116" s="2145"/>
      <c r="AB116" s="2145"/>
      <c r="AC116" s="2145"/>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6"/>
      <c r="O117" s="2166"/>
      <c r="P117" s="2165"/>
      <c r="Q117" s="2158"/>
      <c r="R117" s="2145"/>
      <c r="S117" s="2145"/>
      <c r="T117" s="2145"/>
      <c r="U117" s="2145"/>
      <c r="V117" s="2145"/>
      <c r="W117" s="2145"/>
      <c r="X117" s="2145"/>
      <c r="Y117" s="2145"/>
      <c r="Z117" s="2145"/>
      <c r="AA117" s="2145"/>
      <c r="AB117" s="2145"/>
      <c r="AC117" s="2145"/>
    </row>
    <row r="118" spans="1:29" ht="15" thickTop="1">
      <c r="A118" s="733"/>
      <c r="B118" s="671" t="s">
        <v>775</v>
      </c>
      <c r="C118" s="907"/>
      <c r="D118" s="907"/>
      <c r="E118" s="907"/>
      <c r="F118" s="907"/>
      <c r="G118" s="907"/>
      <c r="H118" s="687"/>
      <c r="I118" s="687"/>
      <c r="J118" s="687"/>
      <c r="K118" s="687"/>
      <c r="L118" s="688"/>
      <c r="M118" s="689"/>
      <c r="N118" s="2164"/>
      <c r="O118" s="2164"/>
      <c r="P118" s="2165"/>
      <c r="Q118" s="2158"/>
      <c r="R118" s="2145"/>
      <c r="S118" s="2145"/>
      <c r="T118" s="2145"/>
      <c r="U118" s="2145"/>
      <c r="V118" s="2145"/>
      <c r="W118" s="2145"/>
      <c r="X118" s="2145"/>
      <c r="Y118" s="2145"/>
      <c r="Z118" s="2145"/>
      <c r="AA118" s="2145"/>
      <c r="AB118" s="2145"/>
      <c r="AC118" s="2145"/>
    </row>
    <row r="119" spans="1:29" ht="15.75" thickBot="1">
      <c r="A119" s="667"/>
      <c r="B119" s="676"/>
      <c r="C119" s="690"/>
      <c r="D119" s="669"/>
      <c r="E119" s="669"/>
      <c r="F119" s="669"/>
      <c r="G119" s="669"/>
      <c r="H119" s="669"/>
      <c r="I119" s="669"/>
      <c r="J119" s="669"/>
      <c r="K119" s="669"/>
      <c r="L119" s="669"/>
      <c r="M119" s="670"/>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6"/>
      <c r="B120" s="671" t="s">
        <v>776</v>
      </c>
      <c r="C120" s="716"/>
      <c r="D120" s="716"/>
      <c r="E120" s="716"/>
      <c r="F120" s="716"/>
      <c r="G120" s="687"/>
      <c r="H120" s="687"/>
      <c r="I120" s="687"/>
      <c r="J120" s="687"/>
      <c r="K120" s="687"/>
      <c r="L120" s="688"/>
      <c r="M120" s="6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3"/>
      <c r="B122" s="671" t="s">
        <v>755</v>
      </c>
      <c r="C122" s="686"/>
      <c r="D122" s="686"/>
      <c r="E122" s="686"/>
      <c r="F122" s="716"/>
      <c r="G122" s="716"/>
      <c r="H122" s="716"/>
      <c r="I122" s="716"/>
      <c r="J122" s="716"/>
      <c r="K122" s="717"/>
      <c r="L122" s="718"/>
      <c r="M122" s="719"/>
      <c r="N122" s="2164"/>
      <c r="O122" s="2164"/>
      <c r="P122" s="2165"/>
      <c r="Q122" s="2158"/>
      <c r="R122" s="2145"/>
      <c r="S122" s="2145"/>
      <c r="T122" s="2145"/>
      <c r="U122" s="2145"/>
      <c r="V122" s="2145"/>
      <c r="W122" s="2145"/>
      <c r="X122" s="2145"/>
      <c r="Y122" s="2145"/>
      <c r="Z122" s="2145"/>
      <c r="AA122" s="2145"/>
      <c r="AB122" s="2145"/>
      <c r="AC122" s="2145"/>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3"/>
      <c r="B124" s="671" t="s">
        <v>756</v>
      </c>
      <c r="C124" s="706" t="s">
        <v>579</v>
      </c>
      <c r="D124" s="706" t="s">
        <v>580</v>
      </c>
      <c r="E124" s="706" t="s">
        <v>581</v>
      </c>
      <c r="F124" s="706" t="s">
        <v>582</v>
      </c>
      <c r="G124" s="706" t="s">
        <v>583</v>
      </c>
      <c r="H124" s="672"/>
      <c r="I124" s="672"/>
      <c r="J124" s="672"/>
      <c r="K124" s="673"/>
      <c r="L124" s="674"/>
      <c r="M124" s="675"/>
      <c r="N124" s="2164"/>
      <c r="O124" s="2164"/>
      <c r="P124" s="2168"/>
      <c r="Q124" s="2158"/>
      <c r="R124" s="2145"/>
      <c r="S124" s="2145"/>
      <c r="T124" s="2145"/>
      <c r="U124" s="2145"/>
      <c r="V124" s="2145"/>
      <c r="W124" s="2145"/>
      <c r="X124" s="2145"/>
      <c r="Y124" s="2145"/>
      <c r="Z124" s="2145"/>
      <c r="AA124" s="2145"/>
      <c r="AB124" s="2145"/>
      <c r="AC124" s="2145"/>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6"/>
      <c r="B126" s="671">
        <f>B44</f>
        <v>111</v>
      </c>
      <c r="C126" s="686"/>
      <c r="D126" s="686"/>
      <c r="E126" s="686"/>
      <c r="F126" s="686"/>
      <c r="G126" s="686"/>
      <c r="H126" s="687"/>
      <c r="I126" s="687"/>
      <c r="J126" s="687"/>
      <c r="K126" s="687"/>
      <c r="L126" s="688"/>
      <c r="M126" s="689"/>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5"/>
      <c r="B127" s="676"/>
      <c r="C127" s="690"/>
      <c r="D127" s="669"/>
      <c r="E127" s="669"/>
      <c r="F127" s="669"/>
      <c r="G127" s="690"/>
      <c r="H127" s="691"/>
      <c r="I127" s="691"/>
      <c r="J127" s="691"/>
      <c r="K127" s="691"/>
      <c r="L127" s="691"/>
      <c r="M127" s="692"/>
      <c r="N127" s="2167"/>
      <c r="O127" s="2167"/>
      <c r="P127" s="2168"/>
      <c r="Q127" s="2169"/>
      <c r="R127" s="2170"/>
      <c r="S127" s="2170"/>
      <c r="T127" s="2170"/>
      <c r="U127" s="2170"/>
      <c r="V127" s="2170"/>
      <c r="W127" s="2170"/>
      <c r="X127" s="2170"/>
      <c r="Y127" s="2170"/>
      <c r="Z127" s="2170"/>
      <c r="AA127" s="2170"/>
      <c r="AB127" s="2170"/>
      <c r="AC127" s="2170"/>
    </row>
    <row r="128" spans="1:29" ht="15" thickTop="1">
      <c r="A128" s="733"/>
      <c r="B128" s="671">
        <f>B45</f>
        <v>111</v>
      </c>
      <c r="C128" s="686"/>
      <c r="D128" s="686"/>
      <c r="E128" s="686"/>
      <c r="F128" s="686"/>
      <c r="G128" s="716"/>
      <c r="H128" s="716"/>
      <c r="I128" s="716"/>
      <c r="J128" s="716"/>
      <c r="K128" s="717"/>
      <c r="L128" s="718"/>
      <c r="M128" s="719"/>
      <c r="N128" s="2164"/>
      <c r="O128" s="2164"/>
      <c r="P128" s="2165"/>
      <c r="Q128" s="2158"/>
      <c r="R128" s="2145"/>
      <c r="S128" s="2145"/>
      <c r="T128" s="2145"/>
      <c r="U128" s="2145"/>
      <c r="V128" s="2145"/>
      <c r="W128" s="2145"/>
      <c r="X128" s="2145"/>
      <c r="Y128" s="2145"/>
      <c r="Z128" s="2145"/>
      <c r="AA128" s="2145"/>
      <c r="AB128" s="2145"/>
      <c r="AC128" s="2145"/>
    </row>
    <row r="129" spans="1:29" ht="15.75" thickBot="1">
      <c r="A129" s="667"/>
      <c r="B129" s="676"/>
      <c r="C129" s="690"/>
      <c r="D129" s="669"/>
      <c r="E129" s="669"/>
      <c r="F129" s="669"/>
      <c r="G129" s="669"/>
      <c r="H129" s="669"/>
      <c r="I129" s="669"/>
      <c r="J129" s="669"/>
      <c r="K129" s="669"/>
      <c r="L129" s="669"/>
      <c r="M129" s="670"/>
      <c r="N129" s="2166"/>
      <c r="O129" s="2166"/>
      <c r="P129" s="2165"/>
      <c r="Q129" s="2158"/>
      <c r="R129" s="2145"/>
      <c r="S129" s="2145"/>
      <c r="T129" s="2145"/>
      <c r="U129" s="2145"/>
      <c r="V129" s="2145"/>
      <c r="W129" s="2145"/>
      <c r="X129" s="2145"/>
      <c r="Y129" s="2145"/>
      <c r="Z129" s="2145"/>
      <c r="AA129" s="2145"/>
      <c r="AB129" s="2145"/>
      <c r="AC129" s="2145"/>
    </row>
    <row r="130" spans="1:29" ht="15" thickTop="1">
      <c r="A130" s="733"/>
      <c r="B130" s="679">
        <f>B46</f>
        <v>111</v>
      </c>
      <c r="C130" s="686"/>
      <c r="D130" s="686"/>
      <c r="E130" s="686"/>
      <c r="F130" s="686"/>
      <c r="G130" s="720"/>
      <c r="H130" s="720"/>
      <c r="I130" s="720"/>
      <c r="J130" s="720"/>
      <c r="K130" s="659"/>
      <c r="L130" s="660"/>
      <c r="M130" s="723"/>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7"/>
      <c r="C131" s="698"/>
      <c r="D131" s="698"/>
      <c r="E131" s="698"/>
      <c r="F131" s="698"/>
      <c r="G131" s="724"/>
      <c r="H131" s="724"/>
      <c r="I131" s="724"/>
      <c r="J131" s="724"/>
      <c r="K131" s="724"/>
      <c r="L131" s="724"/>
      <c r="M131" s="725"/>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opLeftCell="A24" zoomScale="80" zoomScaleNormal="80" workbookViewId="0">
      <selection activeCell="L54" sqref="L54"/>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777</v>
      </c>
      <c r="C1" s="502" t="s">
        <v>720</v>
      </c>
      <c r="D1" s="847" t="s">
        <v>1678</v>
      </c>
      <c r="E1" s="504"/>
      <c r="F1" s="2829" t="s">
        <v>3024</v>
      </c>
      <c r="G1" s="1600" t="s">
        <v>721</v>
      </c>
      <c r="H1" s="504"/>
      <c r="I1" s="504"/>
      <c r="J1" s="504"/>
      <c r="K1" s="505"/>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1" t="s">
        <v>467</v>
      </c>
      <c r="B2" s="848">
        <f>ROUND(B3*D3/10000,0)</f>
        <v>47136</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7" t="s">
        <v>519</v>
      </c>
      <c r="B3" s="508">
        <f>C50</f>
        <v>47136</v>
      </c>
      <c r="C3" s="850" t="s">
        <v>722</v>
      </c>
      <c r="D3" s="849">
        <f>SUMIF('数据-汇总表'!$C19:$C33,D1,'数据-汇总表'!$E19:$E33)</f>
        <v>10000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0" t="s">
        <v>521</v>
      </c>
      <c r="B4" s="511"/>
      <c r="C4" s="3503" t="s">
        <v>522</v>
      </c>
      <c r="D4" s="3504"/>
      <c r="E4" s="3537" t="s">
        <v>523</v>
      </c>
      <c r="F4" s="3538"/>
      <c r="G4" s="3503" t="s">
        <v>524</v>
      </c>
      <c r="H4" s="3504"/>
      <c r="I4" s="3503" t="s">
        <v>525</v>
      </c>
      <c r="J4" s="3504"/>
      <c r="K4" s="512" t="s">
        <v>526</v>
      </c>
      <c r="L4" s="2133"/>
      <c r="M4" s="2134"/>
      <c r="N4" s="2134"/>
      <c r="O4" s="2134"/>
      <c r="P4" s="3613" t="s">
        <v>527</v>
      </c>
      <c r="Q4" s="3506"/>
      <c r="R4" s="3511" t="s">
        <v>523</v>
      </c>
      <c r="S4" s="3512"/>
      <c r="T4" s="3511" t="s">
        <v>524</v>
      </c>
      <c r="U4" s="3512"/>
      <c r="V4" s="3498" t="s">
        <v>525</v>
      </c>
      <c r="W4" s="3498"/>
      <c r="X4" s="1566"/>
      <c r="Y4" s="3511" t="s">
        <v>527</v>
      </c>
      <c r="Z4" s="3512"/>
      <c r="AA4" s="3500" t="s">
        <v>523</v>
      </c>
      <c r="AB4" s="3500" t="s">
        <v>524</v>
      </c>
      <c r="AC4" s="3500" t="s">
        <v>525</v>
      </c>
    </row>
    <row r="5" spans="1:29" ht="15">
      <c r="A5" s="513"/>
      <c r="B5" s="514"/>
      <c r="C5" s="3519" t="s">
        <v>2930</v>
      </c>
      <c r="D5" s="3520"/>
      <c r="E5" s="3539" t="s">
        <v>2931</v>
      </c>
      <c r="F5" s="3540"/>
      <c r="G5" s="3519" t="s">
        <v>2932</v>
      </c>
      <c r="H5" s="3520"/>
      <c r="I5" s="3519" t="s">
        <v>2933</v>
      </c>
      <c r="J5" s="3520"/>
      <c r="K5" s="512"/>
      <c r="L5" s="2133"/>
      <c r="M5" s="2134"/>
      <c r="N5" s="2134"/>
      <c r="O5" s="2134"/>
      <c r="P5" s="3614"/>
      <c r="Q5" s="3508"/>
      <c r="R5" s="3513"/>
      <c r="S5" s="3514"/>
      <c r="T5" s="3513"/>
      <c r="U5" s="3514"/>
      <c r="V5" s="3498"/>
      <c r="W5" s="3498"/>
      <c r="X5" s="1566"/>
      <c r="Y5" s="3513"/>
      <c r="Z5" s="3514"/>
      <c r="AA5" s="3501"/>
      <c r="AB5" s="3501"/>
      <c r="AC5" s="3501"/>
    </row>
    <row r="6" spans="1:29" ht="15.75" customHeight="1" thickBot="1">
      <c r="A6" s="515"/>
      <c r="B6" s="516"/>
      <c r="C6" s="3617" t="s">
        <v>3099</v>
      </c>
      <c r="D6" s="3618"/>
      <c r="E6" s="3619" t="s">
        <v>3049</v>
      </c>
      <c r="F6" s="3536"/>
      <c r="G6" s="3616" t="s">
        <v>3116</v>
      </c>
      <c r="H6" s="3518"/>
      <c r="I6" s="3616" t="s">
        <v>3100</v>
      </c>
      <c r="J6" s="3518"/>
      <c r="K6" s="512" t="s">
        <v>528</v>
      </c>
      <c r="L6" s="2133"/>
      <c r="M6" s="2134"/>
      <c r="N6" s="2134"/>
      <c r="O6" s="2134"/>
      <c r="P6" s="3615"/>
      <c r="Q6" s="3510"/>
      <c r="R6" s="3513"/>
      <c r="S6" s="3514"/>
      <c r="T6" s="3515"/>
      <c r="U6" s="3516"/>
      <c r="V6" s="3498"/>
      <c r="W6" s="3498"/>
      <c r="X6" s="1566"/>
      <c r="Y6" s="3515"/>
      <c r="Z6" s="3516"/>
      <c r="AA6" s="3502"/>
      <c r="AB6" s="3502"/>
      <c r="AC6" s="3502"/>
    </row>
    <row r="7" spans="1:29" s="1218" customFormat="1" ht="15.75" thickBot="1">
      <c r="A7" s="2934"/>
      <c r="B7" s="2941" t="s">
        <v>529</v>
      </c>
      <c r="C7" s="517">
        <f>'数据-取费表'!B2</f>
        <v>43230</v>
      </c>
      <c r="D7" s="518">
        <v>100</v>
      </c>
      <c r="E7" s="519">
        <v>43221</v>
      </c>
      <c r="F7" s="520">
        <f>SUMIF(59:59,YEAR(E7)&amp;"-"&amp;MONTH(E7),60:60)</f>
        <v>100</v>
      </c>
      <c r="G7" s="519">
        <v>43221</v>
      </c>
      <c r="H7" s="518">
        <f>SUMIF(59:59,YEAR(G7)&amp;"-"&amp;MONTH(G7),60:60)</f>
        <v>100</v>
      </c>
      <c r="I7" s="519">
        <v>43221</v>
      </c>
      <c r="J7" s="518">
        <f>SUMIF(59:59,YEAR(I7)&amp;"-"&amp;MONTH(I7),60:60)</f>
        <v>100</v>
      </c>
      <c r="K7" s="522"/>
      <c r="L7" s="2135"/>
      <c r="M7" s="2136"/>
      <c r="N7" s="2136"/>
      <c r="O7" s="2136"/>
      <c r="P7" s="3530" t="s">
        <v>530</v>
      </c>
      <c r="Q7" s="3530"/>
      <c r="R7" s="1567" t="s">
        <v>8</v>
      </c>
      <c r="S7" s="1568">
        <f t="shared" ref="S7:S15" si="0">F7</f>
        <v>100</v>
      </c>
      <c r="T7" s="1567" t="s">
        <v>8</v>
      </c>
      <c r="U7" s="1568">
        <f t="shared" ref="U7:U15" si="1">H7</f>
        <v>100</v>
      </c>
      <c r="V7" s="1567" t="s">
        <v>8</v>
      </c>
      <c r="W7" s="1568">
        <f t="shared" ref="W7:W15" si="2">J7</f>
        <v>100</v>
      </c>
      <c r="X7" s="1569"/>
      <c r="Y7" s="3528" t="s">
        <v>530</v>
      </c>
      <c r="Z7" s="3529"/>
      <c r="AA7" s="1570">
        <f>D7/F7</f>
        <v>1</v>
      </c>
      <c r="AB7" s="1570">
        <f>D7/H7</f>
        <v>1</v>
      </c>
      <c r="AC7" s="1570">
        <f>D7/J7</f>
        <v>1</v>
      </c>
    </row>
    <row r="8" spans="1:29" s="1218" customFormat="1" ht="15.75" thickBot="1">
      <c r="A8" s="2935"/>
      <c r="B8" s="2942" t="s">
        <v>531</v>
      </c>
      <c r="C8" s="523" t="s">
        <v>576</v>
      </c>
      <c r="D8" s="518">
        <v>100</v>
      </c>
      <c r="E8" s="523" t="s">
        <v>3050</v>
      </c>
      <c r="F8" s="520">
        <f>SUMIF(62:62,E8,63:63)-SUMIF(62:62,C8,63:63)+100</f>
        <v>100</v>
      </c>
      <c r="G8" s="523" t="s">
        <v>3050</v>
      </c>
      <c r="H8" s="518">
        <f>SUMIF(62:62,G8,63:63)-SUMIF(62:62,C8,63:63)+100</f>
        <v>100</v>
      </c>
      <c r="I8" s="523" t="s">
        <v>3050</v>
      </c>
      <c r="J8" s="518">
        <f>SUMIF(62:62,I8,63:63)-SUMIF(62:62,C8,63:63)+100</f>
        <v>100</v>
      </c>
      <c r="K8" s="522"/>
      <c r="L8" s="2135"/>
      <c r="M8" s="2136"/>
      <c r="N8" s="2136"/>
      <c r="O8" s="2136"/>
      <c r="P8" s="3530" t="s">
        <v>533</v>
      </c>
      <c r="Q8" s="3529"/>
      <c r="R8" s="1567" t="s">
        <v>8</v>
      </c>
      <c r="S8" s="1568">
        <f t="shared" si="0"/>
        <v>100</v>
      </c>
      <c r="T8" s="1567" t="s">
        <v>8</v>
      </c>
      <c r="U8" s="1568">
        <f t="shared" si="1"/>
        <v>100</v>
      </c>
      <c r="V8" s="1567" t="s">
        <v>8</v>
      </c>
      <c r="W8" s="1568">
        <f t="shared" si="2"/>
        <v>100</v>
      </c>
      <c r="X8" s="1569"/>
      <c r="Y8" s="3528" t="s">
        <v>533</v>
      </c>
      <c r="Z8" s="3529"/>
      <c r="AA8" s="1570">
        <f t="shared" ref="AA8:AA47" si="3">D8/F8</f>
        <v>1</v>
      </c>
      <c r="AB8" s="1570">
        <f t="shared" ref="AB8:AB47" si="4">D8/H8</f>
        <v>1</v>
      </c>
      <c r="AC8" s="1570">
        <f t="shared" ref="AC8:AC47" si="5">D8/J8</f>
        <v>1</v>
      </c>
    </row>
    <row r="9" spans="1:29" s="1218" customFormat="1" ht="15">
      <c r="A9" s="2936"/>
      <c r="B9" s="2943" t="s">
        <v>2760</v>
      </c>
      <c r="C9" s="3194" t="s">
        <v>3025</v>
      </c>
      <c r="D9" s="252">
        <v>100</v>
      </c>
      <c r="E9" s="858" t="s">
        <v>1678</v>
      </c>
      <c r="F9" s="252">
        <f>SUMIF(64:64,E9,65:65)-SUMIF(64:64,C9,65:65)+100</f>
        <v>100</v>
      </c>
      <c r="G9" s="856" t="s">
        <v>1678</v>
      </c>
      <c r="H9" s="252">
        <f>SUMIF(64:64,G9,65:65)-SUMIF(64:64,C9,65:65)+100</f>
        <v>100</v>
      </c>
      <c r="I9" s="856" t="s">
        <v>1678</v>
      </c>
      <c r="J9" s="252">
        <f>SUMIF(64:64,I9,65:65)-SUMIF(64:64,C9,65:65)+100</f>
        <v>100</v>
      </c>
      <c r="K9" s="522"/>
      <c r="L9" s="2135"/>
      <c r="M9" s="2136"/>
      <c r="N9" s="2136"/>
      <c r="O9" s="2136"/>
      <c r="P9" s="3497" t="s">
        <v>535</v>
      </c>
      <c r="Q9" s="1149" t="str">
        <f t="shared" ref="Q9:Q15" si="6">B9</f>
        <v>用途</v>
      </c>
      <c r="R9" s="1567" t="s">
        <v>8</v>
      </c>
      <c r="S9" s="1568">
        <f t="shared" si="0"/>
        <v>100</v>
      </c>
      <c r="T9" s="1567" t="s">
        <v>8</v>
      </c>
      <c r="U9" s="1568">
        <f t="shared" si="1"/>
        <v>100</v>
      </c>
      <c r="V9" s="1567" t="s">
        <v>8</v>
      </c>
      <c r="W9" s="1568">
        <f t="shared" si="2"/>
        <v>100</v>
      </c>
      <c r="X9" s="1569"/>
      <c r="Y9" s="3380" t="s">
        <v>536</v>
      </c>
      <c r="Z9" s="1148" t="str">
        <f t="shared" ref="Z9:Z15" si="7">Q9</f>
        <v>用途</v>
      </c>
      <c r="AA9" s="1570">
        <f t="shared" si="3"/>
        <v>1</v>
      </c>
      <c r="AB9" s="1570">
        <f t="shared" si="4"/>
        <v>1</v>
      </c>
      <c r="AC9" s="1570">
        <f t="shared" si="5"/>
        <v>1</v>
      </c>
    </row>
    <row r="10" spans="1:29" s="1336" customFormat="1" ht="27.75" thickBot="1">
      <c r="A10" s="2937"/>
      <c r="B10" s="2942" t="s">
        <v>2761</v>
      </c>
      <c r="C10" s="859" t="s">
        <v>3026</v>
      </c>
      <c r="D10" s="253">
        <v>100</v>
      </c>
      <c r="E10" s="859" t="s">
        <v>3051</v>
      </c>
      <c r="F10" s="253">
        <f>SUMIF(66:66,E10,67:67)-SUMIF(66:66,C10,67:67)+100</f>
        <v>99</v>
      </c>
      <c r="G10" s="860" t="s">
        <v>3051</v>
      </c>
      <c r="H10" s="253">
        <f>SUMIF(66:66,G10,67:67)-SUMIF(66:66,C10,67:67)+100</f>
        <v>99</v>
      </c>
      <c r="I10" s="859" t="s">
        <v>3051</v>
      </c>
      <c r="J10" s="253">
        <f>SUMIF(66:66,I10,67:67)-SUMIF(66:66,C10,67:67)+100</f>
        <v>99</v>
      </c>
      <c r="K10" s="582">
        <v>1</v>
      </c>
      <c r="L10" s="2138"/>
      <c r="M10" s="2178"/>
      <c r="N10" s="2178"/>
      <c r="O10" s="2178"/>
      <c r="P10" s="3497"/>
      <c r="Q10" s="1149" t="str">
        <f t="shared" si="6"/>
        <v>土地使用年限（年）</v>
      </c>
      <c r="R10" s="1567" t="s">
        <v>8</v>
      </c>
      <c r="S10" s="1568">
        <f t="shared" si="0"/>
        <v>99</v>
      </c>
      <c r="T10" s="1567" t="s">
        <v>8</v>
      </c>
      <c r="U10" s="1568">
        <f t="shared" si="1"/>
        <v>99</v>
      </c>
      <c r="V10" s="1567" t="s">
        <v>8</v>
      </c>
      <c r="W10" s="1568">
        <f t="shared" si="2"/>
        <v>99</v>
      </c>
      <c r="X10" s="1569"/>
      <c r="Y10" s="3380"/>
      <c r="Z10" s="1148" t="str">
        <f t="shared" si="7"/>
        <v>土地使用年限（年）</v>
      </c>
      <c r="AA10" s="1570">
        <f t="shared" si="3"/>
        <v>1.0101010101010102</v>
      </c>
      <c r="AB10" s="1570">
        <f t="shared" si="4"/>
        <v>1.0101010101010102</v>
      </c>
      <c r="AC10" s="1570">
        <f t="shared" si="5"/>
        <v>1.0101010101010102</v>
      </c>
    </row>
    <row r="11" spans="1:29" ht="15" hidden="1">
      <c r="A11" s="2938"/>
      <c r="B11" s="2942" t="s">
        <v>2762</v>
      </c>
      <c r="C11" s="531">
        <v>100</v>
      </c>
      <c r="D11" s="253">
        <v>100</v>
      </c>
      <c r="E11" s="531">
        <v>100</v>
      </c>
      <c r="F11" s="253">
        <f>LOOKUP(E11,69:69,70:70)-LOOKUP(C11,69:69,70:70)+100</f>
        <v>100</v>
      </c>
      <c r="G11" s="532">
        <v>100</v>
      </c>
      <c r="H11" s="253">
        <f>LOOKUP(G11,69:69,70:70)-LOOKUP(C11,69:69,70:70)+100</f>
        <v>100</v>
      </c>
      <c r="I11" s="531">
        <v>100</v>
      </c>
      <c r="J11" s="253">
        <f>LOOKUP(I11,69:69,70:70)-LOOKUP(C11,69:69,70:70)+100</f>
        <v>100</v>
      </c>
      <c r="K11" s="582"/>
      <c r="L11" s="2140"/>
      <c r="M11" s="2134"/>
      <c r="N11" s="2134"/>
      <c r="O11" s="2134"/>
      <c r="P11" s="3497"/>
      <c r="Q11" s="1149" t="str">
        <f t="shared" si="6"/>
        <v>容积率</v>
      </c>
      <c r="R11" s="1567" t="s">
        <v>8</v>
      </c>
      <c r="S11" s="1568">
        <f t="shared" si="0"/>
        <v>100</v>
      </c>
      <c r="T11" s="1567" t="s">
        <v>8</v>
      </c>
      <c r="U11" s="1568">
        <f t="shared" si="1"/>
        <v>100</v>
      </c>
      <c r="V11" s="1567" t="s">
        <v>8</v>
      </c>
      <c r="W11" s="1568">
        <f t="shared" si="2"/>
        <v>100</v>
      </c>
      <c r="X11" s="1569"/>
      <c r="Y11" s="3380"/>
      <c r="Z11" s="1148" t="str">
        <f t="shared" si="7"/>
        <v>容积率</v>
      </c>
      <c r="AA11" s="1570">
        <f t="shared" si="3"/>
        <v>1</v>
      </c>
      <c r="AB11" s="1570">
        <f t="shared" si="4"/>
        <v>1</v>
      </c>
      <c r="AC11" s="1570">
        <f t="shared" si="5"/>
        <v>1</v>
      </c>
    </row>
    <row r="12" spans="1:29" s="1218" customFormat="1" ht="15" hidden="1">
      <c r="A12" s="2939"/>
      <c r="B12" s="2945">
        <v>111</v>
      </c>
      <c r="C12" s="526"/>
      <c r="D12" s="536">
        <v>100</v>
      </c>
      <c r="E12" s="526"/>
      <c r="F12" s="253">
        <f>SUMIF(71:71,E12,72:72)-SUMIF(71:71,C12,72:72)+100</f>
        <v>100</v>
      </c>
      <c r="G12" s="908"/>
      <c r="H12" s="253">
        <f>SUMIF(71:71,G12,72:72)-SUMIF(71:71,C12,72:72)+100</f>
        <v>100</v>
      </c>
      <c r="I12" s="526"/>
      <c r="J12" s="253">
        <f>SUMIF(71:71,I12,72:72)-SUMIF(71:71,C12,72:72)+100</f>
        <v>100</v>
      </c>
      <c r="K12" s="579"/>
      <c r="L12" s="2135"/>
      <c r="M12" s="2136"/>
      <c r="N12" s="2136"/>
      <c r="O12" s="2136"/>
      <c r="P12" s="3497"/>
      <c r="Q12" s="1149">
        <f t="shared" si="6"/>
        <v>111</v>
      </c>
      <c r="R12" s="1567" t="s">
        <v>8</v>
      </c>
      <c r="S12" s="1568">
        <f t="shared" si="0"/>
        <v>100</v>
      </c>
      <c r="T12" s="1567" t="s">
        <v>8</v>
      </c>
      <c r="U12" s="1568">
        <f t="shared" si="1"/>
        <v>100</v>
      </c>
      <c r="V12" s="1567" t="s">
        <v>8</v>
      </c>
      <c r="W12" s="1568">
        <f t="shared" si="2"/>
        <v>100</v>
      </c>
      <c r="X12" s="1569"/>
      <c r="Y12" s="3380"/>
      <c r="Z12" s="1148">
        <f t="shared" si="7"/>
        <v>111</v>
      </c>
      <c r="AA12" s="1570">
        <f>D12/F12</f>
        <v>1</v>
      </c>
      <c r="AB12" s="1570">
        <f>D12/H12</f>
        <v>1</v>
      </c>
      <c r="AC12" s="1570">
        <f>D12/J12</f>
        <v>1</v>
      </c>
    </row>
    <row r="13" spans="1:29" ht="15" hidden="1">
      <c r="A13" s="2939"/>
      <c r="B13" s="2945">
        <v>111</v>
      </c>
      <c r="C13" s="537"/>
      <c r="D13" s="538">
        <v>100</v>
      </c>
      <c r="E13" s="526"/>
      <c r="F13" s="253">
        <f>SUMIF(73:73,E13,74:74)-SUMIF(73:73,C13,74:74)+100</f>
        <v>100</v>
      </c>
      <c r="G13" s="908"/>
      <c r="H13" s="538">
        <f>SUMIF(73:73,G13,74:74)-SUMIF(73:73,C13,74:74)+100</f>
        <v>100</v>
      </c>
      <c r="I13" s="526"/>
      <c r="J13" s="538">
        <f>SUMIF(73:73,I13,74:74)-SUMIF(73:73,C13,74:74)+100</f>
        <v>100</v>
      </c>
      <c r="K13" s="579"/>
      <c r="L13" s="2142"/>
      <c r="M13" s="2134"/>
      <c r="N13" s="2134"/>
      <c r="O13" s="2134"/>
      <c r="P13" s="3497"/>
      <c r="Q13" s="1149">
        <f t="shared" si="6"/>
        <v>111</v>
      </c>
      <c r="R13" s="1567" t="s">
        <v>8</v>
      </c>
      <c r="S13" s="1568">
        <f t="shared" si="0"/>
        <v>100</v>
      </c>
      <c r="T13" s="1567" t="s">
        <v>8</v>
      </c>
      <c r="U13" s="1568">
        <f t="shared" si="1"/>
        <v>100</v>
      </c>
      <c r="V13" s="1567" t="s">
        <v>8</v>
      </c>
      <c r="W13" s="1568">
        <f t="shared" si="2"/>
        <v>100</v>
      </c>
      <c r="X13" s="1569"/>
      <c r="Y13" s="3380"/>
      <c r="Z13" s="1148">
        <f t="shared" si="7"/>
        <v>111</v>
      </c>
      <c r="AA13" s="1570">
        <f t="shared" si="3"/>
        <v>1</v>
      </c>
      <c r="AB13" s="1570">
        <f t="shared" si="4"/>
        <v>1</v>
      </c>
      <c r="AC13" s="1570">
        <f t="shared" si="5"/>
        <v>1</v>
      </c>
    </row>
    <row r="14" spans="1:29" ht="15.75" hidden="1" thickBot="1">
      <c r="A14" s="2940"/>
      <c r="B14" s="2946">
        <v>111</v>
      </c>
      <c r="C14" s="543"/>
      <c r="D14" s="544">
        <v>100</v>
      </c>
      <c r="E14" s="909"/>
      <c r="F14" s="544">
        <f>SUMIF(75:75,E14,76:76)-SUMIF(75:75,C14,76:76)+100</f>
        <v>100</v>
      </c>
      <c r="G14" s="908"/>
      <c r="H14" s="544">
        <f>SUMIF(75:75,G14,76:76)-SUMIF(75:75,C14,76:76)+100</f>
        <v>100</v>
      </c>
      <c r="I14" s="526"/>
      <c r="J14" s="544">
        <f>SUMIF(75:75,I14,76:76)-SUMIF(75:75,C14,76:76)+100</f>
        <v>100</v>
      </c>
      <c r="K14" s="579"/>
      <c r="L14" s="2142"/>
      <c r="M14" s="2134"/>
      <c r="N14" s="2134"/>
      <c r="O14" s="2134"/>
      <c r="P14" s="3497"/>
      <c r="Q14" s="1149">
        <f t="shared" si="6"/>
        <v>111</v>
      </c>
      <c r="R14" s="1567" t="s">
        <v>8</v>
      </c>
      <c r="S14" s="1568">
        <f t="shared" si="0"/>
        <v>100</v>
      </c>
      <c r="T14" s="1567" t="s">
        <v>8</v>
      </c>
      <c r="U14" s="1568">
        <f t="shared" si="1"/>
        <v>100</v>
      </c>
      <c r="V14" s="1567" t="s">
        <v>8</v>
      </c>
      <c r="W14" s="1568">
        <f t="shared" si="2"/>
        <v>100</v>
      </c>
      <c r="X14" s="1569"/>
      <c r="Y14" s="3380"/>
      <c r="Z14" s="1148">
        <f t="shared" si="7"/>
        <v>111</v>
      </c>
      <c r="AA14" s="1570">
        <f t="shared" si="3"/>
        <v>1</v>
      </c>
      <c r="AB14" s="1570">
        <f t="shared" si="4"/>
        <v>1</v>
      </c>
      <c r="AC14" s="1570">
        <f t="shared" si="5"/>
        <v>1</v>
      </c>
    </row>
    <row r="15" spans="1:29" ht="99.75">
      <c r="A15" s="2932" t="s">
        <v>2758</v>
      </c>
      <c r="B15" s="545" t="s">
        <v>542</v>
      </c>
      <c r="C15" s="546" t="str">
        <f>估价对象房地状况!C5</f>
        <v>估价对象位于西直门商圈，估价对象周边主要以居住为主，办公楼项目较少，办公集聚程度一般。</v>
      </c>
      <c r="D15" s="547">
        <v>100</v>
      </c>
      <c r="E15" s="3244" t="s">
        <v>3104</v>
      </c>
      <c r="F15" s="547">
        <f>SUMIF(77:77,E16,78:78)-SUMIF(77:77,C16,78:78)+100</f>
        <v>102</v>
      </c>
      <c r="G15" s="3245" t="s">
        <v>3105</v>
      </c>
      <c r="H15" s="547">
        <f>SUMIF(77:77,G16,78:78)-SUMIF(77:77,C16,78:78)+100</f>
        <v>102</v>
      </c>
      <c r="I15" s="3245" t="s">
        <v>3096</v>
      </c>
      <c r="J15" s="547">
        <f>SUMIF(77:77,I16,78:78)-SUMIF(77:77,C16,78:78)+100</f>
        <v>102</v>
      </c>
      <c r="K15" s="896">
        <v>2</v>
      </c>
      <c r="L15" s="2142"/>
      <c r="M15" s="2134"/>
      <c r="N15" s="2134"/>
      <c r="O15" s="2134"/>
      <c r="P15" s="3531" t="s">
        <v>540</v>
      </c>
      <c r="Q15" s="1571" t="str">
        <f t="shared" si="6"/>
        <v>办公集聚程度</v>
      </c>
      <c r="R15" s="1572" t="s">
        <v>8</v>
      </c>
      <c r="S15" s="1573">
        <f t="shared" si="0"/>
        <v>102</v>
      </c>
      <c r="T15" s="1572" t="s">
        <v>8</v>
      </c>
      <c r="U15" s="1573">
        <f t="shared" si="1"/>
        <v>102</v>
      </c>
      <c r="V15" s="1572" t="s">
        <v>8</v>
      </c>
      <c r="W15" s="1573">
        <f t="shared" si="2"/>
        <v>102</v>
      </c>
      <c r="X15" s="1566"/>
      <c r="Y15" s="3531" t="s">
        <v>540</v>
      </c>
      <c r="Z15" s="1574" t="str">
        <f t="shared" si="7"/>
        <v>办公集聚程度</v>
      </c>
      <c r="AA15" s="1575">
        <f t="shared" si="3"/>
        <v>0.98039215686274506</v>
      </c>
      <c r="AB15" s="1575">
        <f t="shared" si="4"/>
        <v>0.98039215686274506</v>
      </c>
      <c r="AC15" s="1575">
        <f t="shared" si="5"/>
        <v>0.98039215686274506</v>
      </c>
    </row>
    <row r="16" spans="1:29" ht="15">
      <c r="A16" s="530"/>
      <c r="B16" s="551"/>
      <c r="C16" s="552" t="s">
        <v>3052</v>
      </c>
      <c r="D16" s="553"/>
      <c r="E16" s="574" t="s">
        <v>3027</v>
      </c>
      <c r="F16" s="553"/>
      <c r="G16" s="552" t="s">
        <v>3027</v>
      </c>
      <c r="H16" s="557"/>
      <c r="I16" s="574" t="s">
        <v>3027</v>
      </c>
      <c r="J16" s="553"/>
      <c r="K16" s="897"/>
      <c r="L16" s="2142"/>
      <c r="M16" s="2134"/>
      <c r="N16" s="2134"/>
      <c r="O16" s="2134"/>
      <c r="P16" s="3532"/>
      <c r="Q16" s="1571"/>
      <c r="R16" s="1572"/>
      <c r="S16" s="1573"/>
      <c r="T16" s="1572"/>
      <c r="U16" s="1573"/>
      <c r="V16" s="1572"/>
      <c r="W16" s="1573"/>
      <c r="X16" s="1566"/>
      <c r="Y16" s="3532"/>
      <c r="Z16" s="1574"/>
      <c r="AA16" s="1575">
        <v>1</v>
      </c>
      <c r="AB16" s="1575">
        <v>1</v>
      </c>
      <c r="AC16" s="1575">
        <v>1</v>
      </c>
    </row>
    <row r="17" spans="1:29" ht="294">
      <c r="A17" s="530"/>
      <c r="B17" s="558" t="s">
        <v>296</v>
      </c>
      <c r="C17" s="571" t="str">
        <f>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7" s="557">
        <v>100</v>
      </c>
      <c r="E17" s="562" t="s">
        <v>3098</v>
      </c>
      <c r="F17" s="557">
        <f>SUMIF(79:79,E18,80:80)-SUMIF(79:79,C18,80:80)+100</f>
        <v>100</v>
      </c>
      <c r="G17" s="560" t="s">
        <v>3106</v>
      </c>
      <c r="H17" s="563">
        <f>SUMIF(79:79,G18,80:80)-SUMIF(79:79,C18,80:80)+100</f>
        <v>100</v>
      </c>
      <c r="I17" s="562" t="s">
        <v>3107</v>
      </c>
      <c r="J17" s="563">
        <f>SUMIF(79:79,I18,80:80)-SUMIF(79:79,C18,80:80)+100</f>
        <v>99</v>
      </c>
      <c r="K17" s="896">
        <v>1</v>
      </c>
      <c r="L17" s="2142"/>
      <c r="M17" s="2134"/>
      <c r="N17" s="2134"/>
      <c r="O17" s="2134"/>
      <c r="P17" s="3532"/>
      <c r="Q17" s="1571" t="str">
        <f>B17</f>
        <v>交通便捷度</v>
      </c>
      <c r="R17" s="1572" t="s">
        <v>8</v>
      </c>
      <c r="S17" s="1573">
        <f>F17</f>
        <v>100</v>
      </c>
      <c r="T17" s="1572" t="s">
        <v>8</v>
      </c>
      <c r="U17" s="1573">
        <f>H17</f>
        <v>100</v>
      </c>
      <c r="V17" s="1572" t="s">
        <v>8</v>
      </c>
      <c r="W17" s="1573">
        <f>J17</f>
        <v>99</v>
      </c>
      <c r="X17" s="1566"/>
      <c r="Y17" s="3532"/>
      <c r="Z17" s="1574" t="str">
        <f>Q17</f>
        <v>交通便捷度</v>
      </c>
      <c r="AA17" s="1575">
        <f t="shared" si="3"/>
        <v>1</v>
      </c>
      <c r="AB17" s="1575">
        <f t="shared" si="4"/>
        <v>1</v>
      </c>
      <c r="AC17" s="1575">
        <f t="shared" si="5"/>
        <v>1.0101010101010102</v>
      </c>
    </row>
    <row r="18" spans="1:29" ht="15">
      <c r="A18" s="530"/>
      <c r="B18" s="564"/>
      <c r="C18" s="565" t="s">
        <v>3027</v>
      </c>
      <c r="D18" s="557"/>
      <c r="E18" s="567" t="s">
        <v>3027</v>
      </c>
      <c r="F18" s="557"/>
      <c r="G18" s="566" t="s">
        <v>3027</v>
      </c>
      <c r="H18" s="553"/>
      <c r="I18" s="566" t="s">
        <v>3052</v>
      </c>
      <c r="J18" s="553"/>
      <c r="K18" s="897"/>
      <c r="L18" s="2142"/>
      <c r="M18" s="2134"/>
      <c r="N18" s="2134"/>
      <c r="O18" s="2134"/>
      <c r="P18" s="3532"/>
      <c r="Q18" s="1571"/>
      <c r="R18" s="1572"/>
      <c r="S18" s="1573"/>
      <c r="T18" s="1572"/>
      <c r="U18" s="1573"/>
      <c r="V18" s="1572"/>
      <c r="W18" s="1573"/>
      <c r="X18" s="1566"/>
      <c r="Y18" s="3532"/>
      <c r="Z18" s="1574"/>
      <c r="AA18" s="1575">
        <v>1</v>
      </c>
      <c r="AB18" s="1575">
        <v>1</v>
      </c>
      <c r="AC18" s="1575">
        <v>1</v>
      </c>
    </row>
    <row r="19" spans="1:29" ht="42.75">
      <c r="A19" s="530"/>
      <c r="B19" s="2625" t="s">
        <v>2550</v>
      </c>
      <c r="C19" s="571" t="str">
        <f>估价对象房地状况!C7</f>
        <v>估价对象所在区域公共配套设施齐备</v>
      </c>
      <c r="D19" s="563">
        <v>100</v>
      </c>
      <c r="E19" s="3195" t="s">
        <v>3094</v>
      </c>
      <c r="F19" s="563">
        <f>SUMIF(81:81,E20,82:82)-SUMIF(81:81,C20,82:82)+100</f>
        <v>100</v>
      </c>
      <c r="G19" s="3195" t="s">
        <v>3094</v>
      </c>
      <c r="H19" s="557">
        <f>SUMIF(81:81,G20,82:82)-SUMIF(81:81,C20,82:82)+100</f>
        <v>100</v>
      </c>
      <c r="I19" s="3195" t="s">
        <v>3094</v>
      </c>
      <c r="J19" s="557">
        <f>SUMIF(81:81,I20,82:82)-SUMIF(81:81,C20,82:82)+100</f>
        <v>100</v>
      </c>
      <c r="K19" s="896"/>
      <c r="L19" s="2142"/>
      <c r="M19" s="2134"/>
      <c r="N19" s="2134"/>
      <c r="O19" s="2134"/>
      <c r="P19" s="3532"/>
      <c r="Q19" s="1571" t="str">
        <f>B19</f>
        <v>公共配套设施</v>
      </c>
      <c r="R19" s="1572" t="s">
        <v>8</v>
      </c>
      <c r="S19" s="1573">
        <f>F19</f>
        <v>100</v>
      </c>
      <c r="T19" s="1572" t="s">
        <v>8</v>
      </c>
      <c r="U19" s="1573">
        <f>H19</f>
        <v>100</v>
      </c>
      <c r="V19" s="1572" t="s">
        <v>8</v>
      </c>
      <c r="W19" s="1573">
        <f>J19</f>
        <v>100</v>
      </c>
      <c r="X19" s="1566"/>
      <c r="Y19" s="3532"/>
      <c r="Z19" s="1574" t="str">
        <f>Q19</f>
        <v>公共配套设施</v>
      </c>
      <c r="AA19" s="1575">
        <f t="shared" si="3"/>
        <v>1</v>
      </c>
      <c r="AB19" s="1575">
        <f t="shared" si="4"/>
        <v>1</v>
      </c>
      <c r="AC19" s="1575">
        <f t="shared" si="5"/>
        <v>1</v>
      </c>
    </row>
    <row r="20" spans="1:29" ht="15">
      <c r="A20" s="530"/>
      <c r="B20" s="564"/>
      <c r="C20" s="552" t="s">
        <v>3028</v>
      </c>
      <c r="D20" s="553"/>
      <c r="E20" s="556" t="s">
        <v>3028</v>
      </c>
      <c r="F20" s="553"/>
      <c r="G20" s="554" t="s">
        <v>3028</v>
      </c>
      <c r="H20" s="553"/>
      <c r="I20" s="554" t="s">
        <v>3028</v>
      </c>
      <c r="J20" s="553"/>
      <c r="K20" s="897"/>
      <c r="L20" s="2142"/>
      <c r="M20" s="2134"/>
      <c r="N20" s="2134"/>
      <c r="O20" s="2134"/>
      <c r="P20" s="3532"/>
      <c r="Q20" s="1571"/>
      <c r="R20" s="1572"/>
      <c r="S20" s="1573"/>
      <c r="T20" s="1572"/>
      <c r="U20" s="1573"/>
      <c r="V20" s="1572"/>
      <c r="W20" s="1573"/>
      <c r="X20" s="1566"/>
      <c r="Y20" s="3532"/>
      <c r="Z20" s="1574"/>
      <c r="AA20" s="1575">
        <v>1</v>
      </c>
      <c r="AB20" s="1575">
        <v>1</v>
      </c>
      <c r="AC20" s="1575">
        <v>1</v>
      </c>
    </row>
    <row r="21" spans="1:29" ht="42.75">
      <c r="A21" s="530"/>
      <c r="B21" s="2613" t="s">
        <v>2562</v>
      </c>
      <c r="C21" s="571" t="str">
        <f>估价对象房地状况!C8</f>
        <v>估价对象所在区域基础设施水平达到七通</v>
      </c>
      <c r="D21" s="563">
        <v>100</v>
      </c>
      <c r="E21" s="3195" t="s">
        <v>3095</v>
      </c>
      <c r="F21" s="563">
        <f>SUMIF(83:83,E22,84:84)-SUMIF(83:83,C22,84:84)+100</f>
        <v>100</v>
      </c>
      <c r="G21" s="3195" t="s">
        <v>3095</v>
      </c>
      <c r="H21" s="563">
        <f>SUMIF(83:83,G22,84:84)-SUMIF(83:83,C22,84:84)+100</f>
        <v>100</v>
      </c>
      <c r="I21" s="3195" t="s">
        <v>3095</v>
      </c>
      <c r="J21" s="563">
        <f>SUMIF(83:83,I22,84:84)-SUMIF(83:83,C22,84:84)+100</f>
        <v>100</v>
      </c>
      <c r="K21" s="896"/>
      <c r="L21" s="2142"/>
      <c r="M21" s="2134"/>
      <c r="N21" s="2134"/>
      <c r="O21" s="2134"/>
      <c r="P21" s="3532"/>
      <c r="Q21" s="2601" t="str">
        <f>B21</f>
        <v>基础设施水平</v>
      </c>
      <c r="R21" s="1572" t="s">
        <v>8</v>
      </c>
      <c r="S21" s="1573">
        <f>F21</f>
        <v>100</v>
      </c>
      <c r="T21" s="1572" t="s">
        <v>8</v>
      </c>
      <c r="U21" s="1573">
        <f>H21</f>
        <v>100</v>
      </c>
      <c r="V21" s="1572" t="s">
        <v>8</v>
      </c>
      <c r="W21" s="1573">
        <f>J21</f>
        <v>100</v>
      </c>
      <c r="X21" s="2603"/>
      <c r="Y21" s="3532"/>
      <c r="Z21" s="2602" t="str">
        <f>Q21</f>
        <v>基础设施水平</v>
      </c>
      <c r="AA21" s="1575">
        <f t="shared" ref="AA21" si="8">D21/F21</f>
        <v>1</v>
      </c>
      <c r="AB21" s="1575">
        <f t="shared" ref="AB21" si="9">D21/H21</f>
        <v>1</v>
      </c>
      <c r="AC21" s="1575">
        <f t="shared" ref="AC21" si="10">D21/J21</f>
        <v>1</v>
      </c>
    </row>
    <row r="22" spans="1:29" ht="15">
      <c r="A22" s="530"/>
      <c r="B22" s="576"/>
      <c r="C22" s="565" t="s">
        <v>3029</v>
      </c>
      <c r="D22" s="553"/>
      <c r="E22" s="574" t="s">
        <v>3029</v>
      </c>
      <c r="F22" s="553"/>
      <c r="G22" s="552" t="s">
        <v>3029</v>
      </c>
      <c r="H22" s="553"/>
      <c r="I22" s="552" t="s">
        <v>3029</v>
      </c>
      <c r="J22" s="553"/>
      <c r="K22" s="2624"/>
      <c r="L22" s="2142"/>
      <c r="M22" s="2134"/>
      <c r="N22" s="2134"/>
      <c r="O22" s="2134"/>
      <c r="P22" s="3532"/>
      <c r="Q22" s="2601"/>
      <c r="R22" s="1572"/>
      <c r="S22" s="1573"/>
      <c r="T22" s="1572"/>
      <c r="U22" s="1573"/>
      <c r="V22" s="1572"/>
      <c r="W22" s="1573"/>
      <c r="X22" s="2603"/>
      <c r="Y22" s="3532"/>
      <c r="Z22" s="2602"/>
      <c r="AA22" s="1575">
        <v>1</v>
      </c>
      <c r="AB22" s="1575">
        <v>1</v>
      </c>
      <c r="AC22" s="1575">
        <v>1</v>
      </c>
    </row>
    <row r="23" spans="1:29" ht="162">
      <c r="A23" s="530"/>
      <c r="B23" s="558" t="s">
        <v>778</v>
      </c>
      <c r="C23" s="571" t="str">
        <f>估价对象房地状况!C9</f>
        <v>区域自然环境：官园公园、什刹海公园、北海公园；人文环境：妙应寺白塔、恭王府、历代帝王庙、梅兰芳纪念馆、西直门天主教堂、西城区图书馆；综合评价环境状况好。</v>
      </c>
      <c r="D23" s="557">
        <v>100</v>
      </c>
      <c r="E23" s="3244" t="s">
        <v>3108</v>
      </c>
      <c r="F23" s="557">
        <f>SUMIF(85:85,E24,86:86)-SUMIF(85:85,C24,86:86)+100</f>
        <v>100</v>
      </c>
      <c r="G23" s="3244" t="s">
        <v>3109</v>
      </c>
      <c r="H23" s="557">
        <f>SUMIF(85:85,G24,86:86)-SUMIF(85:85,C24,86:86)+100</f>
        <v>100</v>
      </c>
      <c r="I23" s="3244" t="s">
        <v>3110</v>
      </c>
      <c r="J23" s="557">
        <f>SUMIF(85:85,I24,86:86)-SUMIF(85:85,C24,86:86)+100</f>
        <v>100</v>
      </c>
      <c r="K23" s="896">
        <v>2</v>
      </c>
      <c r="L23" s="2142"/>
      <c r="M23" s="2134"/>
      <c r="N23" s="2134"/>
      <c r="O23" s="2134"/>
      <c r="P23" s="3532"/>
      <c r="Q23" s="1571" t="str">
        <f>B23</f>
        <v>环境质量</v>
      </c>
      <c r="R23" s="1572" t="s">
        <v>8</v>
      </c>
      <c r="S23" s="1573">
        <f>F23</f>
        <v>100</v>
      </c>
      <c r="T23" s="1572" t="s">
        <v>8</v>
      </c>
      <c r="U23" s="1573">
        <f>H23</f>
        <v>100</v>
      </c>
      <c r="V23" s="1572" t="s">
        <v>8</v>
      </c>
      <c r="W23" s="1573">
        <f>J23</f>
        <v>100</v>
      </c>
      <c r="X23" s="1566"/>
      <c r="Y23" s="3532"/>
      <c r="Z23" s="1574" t="str">
        <f>Q23</f>
        <v>环境质量</v>
      </c>
      <c r="AA23" s="1575">
        <f t="shared" si="3"/>
        <v>1</v>
      </c>
      <c r="AB23" s="1575">
        <f t="shared" si="4"/>
        <v>1</v>
      </c>
      <c r="AC23" s="1575">
        <f t="shared" si="5"/>
        <v>1</v>
      </c>
    </row>
    <row r="24" spans="1:29" ht="15">
      <c r="A24" s="530"/>
      <c r="B24" s="576"/>
      <c r="C24" s="552" t="s">
        <v>3028</v>
      </c>
      <c r="D24" s="553"/>
      <c r="E24" s="556" t="s">
        <v>3028</v>
      </c>
      <c r="F24" s="553"/>
      <c r="G24" s="554" t="s">
        <v>3028</v>
      </c>
      <c r="H24" s="553"/>
      <c r="I24" s="554" t="s">
        <v>3028</v>
      </c>
      <c r="J24" s="553"/>
      <c r="K24" s="897"/>
      <c r="L24" s="2142"/>
      <c r="M24" s="2134"/>
      <c r="N24" s="2134"/>
      <c r="O24" s="2134"/>
      <c r="P24" s="3532"/>
      <c r="Q24" s="1571"/>
      <c r="R24" s="1572"/>
      <c r="S24" s="1573"/>
      <c r="T24" s="1572"/>
      <c r="U24" s="1573"/>
      <c r="V24" s="1572"/>
      <c r="W24" s="1573"/>
      <c r="X24" s="1566"/>
      <c r="Y24" s="3532"/>
      <c r="Z24" s="1574"/>
      <c r="AA24" s="1575">
        <v>1</v>
      </c>
      <c r="AB24" s="1575">
        <v>1</v>
      </c>
      <c r="AC24" s="1575">
        <v>1</v>
      </c>
    </row>
    <row r="25" spans="1:29" ht="27" hidden="1">
      <c r="A25" s="513"/>
      <c r="B25" s="558" t="s">
        <v>548</v>
      </c>
      <c r="C25" s="3196"/>
      <c r="D25" s="538">
        <v>100</v>
      </c>
      <c r="E25" s="3196"/>
      <c r="F25" s="538">
        <f>SUMIF(87:87,E26,88:88)-SUMIF(87:87,C26,88:88)+100</f>
        <v>100</v>
      </c>
      <c r="G25" s="3196"/>
      <c r="H25" s="538">
        <f>SUMIF(87:87,G26,88:88)-SUMIF(87:87,C26,88:88)+100</f>
        <v>100</v>
      </c>
      <c r="I25" s="3202"/>
      <c r="J25" s="538">
        <f>SUMIF(87:87,I26,88:88)-SUMIF(87:87,C26,88:88)+100</f>
        <v>100</v>
      </c>
      <c r="K25" s="896">
        <v>1</v>
      </c>
      <c r="L25" s="2142"/>
      <c r="M25" s="2134"/>
      <c r="N25" s="2134"/>
      <c r="O25" s="2134"/>
      <c r="P25" s="3532"/>
      <c r="Q25" s="1571" t="str">
        <f>B25</f>
        <v>毗邻道路的类型与等级</v>
      </c>
      <c r="R25" s="1572" t="s">
        <v>8</v>
      </c>
      <c r="S25" s="1573">
        <f>F25</f>
        <v>100</v>
      </c>
      <c r="T25" s="1572" t="s">
        <v>8</v>
      </c>
      <c r="U25" s="1573">
        <f>H25</f>
        <v>100</v>
      </c>
      <c r="V25" s="1572" t="s">
        <v>8</v>
      </c>
      <c r="W25" s="1573">
        <f>J25</f>
        <v>100</v>
      </c>
      <c r="X25" s="1566"/>
      <c r="Y25" s="3532"/>
      <c r="Z25" s="1574" t="str">
        <f>Q25</f>
        <v>毗邻道路的类型与等级</v>
      </c>
      <c r="AA25" s="1575">
        <f t="shared" si="3"/>
        <v>1</v>
      </c>
      <c r="AB25" s="1575">
        <f t="shared" si="4"/>
        <v>1</v>
      </c>
      <c r="AC25" s="1575">
        <f t="shared" si="5"/>
        <v>1</v>
      </c>
    </row>
    <row r="26" spans="1:29" ht="15" hidden="1">
      <c r="A26" s="513"/>
      <c r="B26" s="564"/>
      <c r="C26" s="578"/>
      <c r="D26" s="538"/>
      <c r="E26" s="581"/>
      <c r="F26" s="538"/>
      <c r="G26" s="578"/>
      <c r="H26" s="538"/>
      <c r="I26" s="581"/>
      <c r="J26" s="538"/>
      <c r="K26" s="897"/>
      <c r="L26" s="2142"/>
      <c r="M26" s="2134"/>
      <c r="N26" s="2134"/>
      <c r="O26" s="2134"/>
      <c r="P26" s="3532"/>
      <c r="Q26" s="1571"/>
      <c r="R26" s="1572"/>
      <c r="S26" s="1573"/>
      <c r="T26" s="1572"/>
      <c r="U26" s="1573"/>
      <c r="V26" s="1572"/>
      <c r="W26" s="1573"/>
      <c r="X26" s="1566"/>
      <c r="Y26" s="3532"/>
      <c r="Z26" s="1574"/>
      <c r="AA26" s="1575">
        <v>1</v>
      </c>
      <c r="AB26" s="1575">
        <v>1</v>
      </c>
      <c r="AC26" s="1575">
        <v>1</v>
      </c>
    </row>
    <row r="27" spans="1:29" ht="15" hidden="1">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2"/>
      <c r="M27" s="2134"/>
      <c r="N27" s="2134"/>
      <c r="O27" s="2134"/>
      <c r="P27" s="3532"/>
      <c r="Q27" s="1571" t="str">
        <f t="shared" ref="Q27:Q47" si="11">B27</f>
        <v>楼层</v>
      </c>
      <c r="R27" s="1572" t="s">
        <v>8</v>
      </c>
      <c r="S27" s="1573">
        <f>F27</f>
        <v>100</v>
      </c>
      <c r="T27" s="1572" t="s">
        <v>8</v>
      </c>
      <c r="U27" s="1573">
        <f>H27</f>
        <v>100</v>
      </c>
      <c r="V27" s="1572" t="s">
        <v>8</v>
      </c>
      <c r="W27" s="1573">
        <f>J27</f>
        <v>100</v>
      </c>
      <c r="X27" s="1566"/>
      <c r="Y27" s="3532"/>
      <c r="Z27" s="1574" t="str">
        <f>Q27</f>
        <v>楼层</v>
      </c>
      <c r="AA27" s="1575">
        <f t="shared" si="3"/>
        <v>1</v>
      </c>
      <c r="AB27" s="1575">
        <f t="shared" si="4"/>
        <v>1</v>
      </c>
      <c r="AC27" s="1575">
        <f t="shared" si="5"/>
        <v>1</v>
      </c>
    </row>
    <row r="28" spans="1:29" s="1218" customFormat="1" ht="15" hidden="1">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5"/>
      <c r="M28" s="2136"/>
      <c r="N28" s="2136"/>
      <c r="O28" s="2136"/>
      <c r="P28" s="3532"/>
      <c r="Q28" s="1149" t="str">
        <f t="shared" si="11"/>
        <v>朝向</v>
      </c>
      <c r="R28" s="1567" t="s">
        <v>8</v>
      </c>
      <c r="S28" s="1568">
        <f>F28</f>
        <v>100</v>
      </c>
      <c r="T28" s="1567" t="s">
        <v>8</v>
      </c>
      <c r="U28" s="1568">
        <f>H28</f>
        <v>100</v>
      </c>
      <c r="V28" s="1567" t="s">
        <v>8</v>
      </c>
      <c r="W28" s="1568">
        <f>J28</f>
        <v>100</v>
      </c>
      <c r="X28" s="1569"/>
      <c r="Y28" s="3532"/>
      <c r="Z28" s="1148" t="str">
        <f>Q28</f>
        <v>朝向</v>
      </c>
      <c r="AA28" s="1575">
        <f>D28/F28</f>
        <v>1</v>
      </c>
      <c r="AB28" s="1575">
        <f>D28/H28</f>
        <v>1</v>
      </c>
      <c r="AC28" s="1575">
        <f>D28/J28</f>
        <v>1</v>
      </c>
    </row>
    <row r="29" spans="1:29" ht="27.75" thickBot="1">
      <c r="A29" s="530"/>
      <c r="B29" s="3203" t="s">
        <v>548</v>
      </c>
      <c r="C29" s="3196" t="s">
        <v>3115</v>
      </c>
      <c r="D29" s="538">
        <v>100</v>
      </c>
      <c r="E29" s="3196" t="s">
        <v>3111</v>
      </c>
      <c r="F29" s="538">
        <f>SUMIF(93:93,E29,94:94)-SUMIF(93:93,C29,94:94)+100</f>
        <v>100</v>
      </c>
      <c r="G29" s="3196" t="s">
        <v>3053</v>
      </c>
      <c r="H29" s="538">
        <f>SUMIF(93:93,G29,94:94)-SUMIF(93:93,C29,94:94)+100</f>
        <v>98</v>
      </c>
      <c r="I29" s="3202" t="s">
        <v>3097</v>
      </c>
      <c r="J29" s="538">
        <f>SUMIF(93:93,I29,94:94)-SUMIF(93:93,C29,94:94)+100</f>
        <v>96</v>
      </c>
      <c r="K29" s="579"/>
      <c r="L29" s="2142"/>
      <c r="M29" s="2134"/>
      <c r="N29" s="2134"/>
      <c r="O29" s="2134"/>
      <c r="P29" s="3532"/>
      <c r="Q29" s="1571" t="str">
        <f t="shared" si="11"/>
        <v>毗邻道路的类型与等级</v>
      </c>
      <c r="R29" s="1572" t="s">
        <v>8</v>
      </c>
      <c r="S29" s="1573">
        <f t="shared" ref="S29:S47" si="12">F29</f>
        <v>100</v>
      </c>
      <c r="T29" s="1572" t="s">
        <v>8</v>
      </c>
      <c r="U29" s="1573">
        <f t="shared" ref="U29:U47" si="13">H29</f>
        <v>98</v>
      </c>
      <c r="V29" s="1572" t="s">
        <v>8</v>
      </c>
      <c r="W29" s="1573">
        <f t="shared" ref="W29:W47" si="14">J29</f>
        <v>96</v>
      </c>
      <c r="X29" s="1566"/>
      <c r="Y29" s="3532"/>
      <c r="Z29" s="1574" t="str">
        <f t="shared" ref="Z29:Z47" si="15">Q29</f>
        <v>毗邻道路的类型与等级</v>
      </c>
      <c r="AA29" s="1575">
        <f t="shared" si="3"/>
        <v>1</v>
      </c>
      <c r="AB29" s="1575">
        <f t="shared" si="4"/>
        <v>1.0204081632653061</v>
      </c>
      <c r="AC29" s="1575">
        <f t="shared" si="5"/>
        <v>1.0416666666666667</v>
      </c>
    </row>
    <row r="30" spans="1:29" ht="15" hidden="1">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2"/>
      <c r="M30" s="2134"/>
      <c r="N30" s="2134"/>
      <c r="O30" s="2134"/>
      <c r="P30" s="3532"/>
      <c r="Q30" s="1571">
        <f t="shared" si="11"/>
        <v>111</v>
      </c>
      <c r="R30" s="1572" t="s">
        <v>8</v>
      </c>
      <c r="S30" s="1573">
        <f t="shared" si="12"/>
        <v>100</v>
      </c>
      <c r="T30" s="1572" t="s">
        <v>8</v>
      </c>
      <c r="U30" s="1573">
        <f t="shared" si="13"/>
        <v>100</v>
      </c>
      <c r="V30" s="1572" t="s">
        <v>8</v>
      </c>
      <c r="W30" s="1573">
        <f t="shared" si="14"/>
        <v>100</v>
      </c>
      <c r="X30" s="1566"/>
      <c r="Y30" s="3532"/>
      <c r="Z30" s="1574">
        <f t="shared" si="15"/>
        <v>111</v>
      </c>
      <c r="AA30" s="1575">
        <f t="shared" si="3"/>
        <v>1</v>
      </c>
      <c r="AB30" s="1575">
        <f t="shared" si="4"/>
        <v>1</v>
      </c>
      <c r="AC30" s="1575">
        <f t="shared" si="5"/>
        <v>1</v>
      </c>
    </row>
    <row r="31" spans="1:29" ht="15" hidden="1">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2"/>
      <c r="M31" s="2134"/>
      <c r="N31" s="2134"/>
      <c r="O31" s="2134"/>
      <c r="P31" s="3532"/>
      <c r="Q31" s="1571">
        <f t="shared" si="11"/>
        <v>111</v>
      </c>
      <c r="R31" s="1572" t="s">
        <v>8</v>
      </c>
      <c r="S31" s="1573">
        <f t="shared" si="12"/>
        <v>100</v>
      </c>
      <c r="T31" s="1572" t="s">
        <v>8</v>
      </c>
      <c r="U31" s="1573">
        <f t="shared" si="13"/>
        <v>100</v>
      </c>
      <c r="V31" s="1572" t="s">
        <v>8</v>
      </c>
      <c r="W31" s="1573">
        <f t="shared" si="14"/>
        <v>100</v>
      </c>
      <c r="X31" s="1566"/>
      <c r="Y31" s="3532"/>
      <c r="Z31" s="1574">
        <f t="shared" si="15"/>
        <v>111</v>
      </c>
      <c r="AA31" s="1575">
        <f t="shared" si="3"/>
        <v>1</v>
      </c>
      <c r="AB31" s="1575">
        <f t="shared" si="4"/>
        <v>1</v>
      </c>
      <c r="AC31" s="1575">
        <f t="shared" si="5"/>
        <v>1</v>
      </c>
    </row>
    <row r="32" spans="1:29" ht="15.75" hidden="1"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2"/>
      <c r="M32" s="2134"/>
      <c r="N32" s="2134"/>
      <c r="O32" s="2134"/>
      <c r="P32" s="3532"/>
      <c r="Q32" s="1571">
        <f t="shared" si="11"/>
        <v>111</v>
      </c>
      <c r="R32" s="1572" t="s">
        <v>8</v>
      </c>
      <c r="S32" s="1573">
        <f t="shared" si="12"/>
        <v>100</v>
      </c>
      <c r="T32" s="1572" t="s">
        <v>8</v>
      </c>
      <c r="U32" s="1573">
        <f t="shared" si="13"/>
        <v>100</v>
      </c>
      <c r="V32" s="1572" t="s">
        <v>8</v>
      </c>
      <c r="W32" s="1573">
        <f t="shared" si="14"/>
        <v>100</v>
      </c>
      <c r="X32" s="1566"/>
      <c r="Y32" s="3532"/>
      <c r="Z32" s="1574">
        <f t="shared" si="15"/>
        <v>111</v>
      </c>
      <c r="AA32" s="1575">
        <f t="shared" si="3"/>
        <v>1</v>
      </c>
      <c r="AB32" s="1575">
        <f t="shared" si="4"/>
        <v>1</v>
      </c>
      <c r="AC32" s="1575">
        <f t="shared" si="5"/>
        <v>1</v>
      </c>
    </row>
    <row r="33" spans="1:29" ht="15">
      <c r="A33" s="2929" t="s">
        <v>2759</v>
      </c>
      <c r="B33" s="170" t="s">
        <v>780</v>
      </c>
      <c r="C33" s="3197" t="s">
        <v>3030</v>
      </c>
      <c r="D33" s="595">
        <v>100</v>
      </c>
      <c r="E33" s="914" t="s">
        <v>3035</v>
      </c>
      <c r="F33" s="573">
        <f>SUMIF(101:101,E33,102:102)-SUMIF(101:101,C33,102:102)+100</f>
        <v>103</v>
      </c>
      <c r="G33" s="914" t="s">
        <v>3035</v>
      </c>
      <c r="H33" s="538">
        <f>SUMIF(101:101,G33,102:102)-SUMIF(101:101,C33,102:102)+100</f>
        <v>103</v>
      </c>
      <c r="I33" s="914" t="s">
        <v>3035</v>
      </c>
      <c r="J33" s="595">
        <f>SUMIF(101:101,I33,102:102)-SUMIF(101:101,C33,102:102)+100</f>
        <v>103</v>
      </c>
      <c r="K33" s="582">
        <v>3</v>
      </c>
      <c r="L33" s="2142"/>
      <c r="M33" s="2134"/>
      <c r="N33" s="2134"/>
      <c r="O33" s="2134"/>
      <c r="P33" s="3533" t="s">
        <v>550</v>
      </c>
      <c r="Q33" s="1571" t="str">
        <f t="shared" si="11"/>
        <v>建筑类型</v>
      </c>
      <c r="R33" s="1572" t="s">
        <v>8</v>
      </c>
      <c r="S33" s="1573">
        <f t="shared" si="12"/>
        <v>103</v>
      </c>
      <c r="T33" s="1572" t="s">
        <v>8</v>
      </c>
      <c r="U33" s="1573">
        <f t="shared" si="13"/>
        <v>103</v>
      </c>
      <c r="V33" s="1572" t="s">
        <v>8</v>
      </c>
      <c r="W33" s="1573">
        <f t="shared" si="14"/>
        <v>103</v>
      </c>
      <c r="X33" s="1566"/>
      <c r="Y33" s="3534" t="s">
        <v>550</v>
      </c>
      <c r="Z33" s="1574" t="str">
        <f t="shared" si="15"/>
        <v>建筑类型</v>
      </c>
      <c r="AA33" s="1575">
        <f t="shared" si="3"/>
        <v>0.970873786407767</v>
      </c>
      <c r="AB33" s="1575">
        <f t="shared" si="4"/>
        <v>0.970873786407767</v>
      </c>
      <c r="AC33" s="1575">
        <f t="shared" si="5"/>
        <v>0.970873786407767</v>
      </c>
    </row>
    <row r="34" spans="1:29" s="1337" customFormat="1" ht="15">
      <c r="A34" s="601"/>
      <c r="B34" s="525" t="s">
        <v>726</v>
      </c>
      <c r="C34" s="3257">
        <v>1291.48</v>
      </c>
      <c r="D34" s="253">
        <v>100</v>
      </c>
      <c r="E34" s="532">
        <v>160000</v>
      </c>
      <c r="F34" s="861">
        <f>LOOKUP(E34,104:104,105:105)-LOOKUP(C34,104:104,105:105)+100</f>
        <v>104</v>
      </c>
      <c r="G34" s="531">
        <v>146000</v>
      </c>
      <c r="H34" s="253">
        <f>LOOKUP(G34,104:104,105:105)-LOOKUP(C34,104:104,105:105)+100</f>
        <v>103</v>
      </c>
      <c r="I34" s="531">
        <v>7000</v>
      </c>
      <c r="J34" s="253">
        <f>LOOKUP(I34,104:104,105:105)-LOOKUP(C34,104:104,105:105)+100</f>
        <v>100</v>
      </c>
      <c r="K34" s="579"/>
      <c r="L34" s="2140"/>
      <c r="M34" s="2171"/>
      <c r="N34" s="2171"/>
      <c r="O34" s="2171"/>
      <c r="P34" s="3534"/>
      <c r="Q34" s="1604" t="str">
        <f t="shared" si="11"/>
        <v>项目建筑规模</v>
      </c>
      <c r="R34" s="1576" t="s">
        <v>8</v>
      </c>
      <c r="S34" s="1577">
        <f t="shared" si="12"/>
        <v>104</v>
      </c>
      <c r="T34" s="1576" t="s">
        <v>8</v>
      </c>
      <c r="U34" s="1577">
        <f t="shared" si="13"/>
        <v>103</v>
      </c>
      <c r="V34" s="1576" t="s">
        <v>8</v>
      </c>
      <c r="W34" s="1577">
        <f t="shared" si="14"/>
        <v>100</v>
      </c>
      <c r="X34" s="1578"/>
      <c r="Y34" s="3534"/>
      <c r="Z34" s="1579" t="str">
        <f t="shared" si="15"/>
        <v>项目建筑规模</v>
      </c>
      <c r="AA34" s="1575">
        <f t="shared" si="3"/>
        <v>0.96153846153846156</v>
      </c>
      <c r="AB34" s="1575">
        <f t="shared" si="4"/>
        <v>0.970873786407767</v>
      </c>
      <c r="AC34" s="1575">
        <f t="shared" si="5"/>
        <v>1</v>
      </c>
    </row>
    <row r="35" spans="1:29" ht="15">
      <c r="A35" s="592"/>
      <c r="B35" s="525" t="s">
        <v>727</v>
      </c>
      <c r="C35" s="572" t="s">
        <v>3033</v>
      </c>
      <c r="D35" s="538">
        <v>100</v>
      </c>
      <c r="E35" s="572" t="s">
        <v>3033</v>
      </c>
      <c r="F35" s="573">
        <f>SUMIF(106:106,E35,107:107)-SUMIF(106:106,C35,107:107)+100</f>
        <v>100</v>
      </c>
      <c r="G35" s="572" t="s">
        <v>3033</v>
      </c>
      <c r="H35" s="538">
        <f>SUMIF(106:106,G35,107:107)-SUMIF(106:106,C35,107:107)+100</f>
        <v>100</v>
      </c>
      <c r="I35" s="572" t="s">
        <v>3033</v>
      </c>
      <c r="J35" s="538">
        <f>SUMIF(106:106,I35,107:107)-SUMIF(106:106,C35,107:107)+100</f>
        <v>100</v>
      </c>
      <c r="K35" s="582">
        <v>1</v>
      </c>
      <c r="L35" s="2142"/>
      <c r="M35" s="2134"/>
      <c r="N35" s="2134"/>
      <c r="O35" s="2134"/>
      <c r="P35" s="3534"/>
      <c r="Q35" s="1571" t="str">
        <f t="shared" si="11"/>
        <v>建筑结构</v>
      </c>
      <c r="R35" s="1572" t="s">
        <v>8</v>
      </c>
      <c r="S35" s="1573">
        <f t="shared" si="12"/>
        <v>100</v>
      </c>
      <c r="T35" s="1572" t="s">
        <v>8</v>
      </c>
      <c r="U35" s="1573">
        <f t="shared" si="13"/>
        <v>100</v>
      </c>
      <c r="V35" s="1572" t="s">
        <v>8</v>
      </c>
      <c r="W35" s="1573">
        <f t="shared" si="14"/>
        <v>100</v>
      </c>
      <c r="X35" s="1566"/>
      <c r="Y35" s="3534"/>
      <c r="Z35" s="1574" t="str">
        <f t="shared" si="15"/>
        <v>建筑结构</v>
      </c>
      <c r="AA35" s="1575">
        <f t="shared" si="3"/>
        <v>1</v>
      </c>
      <c r="AB35" s="1575">
        <f t="shared" si="4"/>
        <v>1</v>
      </c>
      <c r="AC35" s="1575">
        <f t="shared" si="5"/>
        <v>1</v>
      </c>
    </row>
    <row r="36" spans="1:29" ht="15">
      <c r="A36" s="592"/>
      <c r="B36" s="525" t="s">
        <v>763</v>
      </c>
      <c r="C36" s="572" t="s">
        <v>3043</v>
      </c>
      <c r="D36" s="538">
        <v>100</v>
      </c>
      <c r="E36" s="572" t="s">
        <v>3045</v>
      </c>
      <c r="F36" s="573">
        <f>SUMIF(108:108,E36,109:109)-SUMIF(108:108,C36,109:109)+100</f>
        <v>95</v>
      </c>
      <c r="G36" s="572" t="s">
        <v>3045</v>
      </c>
      <c r="H36" s="538">
        <f>SUMIF(108:108,G36,109:109)-SUMIF(108:108,C36,109:109)+100</f>
        <v>95</v>
      </c>
      <c r="I36" s="572" t="s">
        <v>3045</v>
      </c>
      <c r="J36" s="538">
        <f>SUMIF(108:108,I36,109:109)-SUMIF(108:108,C36,109:109)+100</f>
        <v>95</v>
      </c>
      <c r="K36" s="582">
        <v>5</v>
      </c>
      <c r="L36" s="2142"/>
      <c r="M36" s="2134"/>
      <c r="N36" s="2134"/>
      <c r="O36" s="2134"/>
      <c r="P36" s="3534"/>
      <c r="Q36" s="1571" t="str">
        <f t="shared" si="11"/>
        <v>公共部分装修</v>
      </c>
      <c r="R36" s="1572" t="s">
        <v>8</v>
      </c>
      <c r="S36" s="1573">
        <f t="shared" si="12"/>
        <v>95</v>
      </c>
      <c r="T36" s="1572" t="s">
        <v>8</v>
      </c>
      <c r="U36" s="1573">
        <f t="shared" si="13"/>
        <v>95</v>
      </c>
      <c r="V36" s="1572" t="s">
        <v>8</v>
      </c>
      <c r="W36" s="1573">
        <f t="shared" si="14"/>
        <v>95</v>
      </c>
      <c r="X36" s="1566"/>
      <c r="Y36" s="3534"/>
      <c r="Z36" s="1574" t="str">
        <f t="shared" si="15"/>
        <v>公共部分装修</v>
      </c>
      <c r="AA36" s="1575">
        <f t="shared" si="3"/>
        <v>1.0526315789473684</v>
      </c>
      <c r="AB36" s="1575">
        <f t="shared" si="4"/>
        <v>1.0526315789473684</v>
      </c>
      <c r="AC36" s="1575">
        <f t="shared" si="5"/>
        <v>1.0526315789473684</v>
      </c>
    </row>
    <row r="37" spans="1:29" ht="15" hidden="1">
      <c r="A37" s="592"/>
      <c r="B37" s="525" t="s">
        <v>764</v>
      </c>
      <c r="C37" s="881">
        <v>1</v>
      </c>
      <c r="D37" s="538">
        <v>100</v>
      </c>
      <c r="E37" s="881">
        <v>1</v>
      </c>
      <c r="F37" s="573">
        <f>LOOKUP(E37,111:111,112:112)-LOOKUP(C37,111:111,112:112)+100</f>
        <v>100</v>
      </c>
      <c r="G37" s="881">
        <v>1</v>
      </c>
      <c r="H37" s="573">
        <f>LOOKUP(G37,111:111,112:112)-LOOKUP(C37,111:111,112:112)+100</f>
        <v>100</v>
      </c>
      <c r="I37" s="881">
        <v>1</v>
      </c>
      <c r="J37" s="538">
        <f>LOOKUP(I37,111:111,112:112)-LOOKUP(C37,111:111,112:112)+100</f>
        <v>100</v>
      </c>
      <c r="K37" s="582"/>
      <c r="L37" s="2142"/>
      <c r="M37" s="2134"/>
      <c r="N37" s="2134"/>
      <c r="O37" s="2134"/>
      <c r="P37" s="3534"/>
      <c r="Q37" s="1571" t="str">
        <f t="shared" si="11"/>
        <v>成新度</v>
      </c>
      <c r="R37" s="1572" t="s">
        <v>8</v>
      </c>
      <c r="S37" s="1573">
        <f t="shared" si="12"/>
        <v>100</v>
      </c>
      <c r="T37" s="1572" t="s">
        <v>8</v>
      </c>
      <c r="U37" s="1573">
        <f t="shared" si="13"/>
        <v>100</v>
      </c>
      <c r="V37" s="1572" t="s">
        <v>8</v>
      </c>
      <c r="W37" s="1573">
        <f t="shared" si="14"/>
        <v>100</v>
      </c>
      <c r="X37" s="1566"/>
      <c r="Y37" s="3534"/>
      <c r="Z37" s="1574" t="str">
        <f t="shared" si="15"/>
        <v>成新度</v>
      </c>
      <c r="AA37" s="1575">
        <f t="shared" si="3"/>
        <v>1</v>
      </c>
      <c r="AB37" s="1575">
        <f t="shared" si="4"/>
        <v>1</v>
      </c>
      <c r="AC37" s="1575">
        <f t="shared" si="5"/>
        <v>1</v>
      </c>
    </row>
    <row r="38" spans="1:29" s="1218" customFormat="1" ht="15" hidden="1">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5"/>
      <c r="M38" s="2136"/>
      <c r="N38" s="2136"/>
      <c r="O38" s="2136"/>
      <c r="P38" s="3534"/>
      <c r="Q38" s="1149" t="str">
        <f t="shared" si="11"/>
        <v>写字楼等级</v>
      </c>
      <c r="R38" s="1567" t="s">
        <v>8</v>
      </c>
      <c r="S38" s="1568">
        <f t="shared" si="12"/>
        <v>100</v>
      </c>
      <c r="T38" s="1567" t="s">
        <v>8</v>
      </c>
      <c r="U38" s="1568">
        <f t="shared" si="13"/>
        <v>100</v>
      </c>
      <c r="V38" s="1567" t="s">
        <v>8</v>
      </c>
      <c r="W38" s="1568">
        <f t="shared" si="14"/>
        <v>100</v>
      </c>
      <c r="X38" s="1569"/>
      <c r="Y38" s="3534"/>
      <c r="Z38" s="1148" t="str">
        <f t="shared" si="15"/>
        <v>写字楼等级</v>
      </c>
      <c r="AA38" s="1570">
        <f t="shared" si="3"/>
        <v>1</v>
      </c>
      <c r="AB38" s="1570">
        <f t="shared" si="4"/>
        <v>1</v>
      </c>
      <c r="AC38" s="1570">
        <f t="shared" si="5"/>
        <v>1</v>
      </c>
    </row>
    <row r="39" spans="1:29" ht="15">
      <c r="A39" s="592"/>
      <c r="B39" s="525" t="s">
        <v>782</v>
      </c>
      <c r="C39" s="572" t="s">
        <v>3039</v>
      </c>
      <c r="D39" s="538">
        <v>100</v>
      </c>
      <c r="E39" s="572" t="s">
        <v>3037</v>
      </c>
      <c r="F39" s="573">
        <f>SUMIF(115:115,E39,116:116)-SUMIF(115:115,C39,116:116)+100</f>
        <v>102</v>
      </c>
      <c r="G39" s="572" t="s">
        <v>3037</v>
      </c>
      <c r="H39" s="538">
        <f>SUMIF(115:115,G39,116:116)-SUMIF(115:115,C39,116:116)+100</f>
        <v>102</v>
      </c>
      <c r="I39" s="572" t="s">
        <v>3037</v>
      </c>
      <c r="J39" s="538">
        <f>SUMIF(115:115,I39,116:116)-SUMIF(115:115,C39,116:116)+100</f>
        <v>102</v>
      </c>
      <c r="K39" s="582">
        <v>2</v>
      </c>
      <c r="L39" s="2142"/>
      <c r="M39" s="2134"/>
      <c r="N39" s="2134"/>
      <c r="O39" s="2134"/>
      <c r="P39" s="3534" t="s">
        <v>550</v>
      </c>
      <c r="Q39" s="1571" t="str">
        <f t="shared" si="11"/>
        <v>物业管理</v>
      </c>
      <c r="R39" s="1572" t="s">
        <v>8</v>
      </c>
      <c r="S39" s="1573">
        <f t="shared" si="12"/>
        <v>102</v>
      </c>
      <c r="T39" s="1572" t="s">
        <v>8</v>
      </c>
      <c r="U39" s="1573">
        <f t="shared" si="13"/>
        <v>102</v>
      </c>
      <c r="V39" s="1572" t="s">
        <v>8</v>
      </c>
      <c r="W39" s="1573">
        <f t="shared" si="14"/>
        <v>102</v>
      </c>
      <c r="X39" s="1566"/>
      <c r="Y39" s="3534" t="s">
        <v>550</v>
      </c>
      <c r="Z39" s="1574" t="str">
        <f t="shared" si="15"/>
        <v>物业管理</v>
      </c>
      <c r="AA39" s="1575">
        <f t="shared" si="3"/>
        <v>0.98039215686274506</v>
      </c>
      <c r="AB39" s="1575">
        <f t="shared" si="4"/>
        <v>0.98039215686274506</v>
      </c>
      <c r="AC39" s="1575">
        <f t="shared" si="5"/>
        <v>0.98039215686274506</v>
      </c>
    </row>
    <row r="40" spans="1:29" ht="15">
      <c r="A40" s="592"/>
      <c r="B40" s="1895" t="s">
        <v>2569</v>
      </c>
      <c r="C40" s="572" t="s">
        <v>3029</v>
      </c>
      <c r="D40" s="538">
        <v>100</v>
      </c>
      <c r="E40" s="572" t="s">
        <v>3029</v>
      </c>
      <c r="F40" s="573">
        <f>SUMIF(117:117,E40,118:118)-SUMIF(117:117,C40,118:118)+100</f>
        <v>100</v>
      </c>
      <c r="G40" s="572" t="s">
        <v>3029</v>
      </c>
      <c r="H40" s="538">
        <f>SUMIF(117:117,G40,118:118)-SUMIF(117:117,C40,118:118)+100</f>
        <v>100</v>
      </c>
      <c r="I40" s="572" t="s">
        <v>3029</v>
      </c>
      <c r="J40" s="538">
        <f>SUMIF(117:117,I40,118:118)-SUMIF(117:117,C40,118:118)+100</f>
        <v>100</v>
      </c>
      <c r="K40" s="582"/>
      <c r="L40" s="2142"/>
      <c r="M40" s="2134"/>
      <c r="N40" s="2134"/>
      <c r="O40" s="2134"/>
      <c r="P40" s="3534"/>
      <c r="Q40" s="1571" t="str">
        <f t="shared" si="11"/>
        <v>市政基础设施</v>
      </c>
      <c r="R40" s="1572" t="s">
        <v>8</v>
      </c>
      <c r="S40" s="1573">
        <f t="shared" si="12"/>
        <v>100</v>
      </c>
      <c r="T40" s="1572" t="s">
        <v>8</v>
      </c>
      <c r="U40" s="1573">
        <f t="shared" si="13"/>
        <v>100</v>
      </c>
      <c r="V40" s="1572" t="s">
        <v>8</v>
      </c>
      <c r="W40" s="1573">
        <f t="shared" si="14"/>
        <v>100</v>
      </c>
      <c r="X40" s="1566"/>
      <c r="Y40" s="3534"/>
      <c r="Z40" s="1574" t="str">
        <f t="shared" si="15"/>
        <v>市政基础设施</v>
      </c>
      <c r="AA40" s="1575">
        <f t="shared" si="3"/>
        <v>1</v>
      </c>
      <c r="AB40" s="1575">
        <f t="shared" si="4"/>
        <v>1</v>
      </c>
      <c r="AC40" s="1575">
        <f t="shared" si="5"/>
        <v>1</v>
      </c>
    </row>
    <row r="41" spans="1:29" ht="15" hidden="1">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2"/>
      <c r="M41" s="2134"/>
      <c r="N41" s="2134"/>
      <c r="O41" s="2134"/>
      <c r="P41" s="3534"/>
      <c r="Q41" s="1571" t="str">
        <f t="shared" si="11"/>
        <v>层高</v>
      </c>
      <c r="R41" s="1572" t="s">
        <v>8</v>
      </c>
      <c r="S41" s="1573">
        <f t="shared" si="12"/>
        <v>100</v>
      </c>
      <c r="T41" s="1572" t="s">
        <v>8</v>
      </c>
      <c r="U41" s="1573">
        <f t="shared" si="13"/>
        <v>100</v>
      </c>
      <c r="V41" s="1572" t="s">
        <v>8</v>
      </c>
      <c r="W41" s="1573">
        <f t="shared" si="14"/>
        <v>100</v>
      </c>
      <c r="X41" s="1566"/>
      <c r="Y41" s="3534"/>
      <c r="Z41" s="1574" t="str">
        <f t="shared" si="15"/>
        <v>层高</v>
      </c>
      <c r="AA41" s="1575">
        <f t="shared" si="3"/>
        <v>1</v>
      </c>
      <c r="AB41" s="1575">
        <f t="shared" si="4"/>
        <v>1</v>
      </c>
      <c r="AC41" s="1575">
        <f t="shared" si="5"/>
        <v>1</v>
      </c>
    </row>
    <row r="42" spans="1:29" s="1337" customFormat="1" ht="15" hidden="1">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40"/>
      <c r="M42" s="2171"/>
      <c r="N42" s="2171"/>
      <c r="O42" s="2171"/>
      <c r="P42" s="3534"/>
      <c r="Q42" s="1604" t="str">
        <f t="shared" si="11"/>
        <v>单套建筑面积</v>
      </c>
      <c r="R42" s="1576" t="s">
        <v>8</v>
      </c>
      <c r="S42" s="1577">
        <f t="shared" si="12"/>
        <v>100</v>
      </c>
      <c r="T42" s="1576" t="s">
        <v>8</v>
      </c>
      <c r="U42" s="1577">
        <f t="shared" si="13"/>
        <v>100</v>
      </c>
      <c r="V42" s="1576" t="s">
        <v>8</v>
      </c>
      <c r="W42" s="1577">
        <f t="shared" si="14"/>
        <v>100</v>
      </c>
      <c r="X42" s="1578"/>
      <c r="Y42" s="3534"/>
      <c r="Z42" s="1579" t="str">
        <f t="shared" si="15"/>
        <v>单套建筑面积</v>
      </c>
      <c r="AA42" s="1575">
        <f t="shared" si="3"/>
        <v>1</v>
      </c>
      <c r="AB42" s="1575">
        <f t="shared" si="4"/>
        <v>1</v>
      </c>
      <c r="AC42" s="1575">
        <f t="shared" si="5"/>
        <v>1</v>
      </c>
    </row>
    <row r="43" spans="1:29" ht="15">
      <c r="A43" s="592"/>
      <c r="B43" s="525" t="s">
        <v>770</v>
      </c>
      <c r="C43" s="572" t="s">
        <v>3043</v>
      </c>
      <c r="D43" s="538">
        <v>100</v>
      </c>
      <c r="E43" s="572" t="s">
        <v>3045</v>
      </c>
      <c r="F43" s="573">
        <f>SUMIF(123:123,E43,124:124)-SUMIF(123:123,C43,124:124)+100</f>
        <v>98</v>
      </c>
      <c r="G43" s="572" t="s">
        <v>3045</v>
      </c>
      <c r="H43" s="538">
        <f>SUMIF(123:123,G43,124:124)-SUMIF(123:123,C43,124:124)+100</f>
        <v>98</v>
      </c>
      <c r="I43" s="572" t="s">
        <v>3045</v>
      </c>
      <c r="J43" s="538">
        <f>SUMIF(123:123,I43,124:124)-SUMIF(123:123,C43,124:124)+100</f>
        <v>98</v>
      </c>
      <c r="K43" s="582">
        <v>2</v>
      </c>
      <c r="L43" s="2142"/>
      <c r="M43" s="2134"/>
      <c r="N43" s="2134"/>
      <c r="O43" s="2134"/>
      <c r="P43" s="3534"/>
      <c r="Q43" s="1571" t="str">
        <f t="shared" si="11"/>
        <v>内部装修</v>
      </c>
      <c r="R43" s="1572" t="s">
        <v>8</v>
      </c>
      <c r="S43" s="1573">
        <f t="shared" si="12"/>
        <v>98</v>
      </c>
      <c r="T43" s="1572" t="s">
        <v>8</v>
      </c>
      <c r="U43" s="1573">
        <f t="shared" si="13"/>
        <v>98</v>
      </c>
      <c r="V43" s="1572" t="s">
        <v>8</v>
      </c>
      <c r="W43" s="1573">
        <f t="shared" si="14"/>
        <v>98</v>
      </c>
      <c r="X43" s="1566"/>
      <c r="Y43" s="3534"/>
      <c r="Z43" s="1574" t="str">
        <f t="shared" si="15"/>
        <v>内部装修</v>
      </c>
      <c r="AA43" s="1575">
        <f t="shared" si="3"/>
        <v>1.0204081632653061</v>
      </c>
      <c r="AB43" s="1575">
        <f t="shared" si="4"/>
        <v>1.0204081632653061</v>
      </c>
      <c r="AC43" s="1575">
        <f t="shared" si="5"/>
        <v>1.0204081632653061</v>
      </c>
    </row>
    <row r="44" spans="1:29" ht="27">
      <c r="A44" s="592"/>
      <c r="B44" s="525" t="s">
        <v>735</v>
      </c>
      <c r="C44" s="572" t="s">
        <v>3027</v>
      </c>
      <c r="D44" s="538">
        <v>100</v>
      </c>
      <c r="E44" s="597" t="s">
        <v>3027</v>
      </c>
      <c r="F44" s="573">
        <f>SUMIF(125:125,E44,126:126)-SUMIF(125:125,C44,126:126)+100</f>
        <v>100</v>
      </c>
      <c r="G44" s="597" t="s">
        <v>3027</v>
      </c>
      <c r="H44" s="538">
        <f>SUMIF(125:125,G44,126:126)-SUMIF(125:125,C44,126:126)+100</f>
        <v>100</v>
      </c>
      <c r="I44" s="597" t="s">
        <v>3027</v>
      </c>
      <c r="J44" s="538">
        <f>SUMIF(125:125,I44,126:126)-SUMIF(125:125,C44,126:126)+100</f>
        <v>100</v>
      </c>
      <c r="K44" s="582"/>
      <c r="L44" s="2142"/>
      <c r="M44" s="2134"/>
      <c r="N44" s="2134"/>
      <c r="O44" s="2134"/>
      <c r="P44" s="3534"/>
      <c r="Q44" s="1571" t="str">
        <f t="shared" si="11"/>
        <v>内部装修维护情况</v>
      </c>
      <c r="R44" s="1572" t="s">
        <v>8</v>
      </c>
      <c r="S44" s="1573">
        <f t="shared" si="12"/>
        <v>100</v>
      </c>
      <c r="T44" s="1572" t="s">
        <v>8</v>
      </c>
      <c r="U44" s="1573">
        <f t="shared" si="13"/>
        <v>100</v>
      </c>
      <c r="V44" s="1572" t="s">
        <v>8</v>
      </c>
      <c r="W44" s="1573">
        <f t="shared" si="14"/>
        <v>100</v>
      </c>
      <c r="X44" s="1566"/>
      <c r="Y44" s="3534"/>
      <c r="Z44" s="1574" t="str">
        <f t="shared" si="15"/>
        <v>内部装修维护情况</v>
      </c>
      <c r="AA44" s="1575">
        <f t="shared" si="3"/>
        <v>1</v>
      </c>
      <c r="AB44" s="1575">
        <f t="shared" si="4"/>
        <v>1</v>
      </c>
      <c r="AC44" s="1575">
        <f t="shared" si="5"/>
        <v>1</v>
      </c>
    </row>
    <row r="45" spans="1:29" s="1218" customFormat="1" ht="15">
      <c r="A45" s="598"/>
      <c r="B45" s="3201" t="s">
        <v>3048</v>
      </c>
      <c r="C45" s="878">
        <v>2014</v>
      </c>
      <c r="D45" s="253">
        <v>100</v>
      </c>
      <c r="E45" s="526">
        <v>2003</v>
      </c>
      <c r="F45" s="861">
        <f>SUMIF(127:127,E45,128:128)-SUMIF(127:127,C45,128:128)+100</f>
        <v>94.5</v>
      </c>
      <c r="G45" s="526">
        <v>2005</v>
      </c>
      <c r="H45" s="253">
        <f>SUMIF(127:127,G45,128:128)-SUMIF(127:127,C45,128:128)+100</f>
        <v>95.5</v>
      </c>
      <c r="I45" s="526">
        <v>2000</v>
      </c>
      <c r="J45" s="253">
        <f>SUMIF(127:127,I45,128:128)-SUMIF(127:127,C45,128:128)+100</f>
        <v>93</v>
      </c>
      <c r="K45" s="579"/>
      <c r="L45" s="2135"/>
      <c r="M45" s="2136"/>
      <c r="N45" s="2136"/>
      <c r="O45" s="2136"/>
      <c r="P45" s="3534"/>
      <c r="Q45" s="1149" t="str">
        <f t="shared" si="11"/>
        <v>建成年代</v>
      </c>
      <c r="R45" s="1567" t="s">
        <v>8</v>
      </c>
      <c r="S45" s="1568">
        <f t="shared" si="12"/>
        <v>94.5</v>
      </c>
      <c r="T45" s="1567" t="s">
        <v>8</v>
      </c>
      <c r="U45" s="1568">
        <f t="shared" si="13"/>
        <v>95.5</v>
      </c>
      <c r="V45" s="1567" t="s">
        <v>8</v>
      </c>
      <c r="W45" s="1568">
        <f t="shared" si="14"/>
        <v>93</v>
      </c>
      <c r="X45" s="1569"/>
      <c r="Y45" s="3534"/>
      <c r="Z45" s="1148" t="str">
        <f t="shared" si="15"/>
        <v>建成年代</v>
      </c>
      <c r="AA45" s="1570">
        <f t="shared" si="3"/>
        <v>1.0582010582010581</v>
      </c>
      <c r="AB45" s="1570">
        <f t="shared" si="4"/>
        <v>1.0471204188481675</v>
      </c>
      <c r="AC45" s="1570">
        <f t="shared" si="5"/>
        <v>1.075268817204301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2"/>
      <c r="M46" s="2134"/>
      <c r="N46" s="2134"/>
      <c r="O46" s="2134"/>
      <c r="P46" s="3534"/>
      <c r="Q46" s="1571">
        <f t="shared" si="11"/>
        <v>111</v>
      </c>
      <c r="R46" s="1572" t="s">
        <v>8</v>
      </c>
      <c r="S46" s="1573">
        <f t="shared" si="12"/>
        <v>100</v>
      </c>
      <c r="T46" s="1572" t="s">
        <v>8</v>
      </c>
      <c r="U46" s="1573">
        <f t="shared" si="13"/>
        <v>100</v>
      </c>
      <c r="V46" s="1572" t="s">
        <v>8</v>
      </c>
      <c r="W46" s="1573">
        <f t="shared" si="14"/>
        <v>100</v>
      </c>
      <c r="X46" s="1566"/>
      <c r="Y46" s="3534"/>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2"/>
      <c r="M47" s="2134"/>
      <c r="N47" s="2134"/>
      <c r="O47" s="2134"/>
      <c r="P47" s="3611"/>
      <c r="Q47" s="1571">
        <f t="shared" si="11"/>
        <v>111</v>
      </c>
      <c r="R47" s="1572" t="s">
        <v>8</v>
      </c>
      <c r="S47" s="1573">
        <f t="shared" si="12"/>
        <v>100</v>
      </c>
      <c r="T47" s="1572" t="s">
        <v>8</v>
      </c>
      <c r="U47" s="1573">
        <f t="shared" si="13"/>
        <v>100</v>
      </c>
      <c r="V47" s="1572" t="s">
        <v>8</v>
      </c>
      <c r="W47" s="1573">
        <f t="shared" si="14"/>
        <v>100</v>
      </c>
      <c r="X47" s="1566"/>
      <c r="Y47" s="3611"/>
      <c r="Z47" s="1574">
        <f t="shared" si="15"/>
        <v>111</v>
      </c>
      <c r="AA47" s="1575">
        <f t="shared" si="3"/>
        <v>1</v>
      </c>
      <c r="AB47" s="1575">
        <f t="shared" si="4"/>
        <v>1</v>
      </c>
      <c r="AC47" s="1575">
        <f t="shared" si="5"/>
        <v>1</v>
      </c>
    </row>
    <row r="48" spans="1:29" ht="15">
      <c r="A48" s="605" t="s">
        <v>736</v>
      </c>
      <c r="B48" s="885"/>
      <c r="C48" s="2649" t="s">
        <v>1</v>
      </c>
      <c r="D48" s="2650"/>
      <c r="E48" s="2651">
        <v>43359</v>
      </c>
      <c r="F48" s="2652"/>
      <c r="G48" s="2653">
        <v>41948</v>
      </c>
      <c r="H48" s="2654"/>
      <c r="I48" s="2651">
        <v>45991</v>
      </c>
      <c r="J48" s="2654"/>
      <c r="K48" s="1610"/>
      <c r="L48" s="2144"/>
      <c r="M48" s="2134"/>
      <c r="N48" s="2134"/>
      <c r="O48" s="2134"/>
      <c r="P48" s="3495" t="str">
        <f>A48</f>
        <v>成交单价（元/平方米）</v>
      </c>
      <c r="Q48" s="3497"/>
      <c r="R48" s="3610">
        <f>E48</f>
        <v>43359</v>
      </c>
      <c r="S48" s="3610"/>
      <c r="T48" s="3610">
        <f>G48</f>
        <v>41948</v>
      </c>
      <c r="U48" s="3610"/>
      <c r="V48" s="3610">
        <f>I48</f>
        <v>45991</v>
      </c>
      <c r="W48" s="3610"/>
      <c r="X48" s="1558"/>
      <c r="Y48" s="1580"/>
      <c r="Z48" s="1558"/>
      <c r="AA48" s="1558"/>
      <c r="AB48" s="1558"/>
      <c r="AC48" s="1558"/>
    </row>
    <row r="49" spans="1:29" ht="15.75" thickBot="1">
      <c r="A49" s="613" t="s">
        <v>2764</v>
      </c>
      <c r="B49" s="886"/>
      <c r="C49" s="2655">
        <f>R50</f>
        <v>47136</v>
      </c>
      <c r="D49" s="2656"/>
      <c r="E49" s="2657">
        <f>R49</f>
        <v>44668</v>
      </c>
      <c r="F49" s="2657"/>
      <c r="G49" s="2655">
        <f>T49</f>
        <v>44058</v>
      </c>
      <c r="H49" s="2656"/>
      <c r="I49" s="2657">
        <f>V49</f>
        <v>52682</v>
      </c>
      <c r="J49" s="2656"/>
      <c r="K49" s="1611"/>
      <c r="L49" s="2144"/>
      <c r="M49" s="2134"/>
      <c r="N49" s="2134"/>
      <c r="O49" s="2134"/>
      <c r="P49" s="3495" t="str">
        <f>A49</f>
        <v>比较价格（元/平方米）</v>
      </c>
      <c r="Q49" s="3497"/>
      <c r="R49" s="3610">
        <f>IF(F1="售价",ROUND(PRODUCT(R48,AA7:AA47),0),ROUND(PRODUCT(R48,AA7:AA47),1))</f>
        <v>44668</v>
      </c>
      <c r="S49" s="3610"/>
      <c r="T49" s="3610">
        <f>IF(F1="售价",ROUND(PRODUCT(T48,AB7:AB47),0),ROUND(PRODUCT(T48,AB7:AB47),1))</f>
        <v>44058</v>
      </c>
      <c r="U49" s="3610"/>
      <c r="V49" s="3610">
        <f>IF(F1="售价",ROUND(PRODUCT(V48,AC7:AC47),0),ROUND(PRODUCT(V48,AC7:AC47),1))</f>
        <v>52682</v>
      </c>
      <c r="W49" s="3610"/>
      <c r="X49" s="1558"/>
      <c r="Y49" s="1558"/>
      <c r="Z49" s="1558"/>
      <c r="AA49" s="1558"/>
      <c r="AB49" s="1558"/>
      <c r="AC49" s="1558"/>
    </row>
    <row r="50" spans="1:29" ht="15.75" thickBot="1">
      <c r="A50" s="619" t="s">
        <v>2936</v>
      </c>
      <c r="B50" s="620"/>
      <c r="C50" s="2658">
        <f>R50</f>
        <v>47136</v>
      </c>
      <c r="D50" s="2658"/>
      <c r="E50" s="2658"/>
      <c r="F50" s="2658"/>
      <c r="G50" s="2658"/>
      <c r="H50" s="2658"/>
      <c r="I50" s="2658"/>
      <c r="J50" s="2658"/>
      <c r="K50" s="1612"/>
      <c r="L50" s="2144"/>
      <c r="M50" s="2134"/>
      <c r="N50" s="2134"/>
      <c r="O50" s="2134"/>
      <c r="P50" s="3612" t="str">
        <f>A50</f>
        <v>估价对象XX用房的比较价格（楼面单价，元/平方米）</v>
      </c>
      <c r="Q50" s="3495"/>
      <c r="R50" s="3609">
        <f>IF(F1="售价",ROUND(AVERAGE(R49:V49),0),ROUND(AVERAGE(R49:V49),1))</f>
        <v>47136</v>
      </c>
      <c r="S50" s="3609"/>
      <c r="T50" s="3609"/>
      <c r="U50" s="3609"/>
      <c r="V50" s="3609"/>
      <c r="W50" s="3609"/>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2" t="s">
        <v>557</v>
      </c>
      <c r="D53" s="623"/>
      <c r="E53" s="624">
        <f>IF(E48&lt;E49,E49/E48-1,E48/E49-1)</f>
        <v>3.0189810650614657E-2</v>
      </c>
      <c r="F53" s="625" t="str">
        <f>IF(OR(E53&gt;=0.3,E53&lt;=-0.3),"超过30%","")</f>
        <v/>
      </c>
      <c r="G53" s="624">
        <f>IF(G48&lt;G49,G49/G48-1,G48/G49-1)</f>
        <v>5.030037188900538E-2</v>
      </c>
      <c r="H53" s="625" t="str">
        <f>IF(OR(G53&gt;=0.3,G53&lt;=-0.3),"超过30%","")</f>
        <v/>
      </c>
      <c r="I53" s="624">
        <f>IF(I48&lt;I49,I49/I48-1,I48/I49-1)</f>
        <v>0.1454849861929508</v>
      </c>
      <c r="J53" s="625" t="str">
        <f>IF(OR(I53&gt;=0.3,I53&lt;=-0.3),"超过30%","")</f>
        <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2" t="s">
        <v>558</v>
      </c>
      <c r="D54" s="626"/>
      <c r="E54" s="624">
        <f>IF(E49&lt;G49,G49/E49-1,E49/G49-1)</f>
        <v>1.3845385628035833E-2</v>
      </c>
      <c r="F54" s="625" t="str">
        <f>IF(OR(E54&gt;=0.2,E54&lt;=-0.2),"超过20%","")</f>
        <v/>
      </c>
      <c r="G54" s="624">
        <f>IF(G49&lt;I49,I49/G49-1,G49/I49-1)</f>
        <v>0.1957419764855417</v>
      </c>
      <c r="H54" s="625" t="str">
        <f>IF(OR(G54&gt;=0.2,G54&lt;=-0.2),"超过20%","")</f>
        <v/>
      </c>
      <c r="I54" s="624">
        <f>IF(I49&lt;E49,E49/I49-1,I49/E49-1)</f>
        <v>0.17941255484910901</v>
      </c>
      <c r="J54" s="625" t="str">
        <f>IF(OR(I54&gt;=0.2,I54&lt;=-0.2),"超过20%","")</f>
        <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2" t="s">
        <v>559</v>
      </c>
      <c r="D55" s="626"/>
      <c r="E55" s="624">
        <f>IF(E48&lt;G48,G48/E48-1,E48/G48-1)</f>
        <v>3.3636883760846725E-2</v>
      </c>
      <c r="F55" s="625" t="str">
        <f>IF(OR(E55&gt;=0.3,E55&lt;=-0.3),"超过30%","")</f>
        <v/>
      </c>
      <c r="G55" s="624">
        <f>IF(G48&lt;I48,I48/G48-1,G48/I48-1)</f>
        <v>9.6381233908648722E-2</v>
      </c>
      <c r="H55" s="625" t="str">
        <f>IF(OR(G55&gt;=0.3,G55&lt;=-0.3),"超过30%","")</f>
        <v/>
      </c>
      <c r="I55" s="624">
        <f>IF(I48&lt;E48,E48/I48-1,I48/E48-1)</f>
        <v>6.0702506976636927E-2</v>
      </c>
      <c r="J55" s="625" t="str">
        <f>IF(OR(I55&gt;=0.3,I55&lt;=-0.3),"超过30%","")</f>
        <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3" t="s">
        <v>529</v>
      </c>
      <c r="B59" s="644"/>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11"/>
      <c r="Q59" s="2161"/>
      <c r="R59" s="2161"/>
      <c r="S59" s="2161"/>
      <c r="T59" s="2161"/>
      <c r="U59" s="2161"/>
      <c r="V59" s="2161"/>
      <c r="W59" s="2161"/>
      <c r="X59" s="2161"/>
      <c r="Y59" s="2161"/>
      <c r="Z59" s="2161"/>
      <c r="AA59" s="2161"/>
      <c r="AB59" s="2161"/>
      <c r="AC59" s="2161"/>
    </row>
    <row r="60" spans="1:29" s="1218" customFormat="1" ht="15">
      <c r="A60" s="645"/>
      <c r="B60" s="646"/>
      <c r="C60" s="647">
        <v>100</v>
      </c>
      <c r="D60" s="648">
        <v>99</v>
      </c>
      <c r="E60" s="648">
        <v>98</v>
      </c>
      <c r="F60" s="648"/>
      <c r="G60" s="648"/>
      <c r="H60" s="648"/>
      <c r="I60" s="648"/>
      <c r="J60" s="648"/>
      <c r="K60" s="648"/>
      <c r="L60" s="648"/>
      <c r="M60" s="649"/>
      <c r="N60" s="648"/>
      <c r="O60" s="649"/>
      <c r="P60" s="2212"/>
      <c r="Q60" s="1993"/>
      <c r="R60" s="1993"/>
      <c r="S60" s="1993"/>
      <c r="T60" s="1993"/>
      <c r="U60" s="1993"/>
      <c r="V60" s="1993"/>
      <c r="W60" s="1993"/>
      <c r="X60" s="1993"/>
      <c r="Y60" s="1993"/>
      <c r="Z60" s="1993"/>
      <c r="AA60" s="1993"/>
      <c r="AB60" s="1993"/>
      <c r="AC60" s="1993"/>
    </row>
    <row r="61" spans="1:29" s="1218" customFormat="1" ht="15.75" thickBot="1">
      <c r="A61" s="651" t="s">
        <v>575</v>
      </c>
      <c r="B61" s="652"/>
      <c r="C61" s="653">
        <v>100</v>
      </c>
      <c r="D61" s="654">
        <v>99</v>
      </c>
      <c r="E61" s="654">
        <v>98</v>
      </c>
      <c r="F61" s="654"/>
      <c r="G61" s="654"/>
      <c r="H61" s="654"/>
      <c r="I61" s="654"/>
      <c r="J61" s="654"/>
      <c r="K61" s="654"/>
      <c r="L61" s="654"/>
      <c r="M61" s="655"/>
      <c r="N61" s="654"/>
      <c r="O61" s="655"/>
      <c r="P61" s="2212"/>
      <c r="Q61" s="2158"/>
      <c r="R61" s="1993"/>
      <c r="S61" s="1993"/>
      <c r="T61" s="1993"/>
      <c r="U61" s="1993"/>
      <c r="V61" s="1993"/>
      <c r="W61" s="1993"/>
      <c r="X61" s="1993"/>
      <c r="Y61" s="1993"/>
      <c r="Z61" s="1993"/>
      <c r="AA61" s="1993"/>
      <c r="AB61" s="1993"/>
      <c r="AC61" s="1993"/>
    </row>
    <row r="62" spans="1:29" s="1218" customFormat="1" ht="15">
      <c r="A62" s="657" t="s">
        <v>531</v>
      </c>
      <c r="B62" s="646"/>
      <c r="C62" s="658" t="s">
        <v>576</v>
      </c>
      <c r="D62" s="659"/>
      <c r="E62" s="659"/>
      <c r="F62" s="659"/>
      <c r="G62" s="659"/>
      <c r="H62" s="659"/>
      <c r="I62" s="659"/>
      <c r="J62" s="659"/>
      <c r="K62" s="659"/>
      <c r="L62" s="660"/>
      <c r="M62" s="661"/>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7"/>
      <c r="B63" s="646"/>
      <c r="C63" s="887">
        <v>100</v>
      </c>
      <c r="D63" s="648"/>
      <c r="E63" s="648"/>
      <c r="F63" s="648"/>
      <c r="G63" s="648"/>
      <c r="H63" s="648"/>
      <c r="I63" s="648"/>
      <c r="J63" s="648"/>
      <c r="K63" s="648"/>
      <c r="L63" s="648"/>
      <c r="M63" s="650"/>
      <c r="N63" s="2162"/>
      <c r="O63" s="2162"/>
      <c r="P63" s="2212"/>
      <c r="Q63" s="2158"/>
      <c r="R63" s="1993"/>
      <c r="S63" s="1993"/>
      <c r="T63" s="1993"/>
      <c r="U63" s="1993"/>
      <c r="V63" s="1993"/>
      <c r="W63" s="1993"/>
      <c r="X63" s="1993"/>
      <c r="Y63" s="1993"/>
      <c r="Z63" s="1993"/>
      <c r="AA63" s="1993"/>
      <c r="AB63" s="1993"/>
      <c r="AC63" s="1993"/>
    </row>
    <row r="64" spans="1:29">
      <c r="A64" s="662" t="s">
        <v>577</v>
      </c>
      <c r="B64" s="663" t="s">
        <v>534</v>
      </c>
      <c r="C64" s="702" t="str">
        <f>C9</f>
        <v>办公</v>
      </c>
      <c r="D64" s="596"/>
      <c r="E64" s="596"/>
      <c r="F64" s="596"/>
      <c r="G64" s="596"/>
      <c r="H64" s="596"/>
      <c r="I64" s="596"/>
      <c r="J64" s="596"/>
      <c r="K64" s="664"/>
      <c r="L64" s="665"/>
      <c r="M64" s="666"/>
      <c r="N64" s="2164"/>
      <c r="O64" s="2164"/>
      <c r="P64" s="2214"/>
      <c r="Q64" s="2158"/>
      <c r="R64" s="2145"/>
      <c r="S64" s="2145"/>
      <c r="T64" s="2145"/>
      <c r="U64" s="2145"/>
      <c r="V64" s="2145"/>
      <c r="W64" s="2145"/>
      <c r="X64" s="2145"/>
      <c r="Y64" s="2145"/>
      <c r="Z64" s="2145"/>
      <c r="AA64" s="2145"/>
      <c r="AB64" s="2145"/>
      <c r="AC64" s="2145"/>
    </row>
    <row r="65" spans="1:29" ht="15.75" thickBot="1">
      <c r="A65" s="667"/>
      <c r="B65" s="668"/>
      <c r="C65" s="669"/>
      <c r="D65" s="669"/>
      <c r="E65" s="669"/>
      <c r="F65" s="669"/>
      <c r="G65" s="669"/>
      <c r="H65" s="669"/>
      <c r="I65" s="669"/>
      <c r="J65" s="669"/>
      <c r="K65" s="669"/>
      <c r="L65" s="669"/>
      <c r="M65" s="670"/>
      <c r="N65" s="2166"/>
      <c r="O65" s="2166"/>
      <c r="P65" s="2214"/>
      <c r="Q65" s="2158"/>
      <c r="R65" s="2145"/>
      <c r="S65" s="2145"/>
      <c r="T65" s="2145"/>
      <c r="U65" s="2145"/>
      <c r="V65" s="2145"/>
      <c r="W65" s="2145"/>
      <c r="X65" s="2145"/>
      <c r="Y65" s="2145"/>
      <c r="Z65" s="2145"/>
      <c r="AA65" s="2145"/>
      <c r="AB65" s="2145"/>
      <c r="AC65" s="2145"/>
    </row>
    <row r="66" spans="1:29" ht="27.75" thickTop="1">
      <c r="A66" s="667"/>
      <c r="B66" s="671" t="s">
        <v>537</v>
      </c>
      <c r="C66" s="672" t="s">
        <v>737</v>
      </c>
      <c r="D66" s="672" t="s">
        <v>738</v>
      </c>
      <c r="E66" s="672" t="s">
        <v>739</v>
      </c>
      <c r="F66" s="672" t="s">
        <v>740</v>
      </c>
      <c r="G66" s="672" t="s">
        <v>741</v>
      </c>
      <c r="H66" s="672" t="s">
        <v>742</v>
      </c>
      <c r="I66" s="672" t="s">
        <v>743</v>
      </c>
      <c r="J66" s="672"/>
      <c r="K66" s="673"/>
      <c r="L66" s="674"/>
      <c r="M66" s="675"/>
      <c r="N66" s="2164"/>
      <c r="O66" s="2164"/>
      <c r="P66" s="2214"/>
      <c r="Q66" s="2158"/>
      <c r="R66" s="2145"/>
      <c r="S66" s="2145"/>
      <c r="T66" s="2145"/>
      <c r="U66" s="2145"/>
      <c r="V66" s="2145"/>
      <c r="W66" s="2145"/>
      <c r="X66" s="2145"/>
      <c r="Y66" s="2145"/>
      <c r="Z66" s="2145"/>
      <c r="AA66" s="2145"/>
      <c r="AB66" s="2145"/>
      <c r="AC66" s="2145"/>
    </row>
    <row r="67" spans="1:29" ht="15.75" thickBot="1">
      <c r="A67" s="667"/>
      <c r="B67" s="676"/>
      <c r="C67" s="677" t="s">
        <v>14</v>
      </c>
      <c r="D67" s="677" t="s">
        <v>15</v>
      </c>
      <c r="E67" s="677">
        <v>100</v>
      </c>
      <c r="F67" s="677">
        <f>E67-$K10</f>
        <v>99</v>
      </c>
      <c r="G67" s="677">
        <f>F67-$K10</f>
        <v>98</v>
      </c>
      <c r="H67" s="677">
        <f>G67-$K10</f>
        <v>97</v>
      </c>
      <c r="I67" s="677">
        <f>H67-$K10</f>
        <v>96</v>
      </c>
      <c r="J67" s="677"/>
      <c r="K67" s="677"/>
      <c r="L67" s="677"/>
      <c r="M67" s="678"/>
      <c r="N67" s="2166"/>
      <c r="O67" s="2166"/>
      <c r="P67" s="2214"/>
      <c r="Q67" s="2158"/>
      <c r="R67" s="2145"/>
      <c r="S67" s="2145"/>
      <c r="T67" s="2145"/>
      <c r="U67" s="2145"/>
      <c r="V67" s="2145"/>
      <c r="W67" s="2145"/>
      <c r="X67" s="2145"/>
      <c r="Y67" s="2145"/>
      <c r="Z67" s="2145"/>
      <c r="AA67" s="2145"/>
      <c r="AB67" s="2145"/>
      <c r="AC67" s="2145"/>
    </row>
    <row r="68" spans="1:29" ht="15.75" thickTop="1">
      <c r="A68" s="667"/>
      <c r="B68" s="679" t="s">
        <v>538</v>
      </c>
      <c r="C68" s="680" t="str">
        <f>C69&amp;"（含）"&amp;"-"&amp;D69</f>
        <v>100（含）-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7"/>
      <c r="B69" s="681"/>
      <c r="C69" s="539">
        <v>100</v>
      </c>
      <c r="D69" s="539"/>
      <c r="E69" s="539"/>
      <c r="F69" s="539"/>
      <c r="G69" s="539"/>
      <c r="H69" s="539"/>
      <c r="I69" s="539"/>
      <c r="J69" s="539"/>
      <c r="K69" s="682"/>
      <c r="L69" s="683"/>
      <c r="M69" s="684"/>
      <c r="N69" s="2164"/>
      <c r="O69" s="2164"/>
      <c r="P69" s="2214"/>
      <c r="Q69" s="2158"/>
      <c r="R69" s="2145"/>
      <c r="S69" s="2145"/>
      <c r="T69" s="2145"/>
      <c r="U69" s="2145"/>
      <c r="V69" s="2145"/>
      <c r="W69" s="2145"/>
      <c r="X69" s="2145"/>
      <c r="Y69" s="2145"/>
      <c r="Z69" s="2145"/>
      <c r="AA69" s="2145"/>
      <c r="AB69" s="2145"/>
      <c r="AC69" s="2145"/>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5"/>
      <c r="B71" s="671">
        <f>B12</f>
        <v>111</v>
      </c>
      <c r="C71" s="686"/>
      <c r="D71" s="686"/>
      <c r="E71" s="686"/>
      <c r="F71" s="686"/>
      <c r="G71" s="686"/>
      <c r="H71" s="687"/>
      <c r="I71" s="687"/>
      <c r="J71" s="687"/>
      <c r="K71" s="687"/>
      <c r="L71" s="688"/>
      <c r="M71" s="689"/>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5"/>
      <c r="B72" s="676"/>
      <c r="C72" s="690"/>
      <c r="D72" s="669"/>
      <c r="E72" s="669"/>
      <c r="F72" s="669"/>
      <c r="G72" s="669"/>
      <c r="H72" s="669"/>
      <c r="I72" s="669"/>
      <c r="J72" s="669"/>
      <c r="K72" s="669"/>
      <c r="L72" s="669"/>
      <c r="M72" s="670"/>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5"/>
      <c r="B73" s="671">
        <f>B13</f>
        <v>111</v>
      </c>
      <c r="C73" s="686"/>
      <c r="D73" s="686"/>
      <c r="E73" s="686"/>
      <c r="F73" s="686"/>
      <c r="G73" s="686"/>
      <c r="H73" s="687"/>
      <c r="I73" s="687"/>
      <c r="J73" s="687"/>
      <c r="K73" s="687"/>
      <c r="L73" s="688"/>
      <c r="M73" s="689"/>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5"/>
      <c r="B74" s="676"/>
      <c r="C74" s="690"/>
      <c r="D74" s="690"/>
      <c r="E74" s="690"/>
      <c r="F74" s="690"/>
      <c r="G74" s="690"/>
      <c r="H74" s="691"/>
      <c r="I74" s="691"/>
      <c r="J74" s="691"/>
      <c r="K74" s="691"/>
      <c r="L74" s="691"/>
      <c r="M74" s="692"/>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5"/>
      <c r="B75" s="679">
        <f>B14</f>
        <v>111</v>
      </c>
      <c r="C75" s="659"/>
      <c r="D75" s="659"/>
      <c r="E75" s="659"/>
      <c r="F75" s="659"/>
      <c r="G75" s="659"/>
      <c r="H75" s="693"/>
      <c r="I75" s="693"/>
      <c r="J75" s="693"/>
      <c r="K75" s="693"/>
      <c r="L75" s="694"/>
      <c r="M75" s="695"/>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6"/>
      <c r="B76" s="697"/>
      <c r="C76" s="698"/>
      <c r="D76" s="698"/>
      <c r="E76" s="698"/>
      <c r="F76" s="698"/>
      <c r="G76" s="698"/>
      <c r="H76" s="699"/>
      <c r="I76" s="699"/>
      <c r="J76" s="699"/>
      <c r="K76" s="699"/>
      <c r="L76" s="699"/>
      <c r="M76" s="700"/>
      <c r="N76" s="2167"/>
      <c r="O76" s="2167"/>
      <c r="P76" s="2215"/>
      <c r="Q76" s="2169"/>
      <c r="R76" s="2170"/>
      <c r="S76" s="2170"/>
      <c r="T76" s="2170"/>
      <c r="U76" s="2170"/>
      <c r="V76" s="2170"/>
      <c r="W76" s="2170"/>
      <c r="X76" s="2170"/>
      <c r="Y76" s="2170"/>
      <c r="Z76" s="2170"/>
      <c r="AA76" s="2170"/>
      <c r="AB76" s="2170"/>
      <c r="AC76" s="2170"/>
    </row>
    <row r="77" spans="1:29">
      <c r="A77" s="662" t="s">
        <v>539</v>
      </c>
      <c r="B77" s="663" t="s">
        <v>585</v>
      </c>
      <c r="C77" s="701" t="s">
        <v>579</v>
      </c>
      <c r="D77" s="701" t="s">
        <v>580</v>
      </c>
      <c r="E77" s="701" t="s">
        <v>581</v>
      </c>
      <c r="F77" s="701" t="s">
        <v>582</v>
      </c>
      <c r="G77" s="701" t="s">
        <v>583</v>
      </c>
      <c r="H77" s="702"/>
      <c r="I77" s="702"/>
      <c r="J77" s="702"/>
      <c r="K77" s="703"/>
      <c r="L77" s="704"/>
      <c r="M77" s="705"/>
      <c r="N77" s="2164"/>
      <c r="O77" s="2164"/>
      <c r="P77" s="2218"/>
      <c r="Q77" s="2158"/>
      <c r="R77" s="2145"/>
      <c r="S77" s="2145"/>
      <c r="T77" s="2145"/>
      <c r="U77" s="2145"/>
      <c r="V77" s="2145"/>
      <c r="W77" s="2145"/>
      <c r="X77" s="2145"/>
      <c r="Y77" s="2145"/>
      <c r="Z77" s="2145"/>
      <c r="AA77" s="2145"/>
      <c r="AB77" s="2145"/>
      <c r="AC77" s="2145"/>
    </row>
    <row r="78" spans="1:29" ht="15.75" thickBot="1">
      <c r="A78" s="667"/>
      <c r="B78" s="676"/>
      <c r="C78" s="677">
        <v>100</v>
      </c>
      <c r="D78" s="677">
        <f>C78-$K15</f>
        <v>98</v>
      </c>
      <c r="E78" s="677">
        <f>D78-$K15</f>
        <v>96</v>
      </c>
      <c r="F78" s="677">
        <f>E78-$K15</f>
        <v>94</v>
      </c>
      <c r="G78" s="677">
        <f>F78-$K15</f>
        <v>92</v>
      </c>
      <c r="H78" s="677"/>
      <c r="I78" s="677"/>
      <c r="J78" s="677"/>
      <c r="K78" s="677"/>
      <c r="L78" s="677"/>
      <c r="M78" s="678"/>
      <c r="N78" s="2166"/>
      <c r="O78" s="2166"/>
      <c r="P78" s="2214"/>
      <c r="Q78" s="2158"/>
      <c r="R78" s="2145"/>
      <c r="S78" s="2145"/>
      <c r="T78" s="2145"/>
      <c r="U78" s="2145"/>
      <c r="V78" s="2145"/>
      <c r="W78" s="2145"/>
      <c r="X78" s="2145"/>
      <c r="Y78" s="2145"/>
      <c r="Z78" s="2145"/>
      <c r="AA78" s="2145"/>
      <c r="AB78" s="2145"/>
      <c r="AC78" s="2145"/>
    </row>
    <row r="79" spans="1:29" ht="15.75" thickTop="1">
      <c r="A79" s="667"/>
      <c r="B79" s="671" t="s">
        <v>586</v>
      </c>
      <c r="C79" s="706" t="s">
        <v>579</v>
      </c>
      <c r="D79" s="706" t="s">
        <v>580</v>
      </c>
      <c r="E79" s="706" t="s">
        <v>581</v>
      </c>
      <c r="F79" s="706" t="s">
        <v>582</v>
      </c>
      <c r="G79" s="706" t="s">
        <v>583</v>
      </c>
      <c r="H79" s="672"/>
      <c r="I79" s="672"/>
      <c r="J79" s="672"/>
      <c r="K79" s="673"/>
      <c r="L79" s="674"/>
      <c r="M79" s="675"/>
      <c r="N79" s="2164"/>
      <c r="O79" s="2164"/>
      <c r="P79" s="2214"/>
      <c r="Q79" s="2158"/>
      <c r="R79" s="2145"/>
      <c r="S79" s="2145"/>
      <c r="T79" s="2145"/>
      <c r="U79" s="2145"/>
      <c r="V79" s="2145"/>
      <c r="W79" s="2145"/>
      <c r="X79" s="2145"/>
      <c r="Y79" s="2145"/>
      <c r="Z79" s="2145"/>
      <c r="AA79" s="2145"/>
      <c r="AB79" s="2145"/>
      <c r="AC79" s="2145"/>
    </row>
    <row r="80" spans="1:29" ht="15.75" thickBot="1">
      <c r="A80" s="667"/>
      <c r="B80" s="676"/>
      <c r="C80" s="677">
        <v>100</v>
      </c>
      <c r="D80" s="677">
        <f>C80-$K17</f>
        <v>99</v>
      </c>
      <c r="E80" s="677">
        <f>D80-$K17</f>
        <v>98</v>
      </c>
      <c r="F80" s="677">
        <f>E80-$K17</f>
        <v>97</v>
      </c>
      <c r="G80" s="677">
        <f>F80-$K17</f>
        <v>96</v>
      </c>
      <c r="H80" s="677"/>
      <c r="I80" s="677"/>
      <c r="J80" s="677"/>
      <c r="K80" s="677"/>
      <c r="L80" s="677"/>
      <c r="M80" s="678"/>
      <c r="N80" s="2166"/>
      <c r="O80" s="2166"/>
      <c r="P80" s="2214"/>
      <c r="Q80" s="2158"/>
      <c r="R80" s="2145"/>
      <c r="S80" s="2145"/>
      <c r="T80" s="2145"/>
      <c r="U80" s="2145"/>
      <c r="V80" s="2145"/>
      <c r="W80" s="2145"/>
      <c r="X80" s="2145"/>
      <c r="Y80" s="2145"/>
      <c r="Z80" s="2145"/>
      <c r="AA80" s="2145"/>
      <c r="AB80" s="2145"/>
      <c r="AC80" s="2145"/>
    </row>
    <row r="81" spans="1:29" ht="15.75" thickTop="1">
      <c r="A81" s="667"/>
      <c r="B81" s="1896" t="s">
        <v>2561</v>
      </c>
      <c r="C81" s="706" t="s">
        <v>579</v>
      </c>
      <c r="D81" s="706" t="s">
        <v>580</v>
      </c>
      <c r="E81" s="706" t="s">
        <v>581</v>
      </c>
      <c r="F81" s="706" t="s">
        <v>582</v>
      </c>
      <c r="G81" s="706" t="s">
        <v>583</v>
      </c>
      <c r="H81" s="672"/>
      <c r="I81" s="672"/>
      <c r="J81" s="672"/>
      <c r="K81" s="673"/>
      <c r="L81" s="674"/>
      <c r="M81" s="675"/>
      <c r="N81" s="2164"/>
      <c r="O81" s="2164"/>
      <c r="P81" s="2214"/>
      <c r="Q81" s="2158"/>
      <c r="R81" s="2145"/>
      <c r="S81" s="2145"/>
      <c r="T81" s="2145"/>
      <c r="U81" s="2145"/>
      <c r="V81" s="2145"/>
      <c r="W81" s="2145"/>
      <c r="X81" s="2145"/>
      <c r="Y81" s="2145"/>
      <c r="Z81" s="2145"/>
      <c r="AA81" s="2145"/>
      <c r="AB81" s="2145"/>
      <c r="AC81" s="2145"/>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6"/>
      <c r="O82" s="2166"/>
      <c r="P82" s="2214"/>
      <c r="Q82" s="2158"/>
      <c r="R82" s="2145"/>
      <c r="S82" s="2145"/>
      <c r="T82" s="2145"/>
      <c r="U82" s="2145"/>
      <c r="V82" s="2145"/>
      <c r="W82" s="2145"/>
      <c r="X82" s="2145"/>
      <c r="Y82" s="2145"/>
      <c r="Z82" s="2145"/>
      <c r="AA82" s="2145"/>
      <c r="AB82" s="2145"/>
      <c r="AC82" s="2145"/>
    </row>
    <row r="83" spans="1:29" ht="15.75" thickTop="1">
      <c r="A83" s="667"/>
      <c r="B83" s="2619" t="s">
        <v>2562</v>
      </c>
      <c r="C83" s="2620" t="s">
        <v>2563</v>
      </c>
      <c r="D83" s="2620" t="s">
        <v>2564</v>
      </c>
      <c r="E83" s="2620" t="s">
        <v>2565</v>
      </c>
      <c r="F83" s="2620" t="s">
        <v>2566</v>
      </c>
      <c r="G83" s="2620" t="s">
        <v>2567</v>
      </c>
      <c r="H83" s="672"/>
      <c r="I83" s="672"/>
      <c r="J83" s="672"/>
      <c r="K83" s="672"/>
      <c r="L83" s="672"/>
      <c r="M83" s="2623"/>
      <c r="N83" s="2166"/>
      <c r="O83" s="2166"/>
      <c r="P83" s="2214"/>
      <c r="Q83" s="2158"/>
      <c r="R83" s="2145"/>
      <c r="S83" s="2145"/>
      <c r="T83" s="2145"/>
      <c r="U83" s="2145"/>
      <c r="V83" s="2145"/>
      <c r="W83" s="2145"/>
      <c r="X83" s="2145"/>
      <c r="Y83" s="2145"/>
      <c r="Z83" s="2145"/>
      <c r="AA83" s="2145"/>
      <c r="AB83" s="2145"/>
      <c r="AC83" s="2145"/>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6"/>
      <c r="O84" s="2166"/>
      <c r="P84" s="2214"/>
      <c r="Q84" s="2158"/>
      <c r="R84" s="2145"/>
      <c r="S84" s="2145"/>
      <c r="T84" s="2145"/>
      <c r="U84" s="2145"/>
      <c r="V84" s="2145"/>
      <c r="W84" s="2145"/>
      <c r="X84" s="2145"/>
      <c r="Y84" s="2145"/>
      <c r="Z84" s="2145"/>
      <c r="AA84" s="2145"/>
      <c r="AB84" s="2145"/>
      <c r="AC84" s="2145"/>
    </row>
    <row r="85" spans="1:29" ht="15.75" thickTop="1">
      <c r="A85" s="667"/>
      <c r="B85" s="671" t="s">
        <v>784</v>
      </c>
      <c r="C85" s="706" t="s">
        <v>579</v>
      </c>
      <c r="D85" s="706" t="s">
        <v>580</v>
      </c>
      <c r="E85" s="706" t="s">
        <v>581</v>
      </c>
      <c r="F85" s="706" t="s">
        <v>582</v>
      </c>
      <c r="G85" s="706" t="s">
        <v>583</v>
      </c>
      <c r="H85" s="672"/>
      <c r="I85" s="672"/>
      <c r="J85" s="672"/>
      <c r="K85" s="673"/>
      <c r="L85" s="674"/>
      <c r="M85" s="675"/>
      <c r="N85" s="2164"/>
      <c r="O85" s="2164"/>
      <c r="P85" s="2214"/>
      <c r="Q85" s="2158"/>
      <c r="R85" s="2145"/>
      <c r="S85" s="2145"/>
      <c r="T85" s="2145"/>
      <c r="U85" s="2145"/>
      <c r="V85" s="2145"/>
      <c r="W85" s="2145"/>
      <c r="X85" s="2145"/>
      <c r="Y85" s="2145"/>
      <c r="Z85" s="2145"/>
      <c r="AA85" s="2145"/>
      <c r="AB85" s="2145"/>
      <c r="AC85" s="2145"/>
    </row>
    <row r="86" spans="1:29" ht="15.75" thickBot="1">
      <c r="A86" s="667"/>
      <c r="B86" s="676"/>
      <c r="C86" s="677">
        <v>100</v>
      </c>
      <c r="D86" s="677">
        <f>C86-$K23</f>
        <v>98</v>
      </c>
      <c r="E86" s="677">
        <f>D86-$K23</f>
        <v>96</v>
      </c>
      <c r="F86" s="677">
        <f>E86-$K23</f>
        <v>94</v>
      </c>
      <c r="G86" s="677">
        <f>F86-$K23</f>
        <v>92</v>
      </c>
      <c r="H86" s="677"/>
      <c r="I86" s="677"/>
      <c r="J86" s="677"/>
      <c r="K86" s="677"/>
      <c r="L86" s="677"/>
      <c r="M86" s="678"/>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7"/>
      <c r="B87" s="671" t="s">
        <v>785</v>
      </c>
      <c r="C87" s="3196"/>
      <c r="D87" s="3196"/>
      <c r="E87" s="3196"/>
      <c r="F87" s="3202"/>
      <c r="G87" s="686"/>
      <c r="H87" s="686"/>
      <c r="I87" s="686"/>
      <c r="J87" s="686"/>
      <c r="K87" s="686"/>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7"/>
      <c r="B88" s="676"/>
      <c r="C88" s="710">
        <v>100</v>
      </c>
      <c r="D88" s="677">
        <f t="shared" ref="D88:M88" si="19">C88-$K25</f>
        <v>99</v>
      </c>
      <c r="E88" s="677">
        <f t="shared" si="19"/>
        <v>98</v>
      </c>
      <c r="F88" s="677">
        <f t="shared" si="19"/>
        <v>97</v>
      </c>
      <c r="G88" s="677">
        <f t="shared" si="19"/>
        <v>96</v>
      </c>
      <c r="H88" s="677">
        <f t="shared" si="19"/>
        <v>95</v>
      </c>
      <c r="I88" s="677">
        <f t="shared" si="19"/>
        <v>94</v>
      </c>
      <c r="J88" s="677">
        <f t="shared" si="19"/>
        <v>93</v>
      </c>
      <c r="K88" s="677">
        <f t="shared" si="19"/>
        <v>92</v>
      </c>
      <c r="L88" s="677">
        <f t="shared" si="19"/>
        <v>91</v>
      </c>
      <c r="M88" s="677">
        <f t="shared" si="19"/>
        <v>90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7"/>
      <c r="B89" s="671" t="str">
        <f>B27</f>
        <v>楼层</v>
      </c>
      <c r="C89" s="686">
        <v>1</v>
      </c>
      <c r="D89" s="686"/>
      <c r="E89" s="686"/>
      <c r="F89" s="890"/>
      <c r="G89" s="686"/>
      <c r="H89" s="686"/>
      <c r="I89" s="686"/>
      <c r="J89" s="686"/>
      <c r="K89" s="686"/>
      <c r="L89" s="686"/>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5"/>
      <c r="B91" s="671" t="str">
        <f>B28</f>
        <v>朝向</v>
      </c>
      <c r="C91" s="686"/>
      <c r="D91" s="686"/>
      <c r="E91" s="686"/>
      <c r="F91" s="686"/>
      <c r="G91" s="686"/>
      <c r="H91" s="687"/>
      <c r="I91" s="687"/>
      <c r="J91" s="687"/>
      <c r="K91" s="687"/>
      <c r="L91" s="688"/>
      <c r="M91" s="689"/>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7"/>
      <c r="O92" s="2167"/>
      <c r="P92" s="2215"/>
      <c r="Q92" s="2169"/>
      <c r="R92" s="2170"/>
      <c r="S92" s="2170"/>
      <c r="T92" s="2170"/>
      <c r="U92" s="2170"/>
      <c r="V92" s="2170"/>
      <c r="W92" s="2170"/>
      <c r="X92" s="2170"/>
      <c r="Y92" s="2170"/>
      <c r="Z92" s="2170"/>
      <c r="AA92" s="2170"/>
      <c r="AB92" s="2170"/>
      <c r="AC92" s="2170"/>
    </row>
    <row r="93" spans="1:29" ht="29.25" thickTop="1">
      <c r="A93" s="667"/>
      <c r="B93" s="671" t="str">
        <f>B29</f>
        <v>毗邻道路的类型与等级</v>
      </c>
      <c r="C93" s="3196" t="s">
        <v>3092</v>
      </c>
      <c r="D93" s="3196" t="s">
        <v>3093</v>
      </c>
      <c r="E93" s="3196" t="s">
        <v>3053</v>
      </c>
      <c r="F93" s="3202" t="s">
        <v>3054</v>
      </c>
      <c r="G93" s="686"/>
      <c r="H93" s="686"/>
      <c r="I93" s="686"/>
      <c r="J93" s="686"/>
      <c r="K93" s="686"/>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7"/>
      <c r="B94" s="676"/>
      <c r="C94" s="690">
        <v>100</v>
      </c>
      <c r="D94" s="669">
        <v>100</v>
      </c>
      <c r="E94" s="669">
        <v>98</v>
      </c>
      <c r="F94" s="669">
        <v>96</v>
      </c>
      <c r="G94" s="669"/>
      <c r="H94" s="669"/>
      <c r="I94" s="669"/>
      <c r="J94" s="669"/>
      <c r="K94" s="669"/>
      <c r="L94" s="669"/>
      <c r="M94" s="670"/>
      <c r="N94" s="2166"/>
      <c r="O94" s="2166"/>
      <c r="P94" s="2214"/>
      <c r="Q94" s="2158"/>
      <c r="R94" s="2145"/>
      <c r="S94" s="2145"/>
      <c r="T94" s="2145"/>
      <c r="U94" s="2145"/>
      <c r="V94" s="2145"/>
      <c r="W94" s="2145"/>
      <c r="X94" s="2145"/>
      <c r="Y94" s="2145"/>
      <c r="Z94" s="2145"/>
      <c r="AA94" s="2145"/>
      <c r="AB94" s="2145"/>
      <c r="AC94" s="2145"/>
    </row>
    <row r="95" spans="1:29" ht="15.75" thickTop="1">
      <c r="A95" s="667"/>
      <c r="B95" s="671">
        <f>B30</f>
        <v>111</v>
      </c>
      <c r="C95" s="686"/>
      <c r="D95" s="686"/>
      <c r="E95" s="686"/>
      <c r="F95" s="686"/>
      <c r="G95" s="716"/>
      <c r="H95" s="716"/>
      <c r="I95" s="716"/>
      <c r="J95" s="716"/>
      <c r="K95" s="717"/>
      <c r="L95" s="718"/>
      <c r="M95" s="719"/>
      <c r="N95" s="2164"/>
      <c r="O95" s="2164"/>
      <c r="P95" s="2214"/>
      <c r="Q95" s="2158"/>
      <c r="R95" s="2145"/>
      <c r="S95" s="2145"/>
      <c r="T95" s="2145"/>
      <c r="U95" s="2145"/>
      <c r="V95" s="2145"/>
      <c r="W95" s="2145"/>
      <c r="X95" s="2145"/>
      <c r="Y95" s="2145"/>
      <c r="Z95" s="2145"/>
      <c r="AA95" s="2145"/>
      <c r="AB95" s="2145"/>
      <c r="AC95" s="2145"/>
    </row>
    <row r="96" spans="1:29" ht="15.75" thickBot="1">
      <c r="A96" s="667"/>
      <c r="B96" s="676"/>
      <c r="C96" s="690"/>
      <c r="D96" s="690"/>
      <c r="E96" s="690"/>
      <c r="F96" s="690"/>
      <c r="G96" s="669"/>
      <c r="H96" s="669"/>
      <c r="I96" s="669"/>
      <c r="J96" s="669"/>
      <c r="K96" s="669"/>
      <c r="L96" s="669"/>
      <c r="M96" s="670"/>
      <c r="N96" s="2166"/>
      <c r="O96" s="2166"/>
      <c r="P96" s="2214"/>
      <c r="Q96" s="2158"/>
      <c r="R96" s="2145"/>
      <c r="S96" s="2145"/>
      <c r="T96" s="2145"/>
      <c r="U96" s="2145"/>
      <c r="V96" s="2145"/>
      <c r="W96" s="2145"/>
      <c r="X96" s="2145"/>
      <c r="Y96" s="2145"/>
      <c r="Z96" s="2145"/>
      <c r="AA96" s="2145"/>
      <c r="AB96" s="2145"/>
      <c r="AC96" s="2145"/>
    </row>
    <row r="97" spans="1:29" ht="15.75" thickTop="1">
      <c r="A97" s="667"/>
      <c r="B97" s="671">
        <f>B31</f>
        <v>111</v>
      </c>
      <c r="C97" s="686"/>
      <c r="D97" s="686"/>
      <c r="E97" s="686"/>
      <c r="F97" s="686"/>
      <c r="G97" s="716"/>
      <c r="H97" s="716"/>
      <c r="I97" s="716"/>
      <c r="J97" s="716"/>
      <c r="K97" s="717"/>
      <c r="L97" s="718"/>
      <c r="M97" s="719"/>
      <c r="N97" s="2164"/>
      <c r="O97" s="2164"/>
      <c r="P97" s="2214"/>
      <c r="Q97" s="2158"/>
      <c r="R97" s="2145"/>
      <c r="S97" s="2145"/>
      <c r="T97" s="2145"/>
      <c r="U97" s="2145"/>
      <c r="V97" s="2145"/>
      <c r="W97" s="2145"/>
      <c r="X97" s="2145"/>
      <c r="Y97" s="2145"/>
      <c r="Z97" s="2145"/>
      <c r="AA97" s="2145"/>
      <c r="AB97" s="2145"/>
      <c r="AC97" s="2145"/>
    </row>
    <row r="98" spans="1:29" ht="15.75" thickBot="1">
      <c r="A98" s="667"/>
      <c r="B98" s="676"/>
      <c r="C98" s="690"/>
      <c r="D98" s="669"/>
      <c r="E98" s="669"/>
      <c r="F98" s="669"/>
      <c r="G98" s="669"/>
      <c r="H98" s="669"/>
      <c r="I98" s="669"/>
      <c r="J98" s="669"/>
      <c r="K98" s="669"/>
      <c r="L98" s="669"/>
      <c r="M98" s="670"/>
      <c r="N98" s="2166"/>
      <c r="O98" s="2166"/>
      <c r="P98" s="2214"/>
      <c r="Q98" s="2158"/>
      <c r="R98" s="2145"/>
      <c r="S98" s="2145"/>
      <c r="T98" s="2145"/>
      <c r="U98" s="2145"/>
      <c r="V98" s="2145"/>
      <c r="W98" s="2145"/>
      <c r="X98" s="2145"/>
      <c r="Y98" s="2145"/>
      <c r="Z98" s="2145"/>
      <c r="AA98" s="2145"/>
      <c r="AB98" s="2145"/>
      <c r="AC98" s="2145"/>
    </row>
    <row r="99" spans="1:29" ht="15.75" thickTop="1">
      <c r="A99" s="667"/>
      <c r="B99" s="679">
        <f>B32</f>
        <v>111</v>
      </c>
      <c r="C99" s="659"/>
      <c r="D99" s="659"/>
      <c r="E99" s="659"/>
      <c r="F99" s="659"/>
      <c r="G99" s="720"/>
      <c r="H99" s="720"/>
      <c r="I99" s="720"/>
      <c r="J99" s="720"/>
      <c r="K99" s="721"/>
      <c r="L99" s="722"/>
      <c r="M99" s="723"/>
      <c r="N99" s="2164"/>
      <c r="O99" s="2164"/>
      <c r="P99" s="2214"/>
      <c r="Q99" s="2158"/>
      <c r="R99" s="2145"/>
      <c r="S99" s="2145"/>
      <c r="T99" s="2145"/>
      <c r="U99" s="2145"/>
      <c r="V99" s="2145"/>
      <c r="W99" s="2145"/>
      <c r="X99" s="2145"/>
      <c r="Y99" s="2145"/>
      <c r="Z99" s="2145"/>
      <c r="AA99" s="2145"/>
      <c r="AB99" s="2145"/>
      <c r="AC99" s="2145"/>
    </row>
    <row r="100" spans="1:29" ht="15.75" thickBot="1">
      <c r="A100" s="891"/>
      <c r="B100" s="697"/>
      <c r="C100" s="698"/>
      <c r="D100" s="698"/>
      <c r="E100" s="698"/>
      <c r="F100" s="698"/>
      <c r="G100" s="724"/>
      <c r="H100" s="724"/>
      <c r="I100" s="724"/>
      <c r="J100" s="724"/>
      <c r="K100" s="724"/>
      <c r="L100" s="724"/>
      <c r="M100" s="725"/>
      <c r="N100" s="2166"/>
      <c r="O100" s="2166"/>
      <c r="P100" s="2214"/>
      <c r="Q100" s="2158"/>
      <c r="R100" s="2145"/>
      <c r="S100" s="2145"/>
      <c r="T100" s="2145"/>
      <c r="U100" s="2145"/>
      <c r="V100" s="2145"/>
      <c r="W100" s="2145"/>
      <c r="X100" s="2145"/>
      <c r="Y100" s="2145"/>
      <c r="Z100" s="2145"/>
      <c r="AA100" s="2145"/>
      <c r="AB100" s="2145"/>
      <c r="AC100" s="2145"/>
    </row>
    <row r="101" spans="1:29">
      <c r="A101" s="662" t="s">
        <v>551</v>
      </c>
      <c r="B101" s="663" t="s">
        <v>747</v>
      </c>
      <c r="C101" s="3200" t="s">
        <v>3036</v>
      </c>
      <c r="D101" s="596" t="s">
        <v>3030</v>
      </c>
      <c r="E101" s="596"/>
      <c r="F101" s="596"/>
      <c r="G101" s="596"/>
      <c r="H101" s="596"/>
      <c r="I101" s="596"/>
      <c r="J101" s="596"/>
      <c r="K101" s="664"/>
      <c r="L101" s="665"/>
      <c r="M101" s="666"/>
      <c r="N101" s="2164"/>
      <c r="O101" s="2164"/>
      <c r="P101" s="2214"/>
      <c r="Q101" s="2158"/>
      <c r="R101" s="2145"/>
      <c r="S101" s="2145"/>
      <c r="T101" s="2145"/>
      <c r="U101" s="2145"/>
      <c r="V101" s="2145"/>
      <c r="W101" s="2145"/>
      <c r="X101" s="2145"/>
      <c r="Y101" s="2145"/>
      <c r="Z101" s="2145"/>
      <c r="AA101" s="2145"/>
      <c r="AB101" s="2145"/>
      <c r="AC101" s="2145"/>
    </row>
    <row r="102" spans="1:29" ht="15.75" thickBot="1">
      <c r="A102" s="667"/>
      <c r="B102" s="676"/>
      <c r="C102" s="677">
        <v>100</v>
      </c>
      <c r="D102" s="677">
        <f t="shared" ref="D102:M102" si="22">C102-$K33</f>
        <v>97</v>
      </c>
      <c r="E102" s="677">
        <f t="shared" si="22"/>
        <v>94</v>
      </c>
      <c r="F102" s="677">
        <f t="shared" si="22"/>
        <v>91</v>
      </c>
      <c r="G102" s="677">
        <f t="shared" si="22"/>
        <v>88</v>
      </c>
      <c r="H102" s="677">
        <f t="shared" si="22"/>
        <v>85</v>
      </c>
      <c r="I102" s="677">
        <f t="shared" si="22"/>
        <v>82</v>
      </c>
      <c r="J102" s="677">
        <f t="shared" si="22"/>
        <v>79</v>
      </c>
      <c r="K102" s="677">
        <f t="shared" si="22"/>
        <v>76</v>
      </c>
      <c r="L102" s="677">
        <f t="shared" si="22"/>
        <v>73</v>
      </c>
      <c r="M102" s="678">
        <f t="shared" si="22"/>
        <v>70</v>
      </c>
      <c r="N102" s="2166"/>
      <c r="O102" s="2166"/>
      <c r="P102" s="2214"/>
      <c r="Q102" s="2158"/>
      <c r="R102" s="2145"/>
      <c r="S102" s="2145"/>
      <c r="T102" s="2145"/>
      <c r="U102" s="2145"/>
      <c r="V102" s="2145"/>
      <c r="W102" s="2145"/>
      <c r="X102" s="2145"/>
      <c r="Y102" s="2145"/>
      <c r="Z102" s="2145"/>
      <c r="AA102" s="2145"/>
      <c r="AB102" s="2145"/>
      <c r="AC102" s="2145"/>
    </row>
    <row r="103" spans="1:29" ht="29.25" thickTop="1">
      <c r="A103" s="667"/>
      <c r="B103" s="671" t="s">
        <v>748</v>
      </c>
      <c r="C103" s="706" t="str">
        <f>C104&amp;"(含)"&amp;"-"&amp;D104</f>
        <v>1(含)-10000</v>
      </c>
      <c r="D103" s="706" t="str">
        <f t="shared" ref="D103:L103" si="23">D104&amp;"(含)"&amp;"-"&amp;E104</f>
        <v>10000(含)-50000</v>
      </c>
      <c r="E103" s="706" t="str">
        <f t="shared" si="23"/>
        <v>50000(含)-100000</v>
      </c>
      <c r="F103" s="706" t="str">
        <f t="shared" si="23"/>
        <v>100000(含)-150000</v>
      </c>
      <c r="G103" s="706" t="str">
        <f t="shared" si="23"/>
        <v>150000(含)-200000</v>
      </c>
      <c r="H103" s="706" t="str">
        <f t="shared" si="23"/>
        <v>200000(含)-</v>
      </c>
      <c r="I103" s="706" t="str">
        <f t="shared" si="23"/>
        <v>(含)-</v>
      </c>
      <c r="J103" s="706" t="str">
        <f t="shared" si="23"/>
        <v>(含)-</v>
      </c>
      <c r="K103" s="706" t="str">
        <f t="shared" si="23"/>
        <v>(含)-</v>
      </c>
      <c r="L103" s="706" t="str">
        <f t="shared" si="23"/>
        <v>(含)-</v>
      </c>
      <c r="M103" s="709"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6"/>
      <c r="B104" s="727"/>
      <c r="C104" s="728">
        <v>1</v>
      </c>
      <c r="D104" s="728">
        <v>10000</v>
      </c>
      <c r="E104" s="728">
        <v>50000</v>
      </c>
      <c r="F104" s="728">
        <v>100000</v>
      </c>
      <c r="G104" s="728">
        <v>150000</v>
      </c>
      <c r="H104" s="728">
        <v>200000</v>
      </c>
      <c r="I104" s="728"/>
      <c r="J104" s="729"/>
      <c r="K104" s="729"/>
      <c r="L104" s="730"/>
      <c r="M104" s="731"/>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5"/>
      <c r="B105" s="676"/>
      <c r="C105" s="690">
        <v>100</v>
      </c>
      <c r="D105" s="669">
        <v>101</v>
      </c>
      <c r="E105" s="669">
        <v>102</v>
      </c>
      <c r="F105" s="669">
        <v>103</v>
      </c>
      <c r="G105" s="669">
        <v>104</v>
      </c>
      <c r="H105" s="669">
        <v>105</v>
      </c>
      <c r="I105" s="669"/>
      <c r="J105" s="669"/>
      <c r="K105" s="669"/>
      <c r="L105" s="669"/>
      <c r="M105" s="670"/>
      <c r="N105" s="2166"/>
      <c r="O105" s="2166"/>
      <c r="P105" s="2215"/>
      <c r="Q105" s="2169"/>
      <c r="R105" s="2170"/>
      <c r="S105" s="2170"/>
      <c r="T105" s="2170"/>
      <c r="U105" s="2170"/>
      <c r="V105" s="2170"/>
      <c r="W105" s="2170"/>
      <c r="X105" s="2170"/>
      <c r="Y105" s="2170"/>
      <c r="Z105" s="2170"/>
      <c r="AA105" s="2170"/>
      <c r="AB105" s="2170"/>
      <c r="AC105" s="2170"/>
    </row>
    <row r="106" spans="1:29" ht="15" thickTop="1">
      <c r="A106" s="733"/>
      <c r="B106" s="671" t="s">
        <v>749</v>
      </c>
      <c r="C106" s="3199" t="s">
        <v>3034</v>
      </c>
      <c r="D106" s="3198" t="s">
        <v>3032</v>
      </c>
      <c r="E106" s="3198" t="s">
        <v>3031</v>
      </c>
      <c r="F106" s="3198"/>
      <c r="G106" s="3198"/>
      <c r="H106" s="716"/>
      <c r="I106" s="716"/>
      <c r="J106" s="716"/>
      <c r="K106" s="717"/>
      <c r="L106" s="718"/>
      <c r="M106" s="719"/>
      <c r="N106" s="2164"/>
      <c r="O106" s="2164"/>
      <c r="P106" s="2214"/>
      <c r="Q106" s="2158"/>
      <c r="R106" s="2145"/>
      <c r="S106" s="2145"/>
      <c r="T106" s="2145"/>
      <c r="U106" s="2145"/>
      <c r="V106" s="2145"/>
      <c r="W106" s="2145"/>
      <c r="X106" s="2145"/>
      <c r="Y106" s="2145"/>
      <c r="Z106" s="2145"/>
      <c r="AA106" s="2145"/>
      <c r="AB106" s="2145"/>
      <c r="AC106" s="2145"/>
    </row>
    <row r="107" spans="1:29" ht="15.75" thickBot="1">
      <c r="A107" s="667"/>
      <c r="B107" s="676"/>
      <c r="C107" s="677">
        <v>100</v>
      </c>
      <c r="D107" s="677">
        <f t="shared" ref="D107:M107" si="24">C107-$K35</f>
        <v>99</v>
      </c>
      <c r="E107" s="677">
        <f t="shared" si="24"/>
        <v>98</v>
      </c>
      <c r="F107" s="677">
        <f t="shared" si="24"/>
        <v>97</v>
      </c>
      <c r="G107" s="677">
        <f t="shared" si="24"/>
        <v>96</v>
      </c>
      <c r="H107" s="677">
        <f t="shared" si="24"/>
        <v>95</v>
      </c>
      <c r="I107" s="677">
        <f t="shared" si="24"/>
        <v>94</v>
      </c>
      <c r="J107" s="677">
        <f t="shared" si="24"/>
        <v>93</v>
      </c>
      <c r="K107" s="677">
        <f t="shared" si="24"/>
        <v>92</v>
      </c>
      <c r="L107" s="677">
        <f t="shared" si="24"/>
        <v>91</v>
      </c>
      <c r="M107" s="678">
        <f t="shared" si="24"/>
        <v>90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3"/>
      <c r="B108" s="671" t="s">
        <v>751</v>
      </c>
      <c r="C108" s="3198" t="s">
        <v>3044</v>
      </c>
      <c r="D108" s="3198" t="s">
        <v>3046</v>
      </c>
      <c r="E108" s="3198" t="s">
        <v>3047</v>
      </c>
      <c r="F108" s="716"/>
      <c r="G108" s="716"/>
      <c r="H108" s="716"/>
      <c r="I108" s="716"/>
      <c r="J108" s="716"/>
      <c r="K108" s="717"/>
      <c r="L108" s="718"/>
      <c r="M108" s="719"/>
      <c r="N108" s="2164"/>
      <c r="O108" s="2164"/>
      <c r="P108" s="2214"/>
      <c r="Q108" s="2158"/>
      <c r="R108" s="2145"/>
      <c r="S108" s="2145"/>
      <c r="T108" s="2145"/>
      <c r="U108" s="2145"/>
      <c r="V108" s="2145"/>
      <c r="W108" s="2145"/>
      <c r="X108" s="2145"/>
      <c r="Y108" s="2145"/>
      <c r="Z108" s="2145"/>
      <c r="AA108" s="2145"/>
      <c r="AB108" s="2145"/>
      <c r="AC108" s="2145"/>
    </row>
    <row r="109" spans="1:29" ht="15.75" thickBot="1">
      <c r="A109" s="667"/>
      <c r="B109" s="676"/>
      <c r="C109" s="677">
        <v>100</v>
      </c>
      <c r="D109" s="677">
        <f t="shared" ref="D109:M109" si="25">C109-$K36</f>
        <v>95</v>
      </c>
      <c r="E109" s="677">
        <f t="shared" si="25"/>
        <v>90</v>
      </c>
      <c r="F109" s="677">
        <f t="shared" si="25"/>
        <v>85</v>
      </c>
      <c r="G109" s="677">
        <f t="shared" si="25"/>
        <v>80</v>
      </c>
      <c r="H109" s="677">
        <f t="shared" si="25"/>
        <v>75</v>
      </c>
      <c r="I109" s="677">
        <f t="shared" si="25"/>
        <v>70</v>
      </c>
      <c r="J109" s="677">
        <f t="shared" si="25"/>
        <v>65</v>
      </c>
      <c r="K109" s="677">
        <f t="shared" si="25"/>
        <v>60</v>
      </c>
      <c r="L109" s="677">
        <f t="shared" si="25"/>
        <v>55</v>
      </c>
      <c r="M109" s="678">
        <f t="shared" si="25"/>
        <v>50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4"/>
      <c r="O110" s="2164"/>
      <c r="P110" s="2214"/>
      <c r="Q110" s="2158"/>
      <c r="R110" s="2145"/>
      <c r="S110" s="2145"/>
      <c r="T110" s="2145"/>
      <c r="U110" s="2145"/>
      <c r="V110" s="2145"/>
      <c r="W110" s="2145"/>
      <c r="X110" s="2145"/>
      <c r="Y110" s="2145"/>
      <c r="Z110" s="2145"/>
      <c r="AA110" s="2145"/>
      <c r="AB110" s="2145"/>
      <c r="AC110" s="2145"/>
    </row>
    <row r="111" spans="1:29">
      <c r="A111" s="733"/>
      <c r="B111" s="679"/>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6"/>
      <c r="B113" s="671" t="s">
        <v>786</v>
      </c>
      <c r="C113" s="686"/>
      <c r="D113" s="686"/>
      <c r="E113" s="686"/>
      <c r="F113" s="686"/>
      <c r="G113" s="686"/>
      <c r="H113" s="716"/>
      <c r="I113" s="716"/>
      <c r="J113" s="716"/>
      <c r="K113" s="717"/>
      <c r="L113" s="718"/>
      <c r="M113" s="719"/>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3"/>
      <c r="B115" s="671" t="s">
        <v>753</v>
      </c>
      <c r="C115" s="3198" t="s">
        <v>3038</v>
      </c>
      <c r="D115" s="3198" t="s">
        <v>3040</v>
      </c>
      <c r="E115" s="716"/>
      <c r="F115" s="716"/>
      <c r="G115" s="716"/>
      <c r="H115" s="716"/>
      <c r="I115" s="716"/>
      <c r="J115" s="716"/>
      <c r="K115" s="717"/>
      <c r="L115" s="718"/>
      <c r="M115" s="719"/>
      <c r="N115" s="2164"/>
      <c r="O115" s="2164"/>
      <c r="P115" s="2214"/>
      <c r="Q115" s="2158"/>
      <c r="R115" s="2145"/>
      <c r="S115" s="2145"/>
      <c r="T115" s="2145"/>
      <c r="U115" s="2145"/>
      <c r="V115" s="2145"/>
      <c r="W115" s="2145"/>
      <c r="X115" s="2145"/>
      <c r="Y115" s="2145"/>
      <c r="Z115" s="2145"/>
      <c r="AA115" s="2145"/>
      <c r="AB115" s="2145"/>
      <c r="AC115" s="2145"/>
    </row>
    <row r="116" spans="1:29" ht="15.75" thickBot="1">
      <c r="A116" s="667"/>
      <c r="B116" s="676"/>
      <c r="C116" s="677">
        <v>100</v>
      </c>
      <c r="D116" s="677">
        <f t="shared" ref="D116:M116" si="28">C116-$K39</f>
        <v>98</v>
      </c>
      <c r="E116" s="677">
        <f t="shared" si="28"/>
        <v>96</v>
      </c>
      <c r="F116" s="677">
        <f t="shared" si="28"/>
        <v>94</v>
      </c>
      <c r="G116" s="677">
        <f t="shared" si="28"/>
        <v>92</v>
      </c>
      <c r="H116" s="677">
        <f t="shared" si="28"/>
        <v>90</v>
      </c>
      <c r="I116" s="677">
        <f t="shared" si="28"/>
        <v>88</v>
      </c>
      <c r="J116" s="677">
        <f t="shared" si="28"/>
        <v>86</v>
      </c>
      <c r="K116" s="677">
        <f t="shared" si="28"/>
        <v>84</v>
      </c>
      <c r="L116" s="677">
        <f t="shared" si="28"/>
        <v>82</v>
      </c>
      <c r="M116" s="678">
        <f t="shared" si="28"/>
        <v>80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3"/>
      <c r="B117" s="1896" t="s">
        <v>2560</v>
      </c>
      <c r="C117" s="3198" t="s">
        <v>3041</v>
      </c>
      <c r="D117" s="3198" t="s">
        <v>3042</v>
      </c>
      <c r="E117" s="686"/>
      <c r="F117" s="686"/>
      <c r="G117" s="686"/>
      <c r="H117" s="716"/>
      <c r="I117" s="716"/>
      <c r="J117" s="716"/>
      <c r="K117" s="717"/>
      <c r="L117" s="718"/>
      <c r="M117" s="719"/>
      <c r="N117" s="2164"/>
      <c r="O117" s="2164"/>
      <c r="P117" s="2214"/>
      <c r="Q117" s="2158"/>
      <c r="R117" s="2145"/>
      <c r="S117" s="2145"/>
      <c r="T117" s="2145"/>
      <c r="U117" s="2145"/>
      <c r="V117" s="2145"/>
      <c r="W117" s="2145"/>
      <c r="X117" s="2145"/>
      <c r="Y117" s="2145"/>
      <c r="Z117" s="2145"/>
      <c r="AA117" s="2145"/>
      <c r="AB117" s="2145"/>
      <c r="AC117" s="2145"/>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6"/>
      <c r="O118" s="2166"/>
      <c r="P118" s="2214"/>
      <c r="Q118" s="2158"/>
      <c r="R118" s="2145"/>
      <c r="S118" s="2145"/>
      <c r="T118" s="2145"/>
      <c r="U118" s="2145"/>
      <c r="V118" s="2145"/>
      <c r="W118" s="2145"/>
      <c r="X118" s="2145"/>
      <c r="Y118" s="2145"/>
      <c r="Z118" s="2145"/>
      <c r="AA118" s="2145"/>
      <c r="AB118" s="2145"/>
      <c r="AC118" s="2145"/>
    </row>
    <row r="119" spans="1:29" ht="15" thickTop="1">
      <c r="A119" s="733"/>
      <c r="B119" s="915" t="s">
        <v>787</v>
      </c>
      <c r="C119" s="716"/>
      <c r="D119" s="716"/>
      <c r="E119" s="716"/>
      <c r="F119" s="716"/>
      <c r="G119" s="716"/>
      <c r="H119" s="716"/>
      <c r="I119" s="716"/>
      <c r="J119" s="716"/>
      <c r="K119" s="716"/>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6"/>
      <c r="B121" s="671" t="s">
        <v>775</v>
      </c>
      <c r="C121" s="686"/>
      <c r="D121" s="686"/>
      <c r="E121" s="686"/>
      <c r="F121" s="716"/>
      <c r="G121" s="687"/>
      <c r="H121" s="687"/>
      <c r="I121" s="687"/>
      <c r="J121" s="687"/>
      <c r="K121" s="687"/>
      <c r="L121" s="688"/>
      <c r="M121" s="689"/>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5"/>
      <c r="B122" s="668"/>
      <c r="C122" s="690"/>
      <c r="D122" s="690"/>
      <c r="E122" s="690"/>
      <c r="F122" s="690"/>
      <c r="G122" s="690"/>
      <c r="H122" s="690"/>
      <c r="I122" s="690"/>
      <c r="J122" s="690"/>
      <c r="K122" s="690"/>
      <c r="L122" s="690"/>
      <c r="M122" s="690"/>
      <c r="N122" s="2167"/>
      <c r="O122" s="2167"/>
      <c r="P122" s="2215"/>
      <c r="Q122" s="2169"/>
      <c r="R122" s="2170"/>
      <c r="S122" s="2170"/>
      <c r="T122" s="2170"/>
      <c r="U122" s="2170"/>
      <c r="V122" s="2170"/>
      <c r="W122" s="2170"/>
      <c r="X122" s="2170"/>
      <c r="Y122" s="2170"/>
      <c r="Z122" s="2170"/>
      <c r="AA122" s="2170"/>
      <c r="AB122" s="2170"/>
      <c r="AC122" s="2170"/>
    </row>
    <row r="123" spans="1:29" ht="15" thickTop="1">
      <c r="A123" s="733"/>
      <c r="B123" s="671" t="s">
        <v>755</v>
      </c>
      <c r="C123" s="3198" t="s">
        <v>3044</v>
      </c>
      <c r="D123" s="3198" t="s">
        <v>3046</v>
      </c>
      <c r="E123" s="3198" t="s">
        <v>3047</v>
      </c>
      <c r="F123" s="716"/>
      <c r="G123" s="716"/>
      <c r="H123" s="716"/>
      <c r="I123" s="716"/>
      <c r="J123" s="716"/>
      <c r="K123" s="717"/>
      <c r="L123" s="718"/>
      <c r="M123" s="719"/>
      <c r="N123" s="2164"/>
      <c r="O123" s="2164"/>
      <c r="P123" s="2214"/>
      <c r="Q123" s="2158"/>
      <c r="R123" s="2145"/>
      <c r="S123" s="2145"/>
      <c r="T123" s="2145"/>
      <c r="U123" s="2145"/>
      <c r="V123" s="2145"/>
      <c r="W123" s="2145"/>
      <c r="X123" s="2145"/>
      <c r="Y123" s="2145"/>
      <c r="Z123" s="2145"/>
      <c r="AA123" s="2145"/>
      <c r="AB123" s="2145"/>
      <c r="AC123" s="2145"/>
    </row>
    <row r="124" spans="1:29" ht="15.75" thickBot="1">
      <c r="A124" s="667"/>
      <c r="B124" s="676"/>
      <c r="C124" s="677">
        <v>100</v>
      </c>
      <c r="D124" s="677">
        <f t="shared" ref="D124:M124" si="30">C124-$K43</f>
        <v>98</v>
      </c>
      <c r="E124" s="677">
        <f t="shared" si="30"/>
        <v>96</v>
      </c>
      <c r="F124" s="677">
        <f t="shared" si="30"/>
        <v>94</v>
      </c>
      <c r="G124" s="677">
        <f t="shared" si="30"/>
        <v>92</v>
      </c>
      <c r="H124" s="677">
        <f t="shared" si="30"/>
        <v>90</v>
      </c>
      <c r="I124" s="677">
        <f t="shared" si="30"/>
        <v>88</v>
      </c>
      <c r="J124" s="677">
        <f t="shared" si="30"/>
        <v>86</v>
      </c>
      <c r="K124" s="677">
        <f t="shared" si="30"/>
        <v>84</v>
      </c>
      <c r="L124" s="677">
        <f t="shared" si="30"/>
        <v>82</v>
      </c>
      <c r="M124" s="678">
        <f t="shared" si="30"/>
        <v>80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3"/>
      <c r="B125" s="671" t="s">
        <v>756</v>
      </c>
      <c r="C125" s="706" t="s">
        <v>579</v>
      </c>
      <c r="D125" s="706" t="s">
        <v>580</v>
      </c>
      <c r="E125" s="706" t="s">
        <v>581</v>
      </c>
      <c r="F125" s="706" t="s">
        <v>582</v>
      </c>
      <c r="G125" s="706" t="s">
        <v>583</v>
      </c>
      <c r="H125" s="672"/>
      <c r="I125" s="672"/>
      <c r="J125" s="672"/>
      <c r="K125" s="673"/>
      <c r="L125" s="674"/>
      <c r="M125" s="675"/>
      <c r="N125" s="2164"/>
      <c r="O125" s="2164"/>
      <c r="P125" s="2215"/>
      <c r="Q125" s="2158"/>
      <c r="R125" s="2145"/>
      <c r="S125" s="2145"/>
      <c r="T125" s="2145"/>
      <c r="U125" s="2145"/>
      <c r="V125" s="2145"/>
      <c r="W125" s="2145"/>
      <c r="X125" s="2145"/>
      <c r="Y125" s="2145"/>
      <c r="Z125" s="2145"/>
      <c r="AA125" s="2145"/>
      <c r="AB125" s="2145"/>
      <c r="AC125" s="2145"/>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6"/>
      <c r="B127" s="671" t="str">
        <f>B45</f>
        <v>建成年代</v>
      </c>
      <c r="C127" s="686">
        <v>2014</v>
      </c>
      <c r="D127" s="686">
        <v>2012</v>
      </c>
      <c r="E127" s="686">
        <v>2010</v>
      </c>
      <c r="F127" s="686">
        <v>2008</v>
      </c>
      <c r="G127" s="686">
        <v>2006</v>
      </c>
      <c r="H127" s="3204">
        <v>2005</v>
      </c>
      <c r="I127" s="687">
        <v>2004</v>
      </c>
      <c r="J127" s="687">
        <v>2003</v>
      </c>
      <c r="K127" s="687">
        <v>2002</v>
      </c>
      <c r="L127" s="687">
        <v>2000</v>
      </c>
      <c r="M127" s="689"/>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5"/>
      <c r="B128" s="676"/>
      <c r="C128" s="690">
        <v>100</v>
      </c>
      <c r="D128" s="669">
        <v>99</v>
      </c>
      <c r="E128" s="669">
        <v>98</v>
      </c>
      <c r="F128" s="669">
        <v>97</v>
      </c>
      <c r="G128" s="690">
        <v>96</v>
      </c>
      <c r="H128" s="3204">
        <v>95.5</v>
      </c>
      <c r="I128" s="691">
        <v>95</v>
      </c>
      <c r="J128" s="691">
        <v>94.5</v>
      </c>
      <c r="K128" s="691">
        <v>94</v>
      </c>
      <c r="L128" s="691">
        <v>93</v>
      </c>
      <c r="M128" s="692"/>
      <c r="N128" s="2167"/>
      <c r="O128" s="2167"/>
      <c r="P128" s="2215"/>
      <c r="Q128" s="2169"/>
      <c r="R128" s="2170"/>
      <c r="S128" s="2170"/>
      <c r="T128" s="2170"/>
      <c r="U128" s="2170"/>
      <c r="V128" s="2170"/>
      <c r="W128" s="2170"/>
      <c r="X128" s="2170"/>
      <c r="Y128" s="2170"/>
      <c r="Z128" s="2170"/>
      <c r="AA128" s="2170"/>
      <c r="AB128" s="2170"/>
      <c r="AC128" s="2170"/>
    </row>
    <row r="129" spans="1:29" ht="15" thickTop="1">
      <c r="A129" s="733"/>
      <c r="B129" s="671">
        <f>B46</f>
        <v>111</v>
      </c>
      <c r="C129" s="686"/>
      <c r="D129" s="686"/>
      <c r="E129" s="686"/>
      <c r="F129" s="686"/>
      <c r="G129" s="716"/>
      <c r="H129" s="716"/>
      <c r="I129" s="716"/>
      <c r="J129" s="716"/>
      <c r="K129" s="717"/>
      <c r="L129" s="718"/>
      <c r="M129" s="719"/>
      <c r="N129" s="2164"/>
      <c r="O129" s="2164"/>
      <c r="P129" s="2214"/>
      <c r="Q129" s="2158"/>
      <c r="R129" s="2145"/>
      <c r="S129" s="2145"/>
      <c r="T129" s="2145"/>
      <c r="U129" s="2145"/>
      <c r="V129" s="2145"/>
      <c r="W129" s="2145"/>
      <c r="X129" s="2145"/>
      <c r="Y129" s="2145"/>
      <c r="Z129" s="2145"/>
      <c r="AA129" s="2145"/>
      <c r="AB129" s="2145"/>
      <c r="AC129" s="2145"/>
    </row>
    <row r="130" spans="1:29" ht="15.75" thickBot="1">
      <c r="A130" s="667"/>
      <c r="B130" s="676"/>
      <c r="C130" s="690"/>
      <c r="D130" s="690"/>
      <c r="E130" s="690"/>
      <c r="F130" s="690"/>
      <c r="G130" s="669"/>
      <c r="H130" s="669"/>
      <c r="I130" s="669"/>
      <c r="J130" s="669"/>
      <c r="K130" s="669"/>
      <c r="L130" s="669"/>
      <c r="M130" s="670"/>
      <c r="N130" s="2166"/>
      <c r="O130" s="2166"/>
      <c r="P130" s="2214"/>
      <c r="Q130" s="2158"/>
      <c r="R130" s="2145"/>
      <c r="S130" s="2145"/>
      <c r="T130" s="2145"/>
      <c r="U130" s="2145"/>
      <c r="V130" s="2145"/>
      <c r="W130" s="2145"/>
      <c r="X130" s="2145"/>
      <c r="Y130" s="2145"/>
      <c r="Z130" s="2145"/>
      <c r="AA130" s="2145"/>
      <c r="AB130" s="2145"/>
      <c r="AC130" s="2145"/>
    </row>
    <row r="131" spans="1:29" ht="15" thickTop="1">
      <c r="A131" s="733"/>
      <c r="B131" s="679">
        <f>B47</f>
        <v>111</v>
      </c>
      <c r="C131" s="659"/>
      <c r="D131" s="659"/>
      <c r="E131" s="659"/>
      <c r="F131" s="659"/>
      <c r="G131" s="720"/>
      <c r="H131" s="720"/>
      <c r="I131" s="720"/>
      <c r="J131" s="720"/>
      <c r="K131" s="659"/>
      <c r="L131" s="660"/>
      <c r="M131" s="723"/>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7"/>
      <c r="C132" s="698"/>
      <c r="D132" s="698"/>
      <c r="E132" s="698"/>
      <c r="F132" s="698"/>
      <c r="G132" s="724"/>
      <c r="H132" s="724"/>
      <c r="I132" s="724"/>
      <c r="J132" s="724"/>
      <c r="K132" s="724"/>
      <c r="L132" s="724"/>
      <c r="M132" s="725"/>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F55 H53:H55 J53:J55">
    <cfRule type="containsText" dxfId="53" priority="16" stopIfTrue="1" operator="containsText" text="超过">
      <formula>NOT(ISERROR(SEARCH("超过",F53)))</formula>
    </cfRule>
  </conditionalFormatting>
  <conditionalFormatting sqref="E53">
    <cfRule type="expression" dxfId="52" priority="12" stopIfTrue="1">
      <formula>$F$53="超过30%"</formula>
    </cfRule>
  </conditionalFormatting>
  <conditionalFormatting sqref="E54">
    <cfRule type="expression" dxfId="51" priority="11" stopIfTrue="1">
      <formula>$F$54="超过20%"</formula>
    </cfRule>
  </conditionalFormatting>
  <conditionalFormatting sqref="E55">
    <cfRule type="expression" dxfId="50" priority="10" stopIfTrue="1">
      <formula>$F$55="超过30%"</formula>
    </cfRule>
  </conditionalFormatting>
  <conditionalFormatting sqref="G55">
    <cfRule type="expression" dxfId="49" priority="9" stopIfTrue="1">
      <formula>$H$55="超过30%"</formula>
    </cfRule>
  </conditionalFormatting>
  <conditionalFormatting sqref="G53">
    <cfRule type="expression" dxfId="48" priority="8" stopIfTrue="1">
      <formula>$H$53="超过30%"</formula>
    </cfRule>
  </conditionalFormatting>
  <conditionalFormatting sqref="G54">
    <cfRule type="expression" dxfId="47" priority="7" stopIfTrue="1">
      <formula>$H$54="超过20%"</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501" t="s">
        <v>788</v>
      </c>
      <c r="C1" s="502" t="s">
        <v>720</v>
      </c>
      <c r="D1" s="847"/>
      <c r="E1" s="504"/>
      <c r="F1" s="2829"/>
      <c r="G1" s="1600" t="s">
        <v>721</v>
      </c>
      <c r="H1" s="504"/>
      <c r="I1" s="504"/>
      <c r="J1" s="504"/>
      <c r="K1" s="505"/>
      <c r="L1" s="1561"/>
      <c r="M1" s="1562"/>
      <c r="N1" s="1562"/>
      <c r="O1" s="1562"/>
      <c r="P1" s="1563"/>
      <c r="Q1" s="1563"/>
      <c r="R1" s="1563"/>
      <c r="S1" s="1563"/>
      <c r="T1" s="1563"/>
      <c r="U1" s="1563"/>
      <c r="V1" s="1563"/>
      <c r="W1" s="1563"/>
      <c r="X1" s="1563"/>
      <c r="Y1" s="1563"/>
      <c r="Z1" s="1563"/>
      <c r="AA1" s="1563"/>
      <c r="AB1" s="1563"/>
      <c r="AC1" s="426"/>
    </row>
    <row r="2" spans="1:29" s="1334" customFormat="1" ht="28.5" customHeight="1">
      <c r="A2" s="421" t="s">
        <v>467</v>
      </c>
      <c r="B2" s="848"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6"/>
    </row>
    <row r="3" spans="1:29" s="1334" customFormat="1" ht="28.5" customHeight="1" thickBot="1">
      <c r="A3" s="507" t="s">
        <v>519</v>
      </c>
      <c r="B3" s="508" t="e">
        <f>C43</f>
        <v>#DIV/0!</v>
      </c>
      <c r="C3" s="850" t="s">
        <v>722</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521</v>
      </c>
      <c r="B4" s="511"/>
      <c r="C4" s="3503" t="s">
        <v>522</v>
      </c>
      <c r="D4" s="3504"/>
      <c r="E4" s="3537" t="s">
        <v>523</v>
      </c>
      <c r="F4" s="3538"/>
      <c r="G4" s="3503" t="s">
        <v>524</v>
      </c>
      <c r="H4" s="3504"/>
      <c r="I4" s="3503" t="s">
        <v>525</v>
      </c>
      <c r="J4" s="3504"/>
      <c r="K4" s="512" t="s">
        <v>526</v>
      </c>
      <c r="L4" s="2133"/>
      <c r="M4" s="2134"/>
      <c r="N4" s="2134"/>
      <c r="O4" s="2134"/>
      <c r="P4" s="3505" t="s">
        <v>527</v>
      </c>
      <c r="Q4" s="3506"/>
      <c r="R4" s="3511" t="s">
        <v>523</v>
      </c>
      <c r="S4" s="3512"/>
      <c r="T4" s="3511" t="s">
        <v>524</v>
      </c>
      <c r="U4" s="3512"/>
      <c r="V4" s="3498" t="s">
        <v>525</v>
      </c>
      <c r="W4" s="3498"/>
      <c r="X4" s="1566"/>
      <c r="Y4" s="3511" t="s">
        <v>527</v>
      </c>
      <c r="Z4" s="3512"/>
      <c r="AA4" s="3500" t="s">
        <v>523</v>
      </c>
      <c r="AB4" s="3501" t="s">
        <v>524</v>
      </c>
      <c r="AC4" s="3500" t="s">
        <v>525</v>
      </c>
    </row>
    <row r="5" spans="1:29" ht="15">
      <c r="A5" s="513"/>
      <c r="B5" s="514"/>
      <c r="C5" s="3519" t="s">
        <v>2930</v>
      </c>
      <c r="D5" s="3520"/>
      <c r="E5" s="3539" t="s">
        <v>2931</v>
      </c>
      <c r="F5" s="3540"/>
      <c r="G5" s="3519" t="s">
        <v>2932</v>
      </c>
      <c r="H5" s="3520"/>
      <c r="I5" s="3519" t="s">
        <v>2933</v>
      </c>
      <c r="J5" s="3520"/>
      <c r="K5" s="512"/>
      <c r="L5" s="2133"/>
      <c r="M5" s="2134"/>
      <c r="N5" s="2134"/>
      <c r="O5" s="2134"/>
      <c r="P5" s="3507"/>
      <c r="Q5" s="3508"/>
      <c r="R5" s="3513"/>
      <c r="S5" s="3514"/>
      <c r="T5" s="3513"/>
      <c r="U5" s="3514"/>
      <c r="V5" s="3498"/>
      <c r="W5" s="3498"/>
      <c r="X5" s="1566"/>
      <c r="Y5" s="3513"/>
      <c r="Z5" s="3514"/>
      <c r="AA5" s="3501"/>
      <c r="AB5" s="3501"/>
      <c r="AC5" s="3501"/>
    </row>
    <row r="6" spans="1:29" ht="15.75" thickBot="1">
      <c r="A6" s="515"/>
      <c r="B6" s="516"/>
      <c r="C6" s="3517" t="s">
        <v>2934</v>
      </c>
      <c r="D6" s="3518"/>
      <c r="E6" s="3535" t="s">
        <v>2934</v>
      </c>
      <c r="F6" s="3536"/>
      <c r="G6" s="3517" t="s">
        <v>2934</v>
      </c>
      <c r="H6" s="3518"/>
      <c r="I6" s="3517" t="s">
        <v>2934</v>
      </c>
      <c r="J6" s="3518"/>
      <c r="K6" s="512" t="s">
        <v>528</v>
      </c>
      <c r="L6" s="2133"/>
      <c r="M6" s="2134"/>
      <c r="N6" s="2134"/>
      <c r="O6" s="2134"/>
      <c r="P6" s="3509"/>
      <c r="Q6" s="3510"/>
      <c r="R6" s="3513"/>
      <c r="S6" s="3514"/>
      <c r="T6" s="3515"/>
      <c r="U6" s="3516"/>
      <c r="V6" s="3498"/>
      <c r="W6" s="3498"/>
      <c r="X6" s="1566"/>
      <c r="Y6" s="3515"/>
      <c r="Z6" s="3516"/>
      <c r="AA6" s="3502"/>
      <c r="AB6" s="3502"/>
      <c r="AC6" s="3502"/>
    </row>
    <row r="7" spans="1:29" s="1218" customFormat="1" ht="15.75" thickBot="1">
      <c r="A7" s="2934"/>
      <c r="B7" s="2941" t="s">
        <v>529</v>
      </c>
      <c r="C7" s="517">
        <f>'数据-取费表'!B2</f>
        <v>43230</v>
      </c>
      <c r="D7" s="518">
        <v>100</v>
      </c>
      <c r="E7" s="519"/>
      <c r="F7" s="520">
        <f>SUMIF(52:52,YEAR(E7)&amp;"-"&amp;MONTH(E7),53:53)</f>
        <v>0</v>
      </c>
      <c r="G7" s="519"/>
      <c r="H7" s="518">
        <f>SUMIF(52:52,YEAR(G7)&amp;"-"&amp;MONTH(G7),53:53)</f>
        <v>0</v>
      </c>
      <c r="I7" s="519"/>
      <c r="J7" s="518">
        <f>SUMIF(52:52,YEAR(I7)&amp;"-"&amp;MONTH(I7),53:53)</f>
        <v>0</v>
      </c>
      <c r="K7" s="522"/>
      <c r="L7" s="2135"/>
      <c r="M7" s="2136"/>
      <c r="N7" s="2136"/>
      <c r="O7" s="2136"/>
      <c r="P7" s="3528" t="s">
        <v>530</v>
      </c>
      <c r="Q7" s="3530"/>
      <c r="R7" s="1567" t="s">
        <v>8</v>
      </c>
      <c r="S7" s="1568">
        <f t="shared" ref="S7:S15" si="0">F7</f>
        <v>0</v>
      </c>
      <c r="T7" s="1567" t="s">
        <v>8</v>
      </c>
      <c r="U7" s="1568">
        <f t="shared" ref="U7:U15" si="1">H7</f>
        <v>0</v>
      </c>
      <c r="V7" s="1567" t="s">
        <v>8</v>
      </c>
      <c r="W7" s="1568">
        <f t="shared" ref="W7:W15" si="2">J7</f>
        <v>0</v>
      </c>
      <c r="X7" s="1569"/>
      <c r="Y7" s="3528" t="s">
        <v>530</v>
      </c>
      <c r="Z7" s="3529"/>
      <c r="AA7" s="1570" t="e">
        <f>D7/F7</f>
        <v>#DIV/0!</v>
      </c>
      <c r="AB7" s="1570" t="e">
        <f>D7/H7</f>
        <v>#DIV/0!</v>
      </c>
      <c r="AC7" s="1570" t="e">
        <f>D7/J7</f>
        <v>#DIV/0!</v>
      </c>
    </row>
    <row r="8" spans="1:29" s="1218" customFormat="1" ht="15.75" thickBot="1">
      <c r="A8" s="2935"/>
      <c r="B8" s="2942" t="s">
        <v>531</v>
      </c>
      <c r="C8" s="523" t="s">
        <v>576</v>
      </c>
      <c r="D8" s="518">
        <v>100</v>
      </c>
      <c r="E8" s="523"/>
      <c r="F8" s="520">
        <f>SUMIF(55:55,E8,56:56)-SUMIF(55:55,C8,56:56)+100</f>
        <v>0</v>
      </c>
      <c r="G8" s="523"/>
      <c r="H8" s="518">
        <f>SUMIF(55:55,G8,56:56)-SUMIF(55:55,C8,56:56)+100</f>
        <v>0</v>
      </c>
      <c r="I8" s="523"/>
      <c r="J8" s="518">
        <f>SUMIF(55:55,I8,56:56)-SUMIF(55:55,C8,56:56)+100</f>
        <v>0</v>
      </c>
      <c r="K8" s="522"/>
      <c r="L8" s="2135"/>
      <c r="M8" s="2136"/>
      <c r="N8" s="2136"/>
      <c r="O8" s="2136"/>
      <c r="P8" s="3528" t="s">
        <v>533</v>
      </c>
      <c r="Q8" s="3529"/>
      <c r="R8" s="1567" t="s">
        <v>8</v>
      </c>
      <c r="S8" s="1568">
        <f t="shared" si="0"/>
        <v>0</v>
      </c>
      <c r="T8" s="1567" t="s">
        <v>8</v>
      </c>
      <c r="U8" s="1568">
        <f t="shared" si="1"/>
        <v>0</v>
      </c>
      <c r="V8" s="1567" t="s">
        <v>8</v>
      </c>
      <c r="W8" s="1568">
        <f t="shared" si="2"/>
        <v>0</v>
      </c>
      <c r="X8" s="1569"/>
      <c r="Y8" s="3528" t="s">
        <v>533</v>
      </c>
      <c r="Z8" s="3529"/>
      <c r="AA8" s="1570" t="e">
        <f t="shared" ref="AA8:AA40" si="3">D8/F8</f>
        <v>#DIV/0!</v>
      </c>
      <c r="AB8" s="1570" t="e">
        <f t="shared" ref="AB8:AB40" si="4">D8/H8</f>
        <v>#DIV/0!</v>
      </c>
      <c r="AC8" s="1570" t="e">
        <f t="shared" ref="AC8:AC40" si="5">D8/J8</f>
        <v>#DIV/0!</v>
      </c>
    </row>
    <row r="9" spans="1:29" s="1218" customFormat="1" ht="15">
      <c r="A9" s="2936"/>
      <c r="B9" s="2943" t="s">
        <v>2760</v>
      </c>
      <c r="C9" s="855"/>
      <c r="D9" s="252">
        <v>100</v>
      </c>
      <c r="E9" s="858"/>
      <c r="F9" s="252">
        <f>SUMIF(57:57,E9,58:58)-SUMIF(57:57,C9,58:58)+100</f>
        <v>100</v>
      </c>
      <c r="G9" s="856"/>
      <c r="H9" s="252">
        <f>SUMIF(57:57,G9,58:58)-SUMIF(57:57,C9,58:58)+100</f>
        <v>100</v>
      </c>
      <c r="I9" s="856"/>
      <c r="J9" s="252">
        <f>SUMIF(57:57,I9,58:58)-SUMIF(57:57,C9,58:58)+100</f>
        <v>100</v>
      </c>
      <c r="K9" s="522"/>
      <c r="L9" s="2135"/>
      <c r="M9" s="2136"/>
      <c r="N9" s="2136"/>
      <c r="O9" s="2137"/>
      <c r="P9" s="3497" t="s">
        <v>535</v>
      </c>
      <c r="Q9" s="1149" t="str">
        <f t="shared" ref="Q9:Q15" si="6">B9</f>
        <v>用途</v>
      </c>
      <c r="R9" s="1567" t="s">
        <v>8</v>
      </c>
      <c r="S9" s="1568">
        <f t="shared" si="0"/>
        <v>100</v>
      </c>
      <c r="T9" s="1567" t="s">
        <v>8</v>
      </c>
      <c r="U9" s="1568">
        <f t="shared" si="1"/>
        <v>100</v>
      </c>
      <c r="V9" s="1567" t="s">
        <v>8</v>
      </c>
      <c r="W9" s="1568">
        <f t="shared" si="2"/>
        <v>100</v>
      </c>
      <c r="X9" s="1569"/>
      <c r="Y9" s="3380" t="s">
        <v>536</v>
      </c>
      <c r="Z9" s="1148" t="str">
        <f t="shared" ref="Z9:Z15" si="7">Q9</f>
        <v>用途</v>
      </c>
      <c r="AA9" s="1570">
        <f t="shared" si="3"/>
        <v>1</v>
      </c>
      <c r="AB9" s="1570">
        <f t="shared" si="4"/>
        <v>1</v>
      </c>
      <c r="AC9" s="1570">
        <f t="shared" si="5"/>
        <v>1</v>
      </c>
    </row>
    <row r="10" spans="1:29" s="1336" customFormat="1" ht="27">
      <c r="A10" s="2937"/>
      <c r="B10" s="2942" t="s">
        <v>2761</v>
      </c>
      <c r="C10" s="859"/>
      <c r="D10" s="253">
        <v>100</v>
      </c>
      <c r="E10" s="859"/>
      <c r="F10" s="253">
        <f>SUMIF(59:59,E10,60:60)-SUMIF(59:59,C10,60:60)+100</f>
        <v>100</v>
      </c>
      <c r="G10" s="860"/>
      <c r="H10" s="253">
        <f>SUMIF(59:59,G10,60:60)-SUMIF(59:59,C10,60:60)+100</f>
        <v>100</v>
      </c>
      <c r="I10" s="859"/>
      <c r="J10" s="253">
        <f>SUMIF(59:59,I10,60:60)-SUMIF(59:59,C10,60:60)+100</f>
        <v>100</v>
      </c>
      <c r="K10" s="582"/>
      <c r="L10" s="2138"/>
      <c r="M10" s="2178"/>
      <c r="N10" s="2178"/>
      <c r="O10" s="2139"/>
      <c r="P10" s="3497"/>
      <c r="Q10" s="1149" t="str">
        <f t="shared" si="6"/>
        <v>土地使用年限（年）</v>
      </c>
      <c r="R10" s="1567" t="s">
        <v>8</v>
      </c>
      <c r="S10" s="1568">
        <f t="shared" si="0"/>
        <v>100</v>
      </c>
      <c r="T10" s="1567" t="s">
        <v>8</v>
      </c>
      <c r="U10" s="1568">
        <f t="shared" si="1"/>
        <v>100</v>
      </c>
      <c r="V10" s="1567" t="s">
        <v>8</v>
      </c>
      <c r="W10" s="1568">
        <f t="shared" si="2"/>
        <v>100</v>
      </c>
      <c r="X10" s="1569"/>
      <c r="Y10" s="3380"/>
      <c r="Z10" s="1148" t="str">
        <f t="shared" si="7"/>
        <v>土地使用年限（年）</v>
      </c>
      <c r="AA10" s="1570">
        <f t="shared" si="3"/>
        <v>1</v>
      </c>
      <c r="AB10" s="1570">
        <f t="shared" si="4"/>
        <v>1</v>
      </c>
      <c r="AC10" s="1570">
        <f t="shared" si="5"/>
        <v>1</v>
      </c>
    </row>
    <row r="11" spans="1:29" ht="15">
      <c r="A11" s="2938"/>
      <c r="B11" s="2942" t="s">
        <v>2762</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40"/>
      <c r="M11" s="2134"/>
      <c r="N11" s="2134"/>
      <c r="O11" s="2141"/>
      <c r="P11" s="3497"/>
      <c r="Q11" s="1149" t="str">
        <f t="shared" si="6"/>
        <v>容积率</v>
      </c>
      <c r="R11" s="1567" t="s">
        <v>8</v>
      </c>
      <c r="S11" s="1568" t="e">
        <f t="shared" si="0"/>
        <v>#N/A</v>
      </c>
      <c r="T11" s="1567" t="s">
        <v>8</v>
      </c>
      <c r="U11" s="1568" t="e">
        <f t="shared" si="1"/>
        <v>#N/A</v>
      </c>
      <c r="V11" s="1567" t="s">
        <v>8</v>
      </c>
      <c r="W11" s="1568" t="e">
        <f t="shared" si="2"/>
        <v>#N/A</v>
      </c>
      <c r="X11" s="1569"/>
      <c r="Y11" s="3380"/>
      <c r="Z11" s="1148" t="str">
        <f t="shared" si="7"/>
        <v>容积率</v>
      </c>
      <c r="AA11" s="1570" t="e">
        <f t="shared" si="3"/>
        <v>#N/A</v>
      </c>
      <c r="AB11" s="1570" t="e">
        <f t="shared" si="4"/>
        <v>#N/A</v>
      </c>
      <c r="AC11" s="1570" t="e">
        <f t="shared" si="5"/>
        <v>#N/A</v>
      </c>
    </row>
    <row r="12" spans="1:29" s="1218" customFormat="1" ht="15">
      <c r="A12" s="2939"/>
      <c r="B12" s="2945">
        <v>111</v>
      </c>
      <c r="C12" s="526"/>
      <c r="D12" s="536">
        <v>100</v>
      </c>
      <c r="E12" s="537"/>
      <c r="F12" s="253">
        <f>SUMIF(64:64,E12,65:65)-SUMIF(64:64,C12,65:65)+100</f>
        <v>100</v>
      </c>
      <c r="G12" s="918"/>
      <c r="H12" s="253">
        <f>SUMIF(64:64,G12,65:65)-SUMIF(64:64,C12,65:65)+100</f>
        <v>100</v>
      </c>
      <c r="I12" s="878"/>
      <c r="J12" s="253">
        <f>SUMIF(64:64,I12,65:65)-SUMIF(64:64,C12,65:65)+100</f>
        <v>100</v>
      </c>
      <c r="K12" s="579"/>
      <c r="L12" s="2135"/>
      <c r="M12" s="2136"/>
      <c r="N12" s="2136"/>
      <c r="O12" s="2137"/>
      <c r="P12" s="3497"/>
      <c r="Q12" s="1149">
        <f t="shared" si="6"/>
        <v>111</v>
      </c>
      <c r="R12" s="1567" t="s">
        <v>8</v>
      </c>
      <c r="S12" s="1568">
        <f t="shared" si="0"/>
        <v>100</v>
      </c>
      <c r="T12" s="1567" t="s">
        <v>8</v>
      </c>
      <c r="U12" s="1568">
        <f t="shared" si="1"/>
        <v>100</v>
      </c>
      <c r="V12" s="1567" t="s">
        <v>8</v>
      </c>
      <c r="W12" s="1568">
        <f t="shared" si="2"/>
        <v>100</v>
      </c>
      <c r="X12" s="1569"/>
      <c r="Y12" s="3380"/>
      <c r="Z12" s="1148">
        <f t="shared" si="7"/>
        <v>111</v>
      </c>
      <c r="AA12" s="1570">
        <f>D12/F12</f>
        <v>1</v>
      </c>
      <c r="AB12" s="1570">
        <f>D12/H12</f>
        <v>1</v>
      </c>
      <c r="AC12" s="1570">
        <f>D12/J12</f>
        <v>1</v>
      </c>
    </row>
    <row r="13" spans="1:29" ht="15">
      <c r="A13" s="2939"/>
      <c r="B13" s="2945">
        <v>111</v>
      </c>
      <c r="C13" s="537"/>
      <c r="D13" s="538">
        <v>100</v>
      </c>
      <c r="E13" s="537"/>
      <c r="F13" s="253">
        <f>SUMIF(66:66,E13,67:67)-SUMIF(66:66,C13,67:67)+100</f>
        <v>100</v>
      </c>
      <c r="G13" s="918"/>
      <c r="H13" s="538">
        <f>SUMIF(66:66,G13,67:67)-SUMIF(66:66,C13,67:67)+100</f>
        <v>100</v>
      </c>
      <c r="I13" s="878"/>
      <c r="J13" s="538">
        <f>SUMIF(66:66,I13,67:67)-SUMIF(66:66,C13,67:67)+100</f>
        <v>100</v>
      </c>
      <c r="K13" s="579"/>
      <c r="L13" s="2142"/>
      <c r="M13" s="2134"/>
      <c r="N13" s="2134"/>
      <c r="O13" s="2141"/>
      <c r="P13" s="3497"/>
      <c r="Q13" s="1149">
        <f t="shared" si="6"/>
        <v>111</v>
      </c>
      <c r="R13" s="1567" t="s">
        <v>8</v>
      </c>
      <c r="S13" s="1568">
        <f t="shared" si="0"/>
        <v>100</v>
      </c>
      <c r="T13" s="1567" t="s">
        <v>8</v>
      </c>
      <c r="U13" s="1568">
        <f t="shared" si="1"/>
        <v>100</v>
      </c>
      <c r="V13" s="1567" t="s">
        <v>8</v>
      </c>
      <c r="W13" s="1568">
        <f t="shared" si="2"/>
        <v>100</v>
      </c>
      <c r="X13" s="1569"/>
      <c r="Y13" s="3380"/>
      <c r="Z13" s="1148">
        <f t="shared" si="7"/>
        <v>111</v>
      </c>
      <c r="AA13" s="1570">
        <f t="shared" si="3"/>
        <v>1</v>
      </c>
      <c r="AB13" s="1570">
        <f t="shared" si="4"/>
        <v>1</v>
      </c>
      <c r="AC13" s="1570">
        <f t="shared" si="5"/>
        <v>1</v>
      </c>
    </row>
    <row r="14" spans="1:29" ht="15.75" thickBot="1">
      <c r="A14" s="2940"/>
      <c r="B14" s="2946">
        <v>111</v>
      </c>
      <c r="C14" s="543"/>
      <c r="D14" s="544">
        <v>100</v>
      </c>
      <c r="E14" s="543"/>
      <c r="F14" s="544">
        <f>SUMIF(68:68,E14,69:69)-SUMIF(68:68,C14,69:69)+100</f>
        <v>100</v>
      </c>
      <c r="G14" s="918"/>
      <c r="H14" s="544">
        <f>SUMIF(68:68,G14,69:69)-SUMIF(68:68,C14,69:69)+100</f>
        <v>100</v>
      </c>
      <c r="I14" s="878"/>
      <c r="J14" s="544">
        <f>SUMIF(68:68,I14,69:69)-SUMIF(68:68,C14,69:69)+100</f>
        <v>100</v>
      </c>
      <c r="K14" s="579"/>
      <c r="L14" s="2142"/>
      <c r="M14" s="2134"/>
      <c r="N14" s="2134"/>
      <c r="O14" s="2141"/>
      <c r="P14" s="3497"/>
      <c r="Q14" s="1149">
        <f t="shared" si="6"/>
        <v>111</v>
      </c>
      <c r="R14" s="1567" t="s">
        <v>8</v>
      </c>
      <c r="S14" s="1568">
        <f t="shared" si="0"/>
        <v>100</v>
      </c>
      <c r="T14" s="1567" t="s">
        <v>8</v>
      </c>
      <c r="U14" s="1568">
        <f t="shared" si="1"/>
        <v>100</v>
      </c>
      <c r="V14" s="1567" t="s">
        <v>8</v>
      </c>
      <c r="W14" s="1568">
        <f t="shared" si="2"/>
        <v>100</v>
      </c>
      <c r="X14" s="1569"/>
      <c r="Y14" s="3380"/>
      <c r="Z14" s="1148">
        <f t="shared" si="7"/>
        <v>111</v>
      </c>
      <c r="AA14" s="1570">
        <f t="shared" si="3"/>
        <v>1</v>
      </c>
      <c r="AB14" s="1570">
        <f t="shared" si="4"/>
        <v>1</v>
      </c>
      <c r="AC14" s="1570">
        <f t="shared" si="5"/>
        <v>1</v>
      </c>
    </row>
    <row r="15" spans="1:29" ht="57">
      <c r="A15" s="2932" t="s">
        <v>2758</v>
      </c>
      <c r="B15" s="164" t="s">
        <v>789</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2"/>
      <c r="M15" s="2134"/>
      <c r="N15" s="2134"/>
      <c r="O15" s="2141"/>
      <c r="P15" s="3531" t="s">
        <v>540</v>
      </c>
      <c r="Q15" s="1571" t="str">
        <f t="shared" si="6"/>
        <v>产业集聚程度</v>
      </c>
      <c r="R15" s="1572" t="s">
        <v>8</v>
      </c>
      <c r="S15" s="1573">
        <f t="shared" si="0"/>
        <v>100</v>
      </c>
      <c r="T15" s="1572" t="s">
        <v>8</v>
      </c>
      <c r="U15" s="1573">
        <f t="shared" si="1"/>
        <v>100</v>
      </c>
      <c r="V15" s="1572" t="s">
        <v>8</v>
      </c>
      <c r="W15" s="1573">
        <f t="shared" si="2"/>
        <v>100</v>
      </c>
      <c r="X15" s="1566"/>
      <c r="Y15" s="3531" t="s">
        <v>540</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2"/>
      <c r="M16" s="2134"/>
      <c r="N16" s="2134"/>
      <c r="O16" s="2141"/>
      <c r="P16" s="3532"/>
      <c r="Q16" s="1571"/>
      <c r="R16" s="1572"/>
      <c r="S16" s="1573"/>
      <c r="T16" s="1572"/>
      <c r="U16" s="1573"/>
      <c r="V16" s="1572"/>
      <c r="W16" s="1573"/>
      <c r="X16" s="1566"/>
      <c r="Y16" s="3532"/>
      <c r="Z16" s="1574"/>
      <c r="AA16" s="1575">
        <v>1</v>
      </c>
      <c r="AB16" s="1575">
        <v>1</v>
      </c>
      <c r="AC16" s="1575">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2"/>
      <c r="M17" s="2134"/>
      <c r="N17" s="2134"/>
      <c r="O17" s="2141"/>
      <c r="P17" s="3532"/>
      <c r="Q17" s="1571" t="str">
        <f>B17</f>
        <v>交通便捷度</v>
      </c>
      <c r="R17" s="1572" t="s">
        <v>8</v>
      </c>
      <c r="S17" s="1573">
        <f>F17</f>
        <v>100</v>
      </c>
      <c r="T17" s="1572" t="s">
        <v>8</v>
      </c>
      <c r="U17" s="1573">
        <f>H17</f>
        <v>100</v>
      </c>
      <c r="V17" s="1572" t="s">
        <v>8</v>
      </c>
      <c r="W17" s="1573">
        <f>J17</f>
        <v>100</v>
      </c>
      <c r="X17" s="1566"/>
      <c r="Y17" s="3532"/>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2"/>
      <c r="M18" s="2134"/>
      <c r="N18" s="2134"/>
      <c r="O18" s="2141"/>
      <c r="P18" s="3532"/>
      <c r="Q18" s="1571"/>
      <c r="R18" s="1572"/>
      <c r="S18" s="1573"/>
      <c r="T18" s="1572"/>
      <c r="U18" s="1573"/>
      <c r="V18" s="1572"/>
      <c r="W18" s="1573"/>
      <c r="X18" s="1566"/>
      <c r="Y18" s="3532"/>
      <c r="Z18" s="1574"/>
      <c r="AA18" s="1575">
        <v>1</v>
      </c>
      <c r="AB18" s="1575">
        <v>1</v>
      </c>
      <c r="AC18" s="1575">
        <v>1</v>
      </c>
    </row>
    <row r="19" spans="1:29" ht="42.75">
      <c r="A19" s="530"/>
      <c r="B19" s="2625" t="s">
        <v>2550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2"/>
      <c r="M19" s="2134"/>
      <c r="N19" s="2134"/>
      <c r="O19" s="2141"/>
      <c r="P19" s="3532"/>
      <c r="Q19" s="1571" t="str">
        <f>B19</f>
        <v>公共配套设施</v>
      </c>
      <c r="R19" s="1572" t="s">
        <v>8</v>
      </c>
      <c r="S19" s="1573">
        <f>F19</f>
        <v>100</v>
      </c>
      <c r="T19" s="1572" t="s">
        <v>8</v>
      </c>
      <c r="U19" s="1573">
        <f>H19</f>
        <v>100</v>
      </c>
      <c r="V19" s="1572" t="s">
        <v>8</v>
      </c>
      <c r="W19" s="1573">
        <f>J19</f>
        <v>100</v>
      </c>
      <c r="X19" s="1566"/>
      <c r="Y19" s="3532"/>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2"/>
      <c r="M20" s="2134"/>
      <c r="N20" s="2134"/>
      <c r="O20" s="2141"/>
      <c r="P20" s="3532"/>
      <c r="Q20" s="1571"/>
      <c r="R20" s="1572"/>
      <c r="S20" s="1573"/>
      <c r="T20" s="1572"/>
      <c r="U20" s="1573"/>
      <c r="V20" s="1572"/>
      <c r="W20" s="1573"/>
      <c r="X20" s="1566"/>
      <c r="Y20" s="3532"/>
      <c r="Z20" s="1574"/>
      <c r="AA20" s="1575">
        <v>1</v>
      </c>
      <c r="AB20" s="1575">
        <v>1</v>
      </c>
      <c r="AC20" s="1575">
        <v>1</v>
      </c>
    </row>
    <row r="21" spans="1:29" ht="28.5">
      <c r="A21" s="530"/>
      <c r="B21" s="2613" t="s">
        <v>2562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2"/>
      <c r="M21" s="2134"/>
      <c r="N21" s="2134"/>
      <c r="O21" s="2141"/>
      <c r="P21" s="3532"/>
      <c r="Q21" s="2601" t="str">
        <f>B21</f>
        <v>基础设施水平</v>
      </c>
      <c r="R21" s="1572" t="s">
        <v>8</v>
      </c>
      <c r="S21" s="1573">
        <f>F21</f>
        <v>100</v>
      </c>
      <c r="T21" s="1572" t="s">
        <v>8</v>
      </c>
      <c r="U21" s="1573">
        <f>H21</f>
        <v>100</v>
      </c>
      <c r="V21" s="1572" t="s">
        <v>8</v>
      </c>
      <c r="W21" s="1573">
        <f>J21</f>
        <v>100</v>
      </c>
      <c r="X21" s="2603"/>
      <c r="Y21" s="3532"/>
      <c r="Z21" s="2602"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24"/>
      <c r="L22" s="2142"/>
      <c r="M22" s="2134"/>
      <c r="N22" s="2134"/>
      <c r="O22" s="2141"/>
      <c r="P22" s="3532"/>
      <c r="Q22" s="2601"/>
      <c r="R22" s="1572"/>
      <c r="S22" s="1573"/>
      <c r="T22" s="1572"/>
      <c r="U22" s="1573"/>
      <c r="V22" s="1572"/>
      <c r="W22" s="1573"/>
      <c r="X22" s="2603"/>
      <c r="Y22" s="3532"/>
      <c r="Z22" s="2602"/>
      <c r="AA22" s="1575">
        <v>1</v>
      </c>
      <c r="AB22" s="1575">
        <v>1</v>
      </c>
      <c r="AC22" s="1575">
        <v>1</v>
      </c>
    </row>
    <row r="23" spans="1:29" ht="71.25">
      <c r="A23" s="530"/>
      <c r="B23" s="869" t="s">
        <v>778</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2"/>
      <c r="M23" s="2134"/>
      <c r="N23" s="2134"/>
      <c r="O23" s="2141"/>
      <c r="P23" s="3532"/>
      <c r="Q23" s="1571" t="str">
        <f>B23</f>
        <v>环境质量</v>
      </c>
      <c r="R23" s="1572" t="s">
        <v>8</v>
      </c>
      <c r="S23" s="1573">
        <f>F23</f>
        <v>100</v>
      </c>
      <c r="T23" s="1572" t="s">
        <v>8</v>
      </c>
      <c r="U23" s="1573">
        <f>H23</f>
        <v>100</v>
      </c>
      <c r="V23" s="1572" t="s">
        <v>8</v>
      </c>
      <c r="W23" s="1573">
        <f>J23</f>
        <v>100</v>
      </c>
      <c r="X23" s="1566"/>
      <c r="Y23" s="3532"/>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2"/>
      <c r="M24" s="2134"/>
      <c r="N24" s="2134"/>
      <c r="O24" s="2141"/>
      <c r="P24" s="3532"/>
      <c r="Q24" s="1571"/>
      <c r="R24" s="1572"/>
      <c r="S24" s="1573"/>
      <c r="T24" s="1572"/>
      <c r="U24" s="1573"/>
      <c r="V24" s="1572"/>
      <c r="W24" s="1573"/>
      <c r="X24" s="1566"/>
      <c r="Y24" s="3532"/>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2"/>
      <c r="M25" s="2134"/>
      <c r="N25" s="2134"/>
      <c r="O25" s="2141"/>
      <c r="P25" s="3532"/>
      <c r="Q25" s="1571">
        <f>B25</f>
        <v>111</v>
      </c>
      <c r="R25" s="1572" t="s">
        <v>8</v>
      </c>
      <c r="S25" s="1573">
        <f>F25</f>
        <v>100</v>
      </c>
      <c r="T25" s="1572" t="s">
        <v>8</v>
      </c>
      <c r="U25" s="1573">
        <f>H25</f>
        <v>100</v>
      </c>
      <c r="V25" s="1572" t="s">
        <v>8</v>
      </c>
      <c r="W25" s="1573">
        <f>J25</f>
        <v>100</v>
      </c>
      <c r="X25" s="1566"/>
      <c r="Y25" s="3532"/>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2"/>
      <c r="M26" s="2134"/>
      <c r="N26" s="2134"/>
      <c r="O26" s="2141"/>
      <c r="P26" s="3532"/>
      <c r="Q26" s="1571">
        <f t="shared" ref="Q26:Q40" si="11">B26</f>
        <v>111</v>
      </c>
      <c r="R26" s="1572" t="s">
        <v>8</v>
      </c>
      <c r="S26" s="1573">
        <f>F26</f>
        <v>100</v>
      </c>
      <c r="T26" s="1572" t="s">
        <v>8</v>
      </c>
      <c r="U26" s="1573">
        <f>H26</f>
        <v>100</v>
      </c>
      <c r="V26" s="1572" t="s">
        <v>8</v>
      </c>
      <c r="W26" s="1573">
        <f>J26</f>
        <v>100</v>
      </c>
      <c r="X26" s="1566"/>
      <c r="Y26" s="3532"/>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5"/>
      <c r="M27" s="2136"/>
      <c r="N27" s="2136"/>
      <c r="O27" s="2137"/>
      <c r="P27" s="3532"/>
      <c r="Q27" s="1149">
        <f t="shared" si="11"/>
        <v>111</v>
      </c>
      <c r="R27" s="1567" t="s">
        <v>8</v>
      </c>
      <c r="S27" s="1568">
        <f>F27</f>
        <v>100</v>
      </c>
      <c r="T27" s="1567" t="s">
        <v>8</v>
      </c>
      <c r="U27" s="1568">
        <f>H27</f>
        <v>100</v>
      </c>
      <c r="V27" s="1567" t="s">
        <v>8</v>
      </c>
      <c r="W27" s="1568">
        <f>J27</f>
        <v>100</v>
      </c>
      <c r="X27" s="1569"/>
      <c r="Y27" s="3532"/>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2"/>
      <c r="M28" s="2134"/>
      <c r="N28" s="2134"/>
      <c r="O28" s="2141"/>
      <c r="P28" s="3532"/>
      <c r="Q28" s="1571">
        <f t="shared" si="11"/>
        <v>111</v>
      </c>
      <c r="R28" s="1572" t="s">
        <v>8</v>
      </c>
      <c r="S28" s="1573">
        <f t="shared" ref="S28:S40" si="12">F28</f>
        <v>100</v>
      </c>
      <c r="T28" s="1572" t="s">
        <v>8</v>
      </c>
      <c r="U28" s="1573">
        <f t="shared" ref="U28:U40" si="13">H28</f>
        <v>100</v>
      </c>
      <c r="V28" s="1572" t="s">
        <v>8</v>
      </c>
      <c r="W28" s="1573">
        <f t="shared" ref="W28:W40" si="14">J28</f>
        <v>100</v>
      </c>
      <c r="X28" s="1566"/>
      <c r="Y28" s="3532"/>
      <c r="Z28" s="1574">
        <f t="shared" ref="Z28:Z40" si="15">Q28</f>
        <v>111</v>
      </c>
      <c r="AA28" s="1575">
        <f t="shared" si="3"/>
        <v>1</v>
      </c>
      <c r="AB28" s="1575">
        <f t="shared" si="4"/>
        <v>1</v>
      </c>
      <c r="AC28" s="1575">
        <f t="shared" si="5"/>
        <v>1</v>
      </c>
    </row>
    <row r="29" spans="1:29" ht="15">
      <c r="A29" s="2929" t="s">
        <v>2759</v>
      </c>
      <c r="B29" s="170" t="s">
        <v>780</v>
      </c>
      <c r="C29" s="914"/>
      <c r="D29" s="595">
        <v>100</v>
      </c>
      <c r="E29" s="914"/>
      <c r="F29" s="573">
        <f>SUMIF(88:88,E29,89:89)-SUMIF(88:88,C29,89:89)+100</f>
        <v>100</v>
      </c>
      <c r="G29" s="914"/>
      <c r="H29" s="538">
        <f>SUMIF(88:88,G29,89:89)-SUMIF(88:88,C29,89:89)+100</f>
        <v>100</v>
      </c>
      <c r="I29" s="914"/>
      <c r="J29" s="595">
        <f>SUMIF(88:88,I29,89:89)-SUMIF(88:88,C29,89:89)+100</f>
        <v>100</v>
      </c>
      <c r="K29" s="582"/>
      <c r="L29" s="2142"/>
      <c r="M29" s="2134"/>
      <c r="N29" s="2134"/>
      <c r="O29" s="2141"/>
      <c r="P29" s="3533" t="s">
        <v>550</v>
      </c>
      <c r="Q29" s="1571" t="str">
        <f t="shared" si="11"/>
        <v>建筑类型</v>
      </c>
      <c r="R29" s="1572" t="s">
        <v>8</v>
      </c>
      <c r="S29" s="1573">
        <f t="shared" si="12"/>
        <v>100</v>
      </c>
      <c r="T29" s="1572" t="s">
        <v>8</v>
      </c>
      <c r="U29" s="1573">
        <f t="shared" si="13"/>
        <v>100</v>
      </c>
      <c r="V29" s="1572" t="s">
        <v>8</v>
      </c>
      <c r="W29" s="1573">
        <f t="shared" si="14"/>
        <v>100</v>
      </c>
      <c r="X29" s="1566"/>
      <c r="Y29" s="3534" t="s">
        <v>550</v>
      </c>
      <c r="Z29" s="1574" t="str">
        <f t="shared" si="15"/>
        <v>建筑类型</v>
      </c>
      <c r="AA29" s="1575">
        <f t="shared" si="3"/>
        <v>1</v>
      </c>
      <c r="AB29" s="1575">
        <f t="shared" si="4"/>
        <v>1</v>
      </c>
      <c r="AC29" s="1575">
        <f t="shared" si="5"/>
        <v>1</v>
      </c>
    </row>
    <row r="30" spans="1:29" s="1337"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40"/>
      <c r="M30" s="2171"/>
      <c r="N30" s="2171"/>
      <c r="O30" s="2143"/>
      <c r="P30" s="3534"/>
      <c r="Q30" s="1604" t="str">
        <f t="shared" si="11"/>
        <v>项目建筑规模</v>
      </c>
      <c r="R30" s="1576" t="s">
        <v>8</v>
      </c>
      <c r="S30" s="1577" t="e">
        <f t="shared" si="12"/>
        <v>#N/A</v>
      </c>
      <c r="T30" s="1576" t="s">
        <v>8</v>
      </c>
      <c r="U30" s="1577" t="e">
        <f t="shared" si="13"/>
        <v>#N/A</v>
      </c>
      <c r="V30" s="1576" t="s">
        <v>8</v>
      </c>
      <c r="W30" s="1577" t="e">
        <f t="shared" si="14"/>
        <v>#N/A</v>
      </c>
      <c r="X30" s="1578"/>
      <c r="Y30" s="3534"/>
      <c r="Z30" s="1579" t="str">
        <f t="shared" si="15"/>
        <v>项目建筑规模</v>
      </c>
      <c r="AA30" s="1575" t="e">
        <f t="shared" si="3"/>
        <v>#N/A</v>
      </c>
      <c r="AB30" s="1575" t="e">
        <f t="shared" si="4"/>
        <v>#N/A</v>
      </c>
      <c r="AC30" s="1575"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2"/>
      <c r="M31" s="2134"/>
      <c r="N31" s="2134"/>
      <c r="O31" s="2141"/>
      <c r="P31" s="3534"/>
      <c r="Q31" s="1571" t="str">
        <f t="shared" si="11"/>
        <v>建筑结构</v>
      </c>
      <c r="R31" s="1572" t="s">
        <v>8</v>
      </c>
      <c r="S31" s="1573">
        <f t="shared" si="12"/>
        <v>100</v>
      </c>
      <c r="T31" s="1572" t="s">
        <v>8</v>
      </c>
      <c r="U31" s="1573">
        <f t="shared" si="13"/>
        <v>100</v>
      </c>
      <c r="V31" s="1572" t="s">
        <v>8</v>
      </c>
      <c r="W31" s="1573">
        <f t="shared" si="14"/>
        <v>100</v>
      </c>
      <c r="X31" s="1566"/>
      <c r="Y31" s="3534"/>
      <c r="Z31" s="1574" t="str">
        <f t="shared" si="15"/>
        <v>建筑结构</v>
      </c>
      <c r="AA31" s="1575">
        <f t="shared" si="3"/>
        <v>1</v>
      </c>
      <c r="AB31" s="1575">
        <f t="shared" si="4"/>
        <v>1</v>
      </c>
      <c r="AC31" s="1575">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2"/>
      <c r="M32" s="2134"/>
      <c r="N32" s="2134"/>
      <c r="O32" s="2141"/>
      <c r="P32" s="3534"/>
      <c r="Q32" s="1571" t="str">
        <f t="shared" si="11"/>
        <v>公共部分装修</v>
      </c>
      <c r="R32" s="1572" t="s">
        <v>8</v>
      </c>
      <c r="S32" s="1573">
        <f t="shared" si="12"/>
        <v>100</v>
      </c>
      <c r="T32" s="1572" t="s">
        <v>8</v>
      </c>
      <c r="U32" s="1573">
        <f t="shared" si="13"/>
        <v>100</v>
      </c>
      <c r="V32" s="1572" t="s">
        <v>8</v>
      </c>
      <c r="W32" s="1573">
        <f t="shared" si="14"/>
        <v>100</v>
      </c>
      <c r="X32" s="1566"/>
      <c r="Y32" s="3534"/>
      <c r="Z32" s="1574" t="str">
        <f t="shared" si="15"/>
        <v>公共部分装修</v>
      </c>
      <c r="AA32" s="1575">
        <f t="shared" si="3"/>
        <v>1</v>
      </c>
      <c r="AB32" s="1575">
        <f t="shared" si="4"/>
        <v>1</v>
      </c>
      <c r="AC32" s="1575">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2"/>
      <c r="M33" s="2134"/>
      <c r="N33" s="2134"/>
      <c r="O33" s="2141"/>
      <c r="P33" s="3534"/>
      <c r="Q33" s="1571" t="str">
        <f t="shared" si="11"/>
        <v>成新度</v>
      </c>
      <c r="R33" s="1572" t="s">
        <v>8</v>
      </c>
      <c r="S33" s="1573" t="e">
        <f t="shared" si="12"/>
        <v>#N/A</v>
      </c>
      <c r="T33" s="1572" t="s">
        <v>8</v>
      </c>
      <c r="U33" s="1573" t="e">
        <f t="shared" si="13"/>
        <v>#N/A</v>
      </c>
      <c r="V33" s="1572" t="s">
        <v>8</v>
      </c>
      <c r="W33" s="1573" t="e">
        <f t="shared" si="14"/>
        <v>#N/A</v>
      </c>
      <c r="X33" s="1566"/>
      <c r="Y33" s="3534"/>
      <c r="Z33" s="1574" t="str">
        <f t="shared" si="15"/>
        <v>成新度</v>
      </c>
      <c r="AA33" s="1575" t="e">
        <f t="shared" si="3"/>
        <v>#N/A</v>
      </c>
      <c r="AB33" s="1575" t="e">
        <f t="shared" si="4"/>
        <v>#N/A</v>
      </c>
      <c r="AC33" s="1575" t="e">
        <f t="shared" si="5"/>
        <v>#N/A</v>
      </c>
    </row>
    <row r="34" spans="1:29" s="1218"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5"/>
      <c r="M34" s="2136"/>
      <c r="N34" s="2136"/>
      <c r="O34" s="2137"/>
      <c r="P34" s="3534"/>
      <c r="Q34" s="1149" t="str">
        <f t="shared" si="11"/>
        <v>物业管理</v>
      </c>
      <c r="R34" s="1567" t="s">
        <v>8</v>
      </c>
      <c r="S34" s="1568">
        <f t="shared" si="12"/>
        <v>100</v>
      </c>
      <c r="T34" s="1567" t="s">
        <v>8</v>
      </c>
      <c r="U34" s="1568">
        <f t="shared" si="13"/>
        <v>100</v>
      </c>
      <c r="V34" s="1567" t="s">
        <v>8</v>
      </c>
      <c r="W34" s="1568">
        <f t="shared" si="14"/>
        <v>100</v>
      </c>
      <c r="X34" s="1569"/>
      <c r="Y34" s="3534"/>
      <c r="Z34" s="1148" t="str">
        <f t="shared" si="15"/>
        <v>物业管理</v>
      </c>
      <c r="AA34" s="1570">
        <f t="shared" si="3"/>
        <v>1</v>
      </c>
      <c r="AB34" s="1570">
        <f t="shared" si="4"/>
        <v>1</v>
      </c>
      <c r="AC34" s="1570">
        <f t="shared" si="5"/>
        <v>1</v>
      </c>
    </row>
    <row r="35" spans="1:29" ht="15">
      <c r="A35" s="592"/>
      <c r="B35" s="1895" t="s">
        <v>2569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2"/>
      <c r="M35" s="2134"/>
      <c r="N35" s="2134"/>
      <c r="O35" s="2141"/>
      <c r="P35" s="3534" t="s">
        <v>550</v>
      </c>
      <c r="Q35" s="1571" t="str">
        <f t="shared" si="11"/>
        <v>市政基础设施</v>
      </c>
      <c r="R35" s="1572" t="s">
        <v>8</v>
      </c>
      <c r="S35" s="1573">
        <f t="shared" si="12"/>
        <v>100</v>
      </c>
      <c r="T35" s="1572" t="s">
        <v>8</v>
      </c>
      <c r="U35" s="1573">
        <f t="shared" si="13"/>
        <v>100</v>
      </c>
      <c r="V35" s="1572" t="s">
        <v>8</v>
      </c>
      <c r="W35" s="1573">
        <f t="shared" si="14"/>
        <v>100</v>
      </c>
      <c r="X35" s="1566"/>
      <c r="Y35" s="3534" t="s">
        <v>550</v>
      </c>
      <c r="Z35" s="1574" t="str">
        <f t="shared" si="15"/>
        <v>市政基础设施</v>
      </c>
      <c r="AA35" s="1575">
        <f t="shared" si="3"/>
        <v>1</v>
      </c>
      <c r="AB35" s="1575">
        <f t="shared" si="4"/>
        <v>1</v>
      </c>
      <c r="AC35" s="1575">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2"/>
      <c r="M36" s="2134"/>
      <c r="N36" s="2134"/>
      <c r="O36" s="2141"/>
      <c r="P36" s="3534"/>
      <c r="Q36" s="1571" t="str">
        <f t="shared" si="11"/>
        <v>内部装修</v>
      </c>
      <c r="R36" s="1572" t="s">
        <v>8</v>
      </c>
      <c r="S36" s="1573">
        <f t="shared" si="12"/>
        <v>100</v>
      </c>
      <c r="T36" s="1572" t="s">
        <v>8</v>
      </c>
      <c r="U36" s="1573">
        <f t="shared" si="13"/>
        <v>100</v>
      </c>
      <c r="V36" s="1572" t="s">
        <v>8</v>
      </c>
      <c r="W36" s="1573">
        <f t="shared" si="14"/>
        <v>100</v>
      </c>
      <c r="X36" s="1566"/>
      <c r="Y36" s="3534"/>
      <c r="Z36" s="1574" t="str">
        <f t="shared" si="15"/>
        <v>内部装修</v>
      </c>
      <c r="AA36" s="1575">
        <f t="shared" si="3"/>
        <v>1</v>
      </c>
      <c r="AB36" s="1575">
        <f t="shared" si="4"/>
        <v>1</v>
      </c>
      <c r="AC36" s="1575">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2"/>
      <c r="M37" s="2134"/>
      <c r="N37" s="2134"/>
      <c r="O37" s="2141"/>
      <c r="P37" s="3534"/>
      <c r="Q37" s="1571" t="str">
        <f t="shared" si="11"/>
        <v>内部装修状况</v>
      </c>
      <c r="R37" s="1572" t="s">
        <v>8</v>
      </c>
      <c r="S37" s="1573">
        <f t="shared" si="12"/>
        <v>100</v>
      </c>
      <c r="T37" s="1572" t="s">
        <v>8</v>
      </c>
      <c r="U37" s="1573">
        <f t="shared" si="13"/>
        <v>100</v>
      </c>
      <c r="V37" s="1572" t="s">
        <v>8</v>
      </c>
      <c r="W37" s="1573">
        <f t="shared" si="14"/>
        <v>100</v>
      </c>
      <c r="X37" s="1566"/>
      <c r="Y37" s="3534"/>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40"/>
      <c r="M38" s="2171"/>
      <c r="N38" s="2171"/>
      <c r="O38" s="2143"/>
      <c r="P38" s="3534"/>
      <c r="Q38" s="1604">
        <f t="shared" si="11"/>
        <v>111</v>
      </c>
      <c r="R38" s="1576" t="s">
        <v>8</v>
      </c>
      <c r="S38" s="1577">
        <f t="shared" si="12"/>
        <v>100</v>
      </c>
      <c r="T38" s="1576" t="s">
        <v>8</v>
      </c>
      <c r="U38" s="1577">
        <f t="shared" si="13"/>
        <v>100</v>
      </c>
      <c r="V38" s="1576" t="s">
        <v>8</v>
      </c>
      <c r="W38" s="1577">
        <f t="shared" si="14"/>
        <v>100</v>
      </c>
      <c r="X38" s="1578"/>
      <c r="Y38" s="3534"/>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2"/>
      <c r="M39" s="2134"/>
      <c r="N39" s="2134"/>
      <c r="O39" s="2141"/>
      <c r="P39" s="3534"/>
      <c r="Q39" s="1571">
        <f t="shared" si="11"/>
        <v>111</v>
      </c>
      <c r="R39" s="1572" t="s">
        <v>8</v>
      </c>
      <c r="S39" s="1573">
        <f t="shared" si="12"/>
        <v>100</v>
      </c>
      <c r="T39" s="1572" t="s">
        <v>8</v>
      </c>
      <c r="U39" s="1573">
        <f t="shared" si="13"/>
        <v>100</v>
      </c>
      <c r="V39" s="1572" t="s">
        <v>8</v>
      </c>
      <c r="W39" s="1573">
        <f t="shared" si="14"/>
        <v>100</v>
      </c>
      <c r="X39" s="1566"/>
      <c r="Y39" s="3534"/>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2"/>
      <c r="M40" s="2134"/>
      <c r="N40" s="2134"/>
      <c r="O40" s="2141"/>
      <c r="P40" s="3611"/>
      <c r="Q40" s="1571">
        <f t="shared" si="11"/>
        <v>111</v>
      </c>
      <c r="R40" s="1572" t="s">
        <v>8</v>
      </c>
      <c r="S40" s="1573">
        <f t="shared" si="12"/>
        <v>100</v>
      </c>
      <c r="T40" s="1572" t="s">
        <v>8</v>
      </c>
      <c r="U40" s="1573">
        <f t="shared" si="13"/>
        <v>100</v>
      </c>
      <c r="V40" s="1572" t="s">
        <v>8</v>
      </c>
      <c r="W40" s="1573">
        <f t="shared" si="14"/>
        <v>100</v>
      </c>
      <c r="X40" s="1566"/>
      <c r="Y40" s="3611"/>
      <c r="Z40" s="1574">
        <f t="shared" si="15"/>
        <v>111</v>
      </c>
      <c r="AA40" s="1575">
        <f t="shared" si="3"/>
        <v>1</v>
      </c>
      <c r="AB40" s="1575">
        <f t="shared" si="4"/>
        <v>1</v>
      </c>
      <c r="AC40" s="1575">
        <f t="shared" si="5"/>
        <v>1</v>
      </c>
    </row>
    <row r="41" spans="1:29" ht="15">
      <c r="A41" s="605" t="s">
        <v>736</v>
      </c>
      <c r="B41" s="885"/>
      <c r="C41" s="2649" t="s">
        <v>1</v>
      </c>
      <c r="D41" s="2650"/>
      <c r="E41" s="2651"/>
      <c r="F41" s="2652"/>
      <c r="G41" s="2653"/>
      <c r="H41" s="2654"/>
      <c r="I41" s="2651"/>
      <c r="J41" s="2654"/>
      <c r="K41" s="1610"/>
      <c r="L41" s="2144"/>
      <c r="M41" s="2145"/>
      <c r="N41" s="2134"/>
      <c r="O41" s="2145"/>
      <c r="P41" s="3497" t="str">
        <f>A41</f>
        <v>成交单价（元/平方米）</v>
      </c>
      <c r="Q41" s="3497"/>
      <c r="R41" s="3610">
        <f>E41</f>
        <v>0</v>
      </c>
      <c r="S41" s="3610"/>
      <c r="T41" s="3610">
        <f>G41</f>
        <v>0</v>
      </c>
      <c r="U41" s="3610"/>
      <c r="V41" s="3610">
        <f>I41</f>
        <v>0</v>
      </c>
      <c r="W41" s="3610"/>
      <c r="X41" s="1558"/>
      <c r="Y41" s="1580"/>
      <c r="Z41" s="1558"/>
      <c r="AA41" s="1558"/>
      <c r="AB41" s="1558"/>
      <c r="AC41" s="1558"/>
    </row>
    <row r="42" spans="1:29" ht="15.75" thickBot="1">
      <c r="A42" s="613" t="s">
        <v>2764</v>
      </c>
      <c r="B42" s="886"/>
      <c r="C42" s="2655" t="e">
        <f>R43</f>
        <v>#DIV/0!</v>
      </c>
      <c r="D42" s="2656"/>
      <c r="E42" s="2657" t="e">
        <f>R42</f>
        <v>#DIV/0!</v>
      </c>
      <c r="F42" s="2657"/>
      <c r="G42" s="2655" t="e">
        <f>T42</f>
        <v>#DIV/0!</v>
      </c>
      <c r="H42" s="2656"/>
      <c r="I42" s="2657" t="e">
        <f>V42</f>
        <v>#DIV/0!</v>
      </c>
      <c r="J42" s="2656"/>
      <c r="K42" s="1611"/>
      <c r="L42" s="2144"/>
      <c r="M42" s="2145"/>
      <c r="N42" s="2134"/>
      <c r="O42" s="2145"/>
      <c r="P42" s="3497" t="str">
        <f>A42</f>
        <v>比较价格（元/平方米）</v>
      </c>
      <c r="Q42" s="3497"/>
      <c r="R42" s="3610" t="e">
        <f>IF(F1="售价",ROUND(PRODUCT(R41,AA7:AA40),0),ROUND(PRODUCT(R41,AA7:AA40),1))</f>
        <v>#DIV/0!</v>
      </c>
      <c r="S42" s="3610"/>
      <c r="T42" s="3610" t="e">
        <f>IF(F1="售价",ROUND(PRODUCT(T41,AB7:AB40),0),ROUND(PRODUCT(T41,AB7:AB40),1))</f>
        <v>#DIV/0!</v>
      </c>
      <c r="U42" s="3610"/>
      <c r="V42" s="3610" t="e">
        <f>IF(F1="售价",ROUND(PRODUCT(V41,AC7:AC40),0),ROUND(PRODUCT(V41,AC7:AC40),1))</f>
        <v>#DIV/0!</v>
      </c>
      <c r="W42" s="3610"/>
      <c r="X42" s="1558"/>
      <c r="Y42" s="1558"/>
      <c r="Z42" s="1558"/>
      <c r="AA42" s="1558"/>
      <c r="AB42" s="1558"/>
      <c r="AC42" s="1558"/>
    </row>
    <row r="43" spans="1:29" ht="15.75" thickBot="1">
      <c r="A43" s="619" t="s">
        <v>2936</v>
      </c>
      <c r="B43" s="620"/>
      <c r="C43" s="2658" t="e">
        <f>R43</f>
        <v>#DIV/0!</v>
      </c>
      <c r="D43" s="2658"/>
      <c r="E43" s="2658"/>
      <c r="F43" s="2658"/>
      <c r="G43" s="2658"/>
      <c r="H43" s="2658"/>
      <c r="I43" s="2658"/>
      <c r="J43" s="2658"/>
      <c r="K43" s="1612"/>
      <c r="L43" s="2144"/>
      <c r="M43" s="2145"/>
      <c r="N43" s="2145"/>
      <c r="O43" s="2145"/>
      <c r="P43" s="3494" t="str">
        <f>A43</f>
        <v>估价对象XX用房的比较价格（楼面单价，元/平方米）</v>
      </c>
      <c r="Q43" s="3495"/>
      <c r="R43" s="3609" t="e">
        <f>IF(F1="售价",ROUND(AVERAGE(R42:V42),0),ROUND(AVERAGE(R42:V42),1))</f>
        <v>#DIV/0!</v>
      </c>
      <c r="S43" s="3609"/>
      <c r="T43" s="3609"/>
      <c r="U43" s="3609"/>
      <c r="V43" s="3609"/>
      <c r="W43" s="3609"/>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3" t="s">
        <v>529</v>
      </c>
      <c r="B52" s="644"/>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60"/>
      <c r="Q52" s="2161"/>
      <c r="R52" s="2161"/>
      <c r="S52" s="2161"/>
      <c r="T52" s="2161"/>
      <c r="U52" s="2161"/>
      <c r="V52" s="2161"/>
      <c r="W52" s="2161"/>
      <c r="X52" s="2161"/>
      <c r="Y52" s="2161"/>
      <c r="Z52" s="2161"/>
      <c r="AA52" s="2161"/>
      <c r="AB52" s="2161"/>
      <c r="AC52" s="2161"/>
    </row>
    <row r="53" spans="1:29" s="1218" customFormat="1" ht="15">
      <c r="A53" s="645"/>
      <c r="B53" s="646"/>
      <c r="C53" s="647">
        <v>100</v>
      </c>
      <c r="D53" s="648"/>
      <c r="E53" s="648"/>
      <c r="F53" s="648"/>
      <c r="G53" s="648"/>
      <c r="H53" s="648"/>
      <c r="I53" s="648"/>
      <c r="J53" s="648"/>
      <c r="K53" s="648"/>
      <c r="L53" s="648"/>
      <c r="M53" s="649"/>
      <c r="N53" s="648"/>
      <c r="O53" s="650"/>
      <c r="P53" s="2158"/>
      <c r="Q53" s="1993"/>
      <c r="R53" s="1993"/>
      <c r="S53" s="1993"/>
      <c r="T53" s="1993"/>
      <c r="U53" s="1993"/>
      <c r="V53" s="1993"/>
      <c r="W53" s="1993"/>
      <c r="X53" s="1993"/>
      <c r="Y53" s="1993"/>
      <c r="Z53" s="1993"/>
      <c r="AA53" s="1993"/>
      <c r="AB53" s="1993"/>
      <c r="AC53" s="1993"/>
    </row>
    <row r="54" spans="1:29" s="1218" customFormat="1" ht="15.75" thickBot="1">
      <c r="A54" s="651" t="s">
        <v>575</v>
      </c>
      <c r="B54" s="652"/>
      <c r="C54" s="653"/>
      <c r="D54" s="654"/>
      <c r="E54" s="654"/>
      <c r="F54" s="654"/>
      <c r="G54" s="654"/>
      <c r="H54" s="654"/>
      <c r="I54" s="654"/>
      <c r="J54" s="654"/>
      <c r="K54" s="654"/>
      <c r="L54" s="654"/>
      <c r="M54" s="655"/>
      <c r="N54" s="654"/>
      <c r="O54" s="656"/>
      <c r="P54" s="2158"/>
      <c r="Q54" s="2158"/>
      <c r="R54" s="1993"/>
      <c r="S54" s="1993"/>
      <c r="T54" s="1993"/>
      <c r="U54" s="1993"/>
      <c r="V54" s="1993"/>
      <c r="W54" s="1993"/>
      <c r="X54" s="1993"/>
      <c r="Y54" s="1993"/>
      <c r="Z54" s="1993"/>
      <c r="AA54" s="1993"/>
      <c r="AB54" s="1993"/>
      <c r="AC54" s="1993"/>
    </row>
    <row r="55" spans="1:29" s="1218" customFormat="1" ht="15">
      <c r="A55" s="657" t="s">
        <v>531</v>
      </c>
      <c r="B55" s="646"/>
      <c r="C55" s="658" t="s">
        <v>576</v>
      </c>
      <c r="D55" s="659"/>
      <c r="E55" s="659"/>
      <c r="F55" s="659"/>
      <c r="G55" s="659"/>
      <c r="H55" s="659"/>
      <c r="I55" s="659"/>
      <c r="J55" s="659"/>
      <c r="K55" s="659"/>
      <c r="L55" s="660"/>
      <c r="M55" s="661"/>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7"/>
      <c r="B56" s="646"/>
      <c r="C56" s="647">
        <v>100</v>
      </c>
      <c r="D56" s="648"/>
      <c r="E56" s="648"/>
      <c r="F56" s="648"/>
      <c r="G56" s="648"/>
      <c r="H56" s="648"/>
      <c r="I56" s="648"/>
      <c r="J56" s="648"/>
      <c r="K56" s="648"/>
      <c r="L56" s="648"/>
      <c r="M56" s="650"/>
      <c r="N56" s="2162"/>
      <c r="O56" s="2162"/>
      <c r="P56" s="2158"/>
      <c r="Q56" s="2158"/>
      <c r="R56" s="1993"/>
      <c r="S56" s="1993"/>
      <c r="T56" s="1993"/>
      <c r="U56" s="1993"/>
      <c r="V56" s="1993"/>
      <c r="W56" s="1993"/>
      <c r="X56" s="1993"/>
      <c r="Y56" s="1993"/>
      <c r="Z56" s="1993"/>
      <c r="AA56" s="1993"/>
      <c r="AB56" s="1993"/>
      <c r="AC56" s="1993"/>
    </row>
    <row r="57" spans="1:29">
      <c r="A57" s="662" t="s">
        <v>577</v>
      </c>
      <c r="B57" s="663" t="s">
        <v>534</v>
      </c>
      <c r="C57" s="702">
        <f>C9</f>
        <v>0</v>
      </c>
      <c r="D57" s="596"/>
      <c r="E57" s="596"/>
      <c r="F57" s="596"/>
      <c r="G57" s="596"/>
      <c r="H57" s="596"/>
      <c r="I57" s="596"/>
      <c r="J57" s="596"/>
      <c r="K57" s="664"/>
      <c r="L57" s="665"/>
      <c r="M57" s="666"/>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69"/>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ht="27.75" thickTop="1">
      <c r="A59" s="667"/>
      <c r="B59" s="671" t="s">
        <v>537</v>
      </c>
      <c r="C59" s="672" t="s">
        <v>737</v>
      </c>
      <c r="D59" s="672" t="s">
        <v>738</v>
      </c>
      <c r="E59" s="672" t="s">
        <v>739</v>
      </c>
      <c r="F59" s="672" t="s">
        <v>740</v>
      </c>
      <c r="G59" s="672" t="s">
        <v>741</v>
      </c>
      <c r="H59" s="672" t="s">
        <v>742</v>
      </c>
      <c r="I59" s="672" t="s">
        <v>743</v>
      </c>
      <c r="J59" s="672"/>
      <c r="K59" s="673"/>
      <c r="L59" s="674"/>
      <c r="M59" s="675"/>
      <c r="N59" s="2164"/>
      <c r="O59" s="2164"/>
      <c r="P59" s="2165"/>
      <c r="Q59" s="2158"/>
      <c r="R59" s="2145"/>
      <c r="S59" s="2145"/>
      <c r="T59" s="2145"/>
      <c r="U59" s="2145"/>
      <c r="V59" s="2145"/>
      <c r="W59" s="2145"/>
      <c r="X59" s="2145"/>
      <c r="Y59" s="2145"/>
      <c r="Z59" s="2145"/>
      <c r="AA59" s="2145"/>
      <c r="AB59" s="2145"/>
      <c r="AC59" s="2145"/>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6"/>
      <c r="O60" s="2166"/>
      <c r="P60" s="2165"/>
      <c r="Q60" s="2158"/>
      <c r="R60" s="2145"/>
      <c r="S60" s="2145"/>
      <c r="T60" s="2145"/>
      <c r="U60" s="2145"/>
      <c r="V60" s="2145"/>
      <c r="W60" s="2145"/>
      <c r="X60" s="2145"/>
      <c r="Y60" s="2145"/>
      <c r="Z60" s="2145"/>
      <c r="AA60" s="2145"/>
      <c r="AB60" s="2145"/>
      <c r="AC60" s="2145"/>
    </row>
    <row r="61" spans="1:29" ht="15.7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7"/>
      <c r="B62" s="681"/>
      <c r="C62" s="539"/>
      <c r="D62" s="539"/>
      <c r="E62" s="539"/>
      <c r="F62" s="539"/>
      <c r="G62" s="539"/>
      <c r="H62" s="539"/>
      <c r="I62" s="539"/>
      <c r="J62" s="539"/>
      <c r="K62" s="682"/>
      <c r="L62" s="683"/>
      <c r="M62" s="684"/>
      <c r="N62" s="2164"/>
      <c r="O62" s="2164"/>
      <c r="P62" s="2165"/>
      <c r="Q62" s="2158"/>
      <c r="R62" s="2145"/>
      <c r="S62" s="2145"/>
      <c r="T62" s="2145"/>
      <c r="U62" s="2145"/>
      <c r="V62" s="2145"/>
      <c r="W62" s="2145"/>
      <c r="X62" s="2145"/>
      <c r="Y62" s="2145"/>
      <c r="Z62" s="2145"/>
      <c r="AA62" s="2145"/>
      <c r="AB62" s="2145"/>
      <c r="AC62" s="2145"/>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5"/>
      <c r="B64" s="671">
        <f>B12</f>
        <v>111</v>
      </c>
      <c r="C64" s="686"/>
      <c r="D64" s="686"/>
      <c r="E64" s="686"/>
      <c r="F64" s="686"/>
      <c r="G64" s="686"/>
      <c r="H64" s="687"/>
      <c r="I64" s="687"/>
      <c r="J64" s="687"/>
      <c r="K64" s="687"/>
      <c r="L64" s="688"/>
      <c r="M64" s="689"/>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5"/>
      <c r="B65" s="676"/>
      <c r="C65" s="690"/>
      <c r="D65" s="669"/>
      <c r="E65" s="669"/>
      <c r="F65" s="669"/>
      <c r="G65" s="669"/>
      <c r="H65" s="669"/>
      <c r="I65" s="669"/>
      <c r="J65" s="669"/>
      <c r="K65" s="669"/>
      <c r="L65" s="669"/>
      <c r="M65" s="670"/>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5"/>
      <c r="B66" s="671">
        <f>B13</f>
        <v>111</v>
      </c>
      <c r="C66" s="686"/>
      <c r="D66" s="686"/>
      <c r="E66" s="686"/>
      <c r="F66" s="686"/>
      <c r="G66" s="686"/>
      <c r="H66" s="687"/>
      <c r="I66" s="687"/>
      <c r="J66" s="687"/>
      <c r="K66" s="687"/>
      <c r="L66" s="688"/>
      <c r="M66" s="689"/>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5"/>
      <c r="B67" s="676"/>
      <c r="C67" s="690"/>
      <c r="D67" s="669"/>
      <c r="E67" s="669"/>
      <c r="F67" s="669"/>
      <c r="G67" s="690"/>
      <c r="H67" s="691"/>
      <c r="I67" s="691"/>
      <c r="J67" s="691"/>
      <c r="K67" s="691"/>
      <c r="L67" s="691"/>
      <c r="M67" s="692"/>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5"/>
      <c r="B68" s="679">
        <f>B14</f>
        <v>111</v>
      </c>
      <c r="C68" s="659"/>
      <c r="D68" s="659"/>
      <c r="E68" s="659"/>
      <c r="F68" s="659"/>
      <c r="G68" s="659"/>
      <c r="H68" s="693"/>
      <c r="I68" s="693"/>
      <c r="J68" s="693"/>
      <c r="K68" s="693"/>
      <c r="L68" s="694"/>
      <c r="M68" s="695"/>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6"/>
      <c r="B69" s="697"/>
      <c r="C69" s="698"/>
      <c r="D69" s="698"/>
      <c r="E69" s="698"/>
      <c r="F69" s="698"/>
      <c r="G69" s="698"/>
      <c r="H69" s="699"/>
      <c r="I69" s="699"/>
      <c r="J69" s="699"/>
      <c r="K69" s="699"/>
      <c r="L69" s="699"/>
      <c r="M69" s="700"/>
      <c r="N69" s="2167"/>
      <c r="O69" s="2167"/>
      <c r="P69" s="2168"/>
      <c r="Q69" s="2169"/>
      <c r="R69" s="2170"/>
      <c r="S69" s="2170"/>
      <c r="T69" s="2170"/>
      <c r="U69" s="2170"/>
      <c r="V69" s="2170"/>
      <c r="W69" s="2170"/>
      <c r="X69" s="2170"/>
      <c r="Y69" s="2170"/>
      <c r="Z69" s="2170"/>
      <c r="AA69" s="2170"/>
      <c r="AB69" s="2170"/>
      <c r="AC69" s="2170"/>
    </row>
    <row r="70" spans="1:29">
      <c r="A70" s="662" t="s">
        <v>539</v>
      </c>
      <c r="B70" s="663" t="s">
        <v>585</v>
      </c>
      <c r="C70" s="701" t="s">
        <v>579</v>
      </c>
      <c r="D70" s="701" t="s">
        <v>580</v>
      </c>
      <c r="E70" s="701" t="s">
        <v>581</v>
      </c>
      <c r="F70" s="701" t="s">
        <v>582</v>
      </c>
      <c r="G70" s="701" t="s">
        <v>583</v>
      </c>
      <c r="H70" s="702"/>
      <c r="I70" s="702"/>
      <c r="J70" s="702"/>
      <c r="K70" s="703"/>
      <c r="L70" s="704"/>
      <c r="M70" s="705"/>
      <c r="N70" s="2164"/>
      <c r="O70" s="2164"/>
      <c r="P70" s="2174"/>
      <c r="Q70" s="2158"/>
      <c r="R70" s="2145"/>
      <c r="S70" s="2145"/>
      <c r="T70" s="2145"/>
      <c r="U70" s="2145"/>
      <c r="V70" s="2145"/>
      <c r="W70" s="2145"/>
      <c r="X70" s="2145"/>
      <c r="Y70" s="2145"/>
      <c r="Z70" s="2145"/>
      <c r="AA70" s="2145"/>
      <c r="AB70" s="2145"/>
      <c r="AC70" s="2145"/>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6"/>
      <c r="O71" s="2166"/>
      <c r="P71" s="2165"/>
      <c r="Q71" s="2158"/>
      <c r="R71" s="2145"/>
      <c r="S71" s="2145"/>
      <c r="T71" s="2145"/>
      <c r="U71" s="2145"/>
      <c r="V71" s="2145"/>
      <c r="W71" s="2145"/>
      <c r="X71" s="2145"/>
      <c r="Y71" s="2145"/>
      <c r="Z71" s="2145"/>
      <c r="AA71" s="2145"/>
      <c r="AB71" s="2145"/>
      <c r="AC71" s="2145"/>
    </row>
    <row r="72" spans="1:29" ht="15.75" thickTop="1">
      <c r="A72" s="667"/>
      <c r="B72" s="671" t="s">
        <v>586</v>
      </c>
      <c r="C72" s="706" t="s">
        <v>579</v>
      </c>
      <c r="D72" s="706" t="s">
        <v>580</v>
      </c>
      <c r="E72" s="706" t="s">
        <v>581</v>
      </c>
      <c r="F72" s="706" t="s">
        <v>582</v>
      </c>
      <c r="G72" s="706" t="s">
        <v>583</v>
      </c>
      <c r="H72" s="672"/>
      <c r="I72" s="672"/>
      <c r="J72" s="672"/>
      <c r="K72" s="673"/>
      <c r="L72" s="674"/>
      <c r="M72" s="675"/>
      <c r="N72" s="2164"/>
      <c r="O72" s="2164"/>
      <c r="P72" s="2165"/>
      <c r="Q72" s="2158"/>
      <c r="R72" s="2145"/>
      <c r="S72" s="2145"/>
      <c r="T72" s="2145"/>
      <c r="U72" s="2145"/>
      <c r="V72" s="2145"/>
      <c r="W72" s="2145"/>
      <c r="X72" s="2145"/>
      <c r="Y72" s="2145"/>
      <c r="Z72" s="2145"/>
      <c r="AA72" s="2145"/>
      <c r="AB72" s="2145"/>
      <c r="AC72" s="2145"/>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6"/>
      <c r="O73" s="2166"/>
      <c r="P73" s="2165"/>
      <c r="Q73" s="2158"/>
      <c r="R73" s="2145"/>
      <c r="S73" s="2145"/>
      <c r="T73" s="2145"/>
      <c r="U73" s="2145"/>
      <c r="V73" s="2145"/>
      <c r="W73" s="2145"/>
      <c r="X73" s="2145"/>
      <c r="Y73" s="2145"/>
      <c r="Z73" s="2145"/>
      <c r="AA73" s="2145"/>
      <c r="AB73" s="2145"/>
      <c r="AC73" s="2145"/>
    </row>
    <row r="74" spans="1:29" ht="15.75" thickTop="1">
      <c r="A74" s="667"/>
      <c r="B74" s="1896" t="s">
        <v>2561</v>
      </c>
      <c r="C74" s="706" t="s">
        <v>579</v>
      </c>
      <c r="D74" s="706" t="s">
        <v>580</v>
      </c>
      <c r="E74" s="706" t="s">
        <v>581</v>
      </c>
      <c r="F74" s="706" t="s">
        <v>582</v>
      </c>
      <c r="G74" s="706" t="s">
        <v>583</v>
      </c>
      <c r="H74" s="672"/>
      <c r="I74" s="672"/>
      <c r="J74" s="672"/>
      <c r="K74" s="673"/>
      <c r="L74" s="674"/>
      <c r="M74" s="675"/>
      <c r="N74" s="2164"/>
      <c r="O74" s="2164"/>
      <c r="P74" s="2165"/>
      <c r="Q74" s="2158"/>
      <c r="R74" s="2145"/>
      <c r="S74" s="2145"/>
      <c r="T74" s="2145"/>
      <c r="U74" s="2145"/>
      <c r="V74" s="2145"/>
      <c r="W74" s="2145"/>
      <c r="X74" s="2145"/>
      <c r="Y74" s="2145"/>
      <c r="Z74" s="2145"/>
      <c r="AA74" s="2145"/>
      <c r="AB74" s="2145"/>
      <c r="AC74" s="2145"/>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6"/>
      <c r="O75" s="2166"/>
      <c r="P75" s="2165"/>
      <c r="Q75" s="2158"/>
      <c r="R75" s="2145"/>
      <c r="S75" s="2145"/>
      <c r="T75" s="2145"/>
      <c r="U75" s="2145"/>
      <c r="V75" s="2145"/>
      <c r="W75" s="2145"/>
      <c r="X75" s="2145"/>
      <c r="Y75" s="2145"/>
      <c r="Z75" s="2145"/>
      <c r="AA75" s="2145"/>
      <c r="AB75" s="2145"/>
      <c r="AC75" s="2145"/>
    </row>
    <row r="76" spans="1:29" ht="15.75" thickTop="1">
      <c r="A76" s="667"/>
      <c r="B76" s="2619" t="s">
        <v>2562</v>
      </c>
      <c r="C76" s="2620" t="s">
        <v>2563</v>
      </c>
      <c r="D76" s="2620" t="s">
        <v>2564</v>
      </c>
      <c r="E76" s="2620" t="s">
        <v>2565</v>
      </c>
      <c r="F76" s="2620" t="s">
        <v>2566</v>
      </c>
      <c r="G76" s="2620" t="s">
        <v>2567</v>
      </c>
      <c r="H76" s="933"/>
      <c r="I76" s="933"/>
      <c r="J76" s="933"/>
      <c r="K76" s="933"/>
      <c r="L76" s="933"/>
      <c r="M76" s="557"/>
      <c r="N76" s="2166"/>
      <c r="O76" s="2166"/>
      <c r="P76" s="2165"/>
      <c r="Q76" s="2158"/>
      <c r="R76" s="2145"/>
      <c r="S76" s="2145"/>
      <c r="T76" s="2145"/>
      <c r="U76" s="2145"/>
      <c r="V76" s="2145"/>
      <c r="W76" s="2145"/>
      <c r="X76" s="2145"/>
      <c r="Y76" s="2145"/>
      <c r="Z76" s="2145"/>
      <c r="AA76" s="2145"/>
      <c r="AB76" s="2145"/>
      <c r="AC76" s="2145"/>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6"/>
      <c r="O77" s="2166"/>
      <c r="P77" s="2165"/>
      <c r="Q77" s="2158"/>
      <c r="R77" s="2145"/>
      <c r="S77" s="2145"/>
      <c r="T77" s="2145"/>
      <c r="U77" s="2145"/>
      <c r="V77" s="2145"/>
      <c r="W77" s="2145"/>
      <c r="X77" s="2145"/>
      <c r="Y77" s="2145"/>
      <c r="Z77" s="2145"/>
      <c r="AA77" s="2145"/>
      <c r="AB77" s="2145"/>
      <c r="AC77" s="2145"/>
    </row>
    <row r="78" spans="1:29" ht="15.75" thickTop="1">
      <c r="A78" s="667"/>
      <c r="B78" s="671" t="s">
        <v>784</v>
      </c>
      <c r="C78" s="706" t="s">
        <v>579</v>
      </c>
      <c r="D78" s="706" t="s">
        <v>580</v>
      </c>
      <c r="E78" s="706" t="s">
        <v>581</v>
      </c>
      <c r="F78" s="706" t="s">
        <v>582</v>
      </c>
      <c r="G78" s="706" t="s">
        <v>583</v>
      </c>
      <c r="H78" s="672"/>
      <c r="I78" s="672"/>
      <c r="J78" s="672"/>
      <c r="K78" s="673"/>
      <c r="L78" s="674"/>
      <c r="M78" s="675"/>
      <c r="N78" s="2164"/>
      <c r="O78" s="2164"/>
      <c r="P78" s="2165"/>
      <c r="Q78" s="2158"/>
      <c r="R78" s="2145"/>
      <c r="S78" s="2145"/>
      <c r="T78" s="2145"/>
      <c r="U78" s="2145"/>
      <c r="V78" s="2145"/>
      <c r="W78" s="2145"/>
      <c r="X78" s="2145"/>
      <c r="Y78" s="2145"/>
      <c r="Z78" s="2145"/>
      <c r="AA78" s="2145"/>
      <c r="AB78" s="2145"/>
      <c r="AC78" s="2145"/>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7"/>
      <c r="B80" s="671">
        <f>B25</f>
        <v>111</v>
      </c>
      <c r="C80" s="686"/>
      <c r="D80" s="686"/>
      <c r="E80" s="686"/>
      <c r="F80" s="686"/>
      <c r="G80" s="686"/>
      <c r="H80" s="686"/>
      <c r="I80" s="686"/>
      <c r="J80" s="686"/>
      <c r="K80" s="686"/>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7"/>
      <c r="B81" s="676"/>
      <c r="C81" s="690"/>
      <c r="D81" s="669"/>
      <c r="E81" s="669"/>
      <c r="F81" s="669"/>
      <c r="G81" s="669"/>
      <c r="H81" s="669"/>
      <c r="I81" s="669"/>
      <c r="J81" s="669"/>
      <c r="K81" s="669"/>
      <c r="L81" s="669"/>
      <c r="M81" s="670"/>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7"/>
      <c r="B82" s="671">
        <f>B26</f>
        <v>111</v>
      </c>
      <c r="C82" s="686"/>
      <c r="D82" s="686"/>
      <c r="E82" s="686"/>
      <c r="F82" s="686"/>
      <c r="G82" s="686"/>
      <c r="H82" s="686"/>
      <c r="I82" s="686"/>
      <c r="J82" s="686"/>
      <c r="K82" s="686"/>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7"/>
      <c r="B83" s="676"/>
      <c r="C83" s="690"/>
      <c r="D83" s="669"/>
      <c r="E83" s="669"/>
      <c r="F83" s="669"/>
      <c r="G83" s="669"/>
      <c r="H83" s="669"/>
      <c r="I83" s="669"/>
      <c r="J83" s="669"/>
      <c r="K83" s="669"/>
      <c r="L83" s="669"/>
      <c r="M83" s="670"/>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5"/>
      <c r="B84" s="671">
        <f>B27</f>
        <v>111</v>
      </c>
      <c r="C84" s="686"/>
      <c r="D84" s="686"/>
      <c r="E84" s="686"/>
      <c r="F84" s="686"/>
      <c r="G84" s="686"/>
      <c r="H84" s="686"/>
      <c r="I84" s="686"/>
      <c r="J84" s="686"/>
      <c r="K84" s="686"/>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5"/>
      <c r="B85" s="676"/>
      <c r="C85" s="690"/>
      <c r="D85" s="669"/>
      <c r="E85" s="669"/>
      <c r="F85" s="669"/>
      <c r="G85" s="669"/>
      <c r="H85" s="669"/>
      <c r="I85" s="669"/>
      <c r="J85" s="669"/>
      <c r="K85" s="669"/>
      <c r="L85" s="669"/>
      <c r="M85" s="670"/>
      <c r="N85" s="2167"/>
      <c r="O85" s="2167"/>
      <c r="P85" s="2168"/>
      <c r="Q85" s="2169"/>
      <c r="R85" s="2170"/>
      <c r="S85" s="2170"/>
      <c r="T85" s="2170"/>
      <c r="U85" s="2170"/>
      <c r="V85" s="2170"/>
      <c r="W85" s="2170"/>
      <c r="X85" s="2170"/>
      <c r="Y85" s="2170"/>
      <c r="Z85" s="2170"/>
      <c r="AA85" s="2170"/>
      <c r="AB85" s="2170"/>
      <c r="AC85" s="2170"/>
    </row>
    <row r="86" spans="1:29" ht="15.75" thickTop="1">
      <c r="A86" s="667"/>
      <c r="B86" s="679">
        <f>B28</f>
        <v>111</v>
      </c>
      <c r="C86" s="659"/>
      <c r="D86" s="659"/>
      <c r="E86" s="659"/>
      <c r="F86" s="659"/>
      <c r="G86" s="720"/>
      <c r="H86" s="720"/>
      <c r="I86" s="720"/>
      <c r="J86" s="720"/>
      <c r="K86" s="721"/>
      <c r="L86" s="722"/>
      <c r="M86" s="723"/>
      <c r="N86" s="2164"/>
      <c r="O86" s="2164"/>
      <c r="P86" s="2165"/>
      <c r="Q86" s="2158"/>
      <c r="R86" s="2145"/>
      <c r="S86" s="2145"/>
      <c r="T86" s="2145"/>
      <c r="U86" s="2145"/>
      <c r="V86" s="2145"/>
      <c r="W86" s="2145"/>
      <c r="X86" s="2145"/>
      <c r="Y86" s="2145"/>
      <c r="Z86" s="2145"/>
      <c r="AA86" s="2145"/>
      <c r="AB86" s="2145"/>
      <c r="AC86" s="2145"/>
    </row>
    <row r="87" spans="1:29" ht="15.75" thickBot="1">
      <c r="A87" s="891"/>
      <c r="B87" s="697"/>
      <c r="C87" s="698"/>
      <c r="D87" s="698"/>
      <c r="E87" s="698"/>
      <c r="F87" s="698"/>
      <c r="G87" s="724"/>
      <c r="H87" s="724"/>
      <c r="I87" s="724"/>
      <c r="J87" s="724"/>
      <c r="K87" s="724"/>
      <c r="L87" s="724"/>
      <c r="M87" s="725"/>
      <c r="N87" s="2166"/>
      <c r="O87" s="2166"/>
      <c r="P87" s="2165"/>
      <c r="Q87" s="2158"/>
      <c r="R87" s="2145"/>
      <c r="S87" s="2145"/>
      <c r="T87" s="2145"/>
      <c r="U87" s="2145"/>
      <c r="V87" s="2145"/>
      <c r="W87" s="2145"/>
      <c r="X87" s="2145"/>
      <c r="Y87" s="2145"/>
      <c r="Z87" s="2145"/>
      <c r="AA87" s="2145"/>
      <c r="AB87" s="2145"/>
      <c r="AC87" s="2145"/>
    </row>
    <row r="88" spans="1:29">
      <c r="A88" s="662" t="s">
        <v>551</v>
      </c>
      <c r="B88" s="663" t="s">
        <v>747</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6"/>
      <c r="B91" s="727"/>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6"/>
      <c r="O92" s="2166"/>
      <c r="P92" s="2168"/>
      <c r="Q92" s="2169"/>
      <c r="R92" s="2170"/>
      <c r="S92" s="2170"/>
      <c r="T92" s="2170"/>
      <c r="U92" s="2170"/>
      <c r="V92" s="2170"/>
      <c r="W92" s="2170"/>
      <c r="X92" s="2170"/>
      <c r="Y92" s="2170"/>
      <c r="Z92" s="2170"/>
      <c r="AA92" s="2170"/>
      <c r="AB92" s="2170"/>
      <c r="AC92" s="2170"/>
    </row>
    <row r="93" spans="1:29" ht="15" thickTop="1">
      <c r="A93" s="733"/>
      <c r="B93" s="671" t="s">
        <v>749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751</v>
      </c>
      <c r="C95" s="686"/>
      <c r="D95" s="686"/>
      <c r="E95" s="686"/>
      <c r="F95" s="716"/>
      <c r="G95" s="716"/>
      <c r="H95" s="716"/>
      <c r="I95" s="716"/>
      <c r="J95" s="716"/>
      <c r="K95" s="717"/>
      <c r="L95" s="718"/>
      <c r="M95" s="719"/>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4"/>
      <c r="O97" s="2164"/>
      <c r="P97" s="2165"/>
      <c r="Q97" s="2158"/>
      <c r="R97" s="2145"/>
      <c r="S97" s="2145"/>
      <c r="T97" s="2145"/>
      <c r="U97" s="2145"/>
      <c r="V97" s="2145"/>
      <c r="W97" s="2145"/>
      <c r="X97" s="2145"/>
      <c r="Y97" s="2145"/>
      <c r="Z97" s="2145"/>
      <c r="AA97" s="2145"/>
      <c r="AB97" s="2145"/>
      <c r="AC97" s="2145"/>
    </row>
    <row r="98" spans="1:29">
      <c r="A98" s="733"/>
      <c r="B98" s="679"/>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6"/>
      <c r="B100" s="671" t="s">
        <v>753</v>
      </c>
      <c r="C100" s="686"/>
      <c r="D100" s="686"/>
      <c r="E100" s="686"/>
      <c r="F100" s="686"/>
      <c r="G100" s="686"/>
      <c r="H100" s="716"/>
      <c r="I100" s="716"/>
      <c r="J100" s="716"/>
      <c r="K100" s="717"/>
      <c r="L100" s="718"/>
      <c r="M100" s="719"/>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3"/>
      <c r="B102" s="1896" t="s">
        <v>2560</v>
      </c>
      <c r="C102" s="686"/>
      <c r="D102" s="686"/>
      <c r="E102" s="686"/>
      <c r="F102" s="686"/>
      <c r="G102" s="686"/>
      <c r="H102" s="716"/>
      <c r="I102" s="716"/>
      <c r="J102" s="716"/>
      <c r="K102" s="717"/>
      <c r="L102" s="718"/>
      <c r="M102" s="719"/>
      <c r="N102" s="2164"/>
      <c r="O102" s="2164"/>
      <c r="P102" s="2165"/>
      <c r="Q102" s="2158"/>
      <c r="R102" s="2145"/>
      <c r="S102" s="2145"/>
      <c r="T102" s="2145"/>
      <c r="U102" s="2145"/>
      <c r="V102" s="2145"/>
      <c r="W102" s="2145"/>
      <c r="X102" s="2145"/>
      <c r="Y102" s="2145"/>
      <c r="Z102" s="2145"/>
      <c r="AA102" s="2145"/>
      <c r="AB102" s="2145"/>
      <c r="AC102" s="2145"/>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3"/>
      <c r="B104" s="671" t="s">
        <v>755</v>
      </c>
      <c r="C104" s="686"/>
      <c r="D104" s="686"/>
      <c r="E104" s="686"/>
      <c r="F104" s="686"/>
      <c r="G104" s="686"/>
      <c r="H104" s="716"/>
      <c r="I104" s="716"/>
      <c r="J104" s="716"/>
      <c r="K104" s="717"/>
      <c r="L104" s="718"/>
      <c r="M104" s="719"/>
      <c r="N104" s="2164"/>
      <c r="O104" s="2164"/>
      <c r="P104" s="2165"/>
      <c r="Q104" s="2158"/>
      <c r="R104" s="2145"/>
      <c r="S104" s="2145"/>
      <c r="T104" s="2145"/>
      <c r="U104" s="2145"/>
      <c r="V104" s="2145"/>
      <c r="W104" s="2145"/>
      <c r="X104" s="2145"/>
      <c r="Y104" s="2145"/>
      <c r="Z104" s="2145"/>
      <c r="AA104" s="2145"/>
      <c r="AB104" s="2145"/>
      <c r="AC104" s="2145"/>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6"/>
      <c r="O105" s="2166"/>
      <c r="P105" s="2165"/>
      <c r="Q105" s="2158"/>
      <c r="R105" s="2145"/>
      <c r="S105" s="2145"/>
      <c r="T105" s="2145"/>
      <c r="U105" s="2145"/>
      <c r="V105" s="2145"/>
      <c r="W105" s="2145"/>
      <c r="X105" s="2145"/>
      <c r="Y105" s="2145"/>
      <c r="Z105" s="2145"/>
      <c r="AA105" s="2145"/>
      <c r="AB105" s="2145"/>
      <c r="AC105" s="2145"/>
    </row>
    <row r="106" spans="1:29" ht="27.75" thickTop="1">
      <c r="A106" s="733"/>
      <c r="B106" s="915" t="s">
        <v>791</v>
      </c>
      <c r="C106" s="706" t="s">
        <v>579</v>
      </c>
      <c r="D106" s="706" t="s">
        <v>580</v>
      </c>
      <c r="E106" s="706" t="s">
        <v>581</v>
      </c>
      <c r="F106" s="706" t="s">
        <v>582</v>
      </c>
      <c r="G106" s="706" t="s">
        <v>583</v>
      </c>
      <c r="H106" s="672"/>
      <c r="I106" s="672"/>
      <c r="J106" s="672"/>
      <c r="K106" s="673"/>
      <c r="L106" s="674"/>
      <c r="M106" s="675"/>
      <c r="N106" s="2166"/>
      <c r="O106" s="2166"/>
      <c r="P106" s="2205"/>
      <c r="Q106" s="2206"/>
      <c r="R106" s="2145"/>
      <c r="S106" s="2145"/>
      <c r="T106" s="2145"/>
      <c r="U106" s="2145"/>
      <c r="V106" s="2145"/>
      <c r="W106" s="2145"/>
      <c r="X106" s="2145"/>
      <c r="Y106" s="2145"/>
      <c r="Z106" s="2145"/>
      <c r="AA106" s="2145"/>
      <c r="AB106" s="2145"/>
      <c r="AC106" s="2145"/>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6"/>
      <c r="B108" s="671">
        <f>B38</f>
        <v>111</v>
      </c>
      <c r="C108" s="686"/>
      <c r="D108" s="686"/>
      <c r="E108" s="686"/>
      <c r="F108" s="686"/>
      <c r="G108" s="686"/>
      <c r="H108" s="687"/>
      <c r="I108" s="687"/>
      <c r="J108" s="687"/>
      <c r="K108" s="687"/>
      <c r="L108" s="688"/>
      <c r="M108" s="689"/>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5"/>
      <c r="B109" s="668"/>
      <c r="C109" s="690"/>
      <c r="D109" s="669"/>
      <c r="E109" s="669"/>
      <c r="F109" s="669"/>
      <c r="G109" s="690"/>
      <c r="H109" s="691"/>
      <c r="I109" s="691"/>
      <c r="J109" s="691"/>
      <c r="K109" s="691"/>
      <c r="L109" s="691"/>
      <c r="M109" s="692"/>
      <c r="N109" s="2167"/>
      <c r="O109" s="2167"/>
      <c r="P109" s="2168"/>
      <c r="Q109" s="2169"/>
      <c r="R109" s="2170"/>
      <c r="S109" s="2170"/>
      <c r="T109" s="2170"/>
      <c r="U109" s="2170"/>
      <c r="V109" s="2170"/>
      <c r="W109" s="2170"/>
      <c r="X109" s="2170"/>
      <c r="Y109" s="2170"/>
      <c r="Z109" s="2170"/>
      <c r="AA109" s="2170"/>
      <c r="AB109" s="2170"/>
      <c r="AC109" s="2170"/>
    </row>
    <row r="110" spans="1:29" ht="15" thickTop="1">
      <c r="A110" s="733"/>
      <c r="B110" s="671">
        <f>B39</f>
        <v>111</v>
      </c>
      <c r="C110" s="686"/>
      <c r="D110" s="686"/>
      <c r="E110" s="686"/>
      <c r="F110" s="686"/>
      <c r="G110" s="686"/>
      <c r="H110" s="687"/>
      <c r="I110" s="687"/>
      <c r="J110" s="687"/>
      <c r="K110" s="687"/>
      <c r="L110" s="688"/>
      <c r="M110" s="689"/>
      <c r="N110" s="2164"/>
      <c r="O110" s="2164"/>
      <c r="P110" s="2165"/>
      <c r="Q110" s="2158"/>
      <c r="R110" s="2145"/>
      <c r="S110" s="2145"/>
      <c r="T110" s="2145"/>
      <c r="U110" s="2145"/>
      <c r="V110" s="2145"/>
      <c r="W110" s="2145"/>
      <c r="X110" s="2145"/>
      <c r="Y110" s="2145"/>
      <c r="Z110" s="2145"/>
      <c r="AA110" s="2145"/>
      <c r="AB110" s="2145"/>
      <c r="AC110" s="2145"/>
    </row>
    <row r="111" spans="1:29" ht="15.75" thickBot="1">
      <c r="A111" s="667"/>
      <c r="B111" s="676"/>
      <c r="C111" s="690"/>
      <c r="D111" s="669"/>
      <c r="E111" s="669"/>
      <c r="F111" s="669"/>
      <c r="G111" s="690"/>
      <c r="H111" s="691"/>
      <c r="I111" s="691"/>
      <c r="J111" s="691"/>
      <c r="K111" s="691"/>
      <c r="L111" s="691"/>
      <c r="M111" s="692"/>
      <c r="N111" s="2166"/>
      <c r="O111" s="2166"/>
      <c r="P111" s="2165"/>
      <c r="Q111" s="2158"/>
      <c r="R111" s="2145"/>
      <c r="S111" s="2145"/>
      <c r="T111" s="2145"/>
      <c r="U111" s="2145"/>
      <c r="V111" s="2145"/>
      <c r="W111" s="2145"/>
      <c r="X111" s="2145"/>
      <c r="Y111" s="2145"/>
      <c r="Z111" s="2145"/>
      <c r="AA111" s="2145"/>
      <c r="AB111" s="2145"/>
      <c r="AC111" s="2145"/>
    </row>
    <row r="112" spans="1:29" ht="15" thickTop="1">
      <c r="A112" s="733"/>
      <c r="B112" s="679">
        <f>B40</f>
        <v>111</v>
      </c>
      <c r="C112" s="659"/>
      <c r="D112" s="659"/>
      <c r="E112" s="659"/>
      <c r="F112" s="659"/>
      <c r="G112" s="720"/>
      <c r="H112" s="720"/>
      <c r="I112" s="720"/>
      <c r="J112" s="720"/>
      <c r="K112" s="659"/>
      <c r="L112" s="660"/>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7"/>
      <c r="C113" s="698"/>
      <c r="D113" s="698"/>
      <c r="E113" s="698"/>
      <c r="F113" s="698"/>
      <c r="G113" s="724"/>
      <c r="H113" s="724"/>
      <c r="I113" s="724"/>
      <c r="J113" s="724"/>
      <c r="K113" s="724"/>
      <c r="L113" s="724"/>
      <c r="M113" s="725"/>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29"/>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t="e">
        <f>IF(B37="元/平方米",C39,ROUND(B2*10000/D3,0))</f>
        <v>#DIV/0!</v>
      </c>
      <c r="C3" s="850" t="s">
        <v>796</v>
      </c>
      <c r="D3" s="849">
        <f>SUMIF('数据-汇总表'!$C19:$C33,D1,'数据-汇总表'!$E19:$E33)</f>
        <v>0</v>
      </c>
      <c r="E3" s="1848" t="s">
        <v>2079</v>
      </c>
      <c r="F3" s="849">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503" t="s">
        <v>798</v>
      </c>
      <c r="D4" s="3504"/>
      <c r="E4" s="3503" t="s">
        <v>799</v>
      </c>
      <c r="F4" s="3504"/>
      <c r="G4" s="3503" t="s">
        <v>800</v>
      </c>
      <c r="H4" s="3504"/>
      <c r="I4" s="3503" t="s">
        <v>801</v>
      </c>
      <c r="J4" s="3504"/>
      <c r="K4" s="512" t="s">
        <v>802</v>
      </c>
      <c r="L4" s="2133"/>
      <c r="M4" s="2134"/>
      <c r="N4" s="2134"/>
      <c r="O4" s="2134"/>
      <c r="P4" s="3505" t="s">
        <v>803</v>
      </c>
      <c r="Q4" s="3506"/>
      <c r="R4" s="3511" t="s">
        <v>799</v>
      </c>
      <c r="S4" s="3512"/>
      <c r="T4" s="3511" t="s">
        <v>800</v>
      </c>
      <c r="U4" s="3512"/>
      <c r="V4" s="3498" t="s">
        <v>801</v>
      </c>
      <c r="W4" s="3498"/>
      <c r="X4" s="1566"/>
      <c r="Y4" s="3511" t="s">
        <v>803</v>
      </c>
      <c r="Z4" s="3512"/>
      <c r="AA4" s="3500" t="s">
        <v>799</v>
      </c>
      <c r="AB4" s="3501" t="s">
        <v>800</v>
      </c>
      <c r="AC4" s="3500" t="s">
        <v>801</v>
      </c>
    </row>
    <row r="5" spans="1:29" ht="15">
      <c r="A5" s="513"/>
      <c r="B5" s="514"/>
      <c r="C5" s="3519" t="s">
        <v>2930</v>
      </c>
      <c r="D5" s="3520"/>
      <c r="E5" s="3519" t="s">
        <v>2931</v>
      </c>
      <c r="F5" s="3520"/>
      <c r="G5" s="3519" t="s">
        <v>2932</v>
      </c>
      <c r="H5" s="3520"/>
      <c r="I5" s="3519" t="s">
        <v>2933</v>
      </c>
      <c r="J5" s="3520"/>
      <c r="K5" s="512"/>
      <c r="L5" s="2133"/>
      <c r="M5" s="2134"/>
      <c r="N5" s="2134"/>
      <c r="O5" s="2134"/>
      <c r="P5" s="3507"/>
      <c r="Q5" s="3508"/>
      <c r="R5" s="3513"/>
      <c r="S5" s="3514"/>
      <c r="T5" s="3513"/>
      <c r="U5" s="3514"/>
      <c r="V5" s="3498"/>
      <c r="W5" s="3498"/>
      <c r="X5" s="1566"/>
      <c r="Y5" s="3513"/>
      <c r="Z5" s="3514"/>
      <c r="AA5" s="3501"/>
      <c r="AB5" s="3501"/>
      <c r="AC5" s="3501"/>
    </row>
    <row r="6" spans="1:29" ht="15.75" thickBot="1">
      <c r="A6" s="515"/>
      <c r="B6" s="516"/>
      <c r="C6" s="3517" t="s">
        <v>2934</v>
      </c>
      <c r="D6" s="3518"/>
      <c r="E6" s="3521" t="s">
        <v>2934</v>
      </c>
      <c r="F6" s="3522"/>
      <c r="G6" s="3517" t="s">
        <v>2934</v>
      </c>
      <c r="H6" s="3518"/>
      <c r="I6" s="3517" t="s">
        <v>2934</v>
      </c>
      <c r="J6" s="3518"/>
      <c r="K6" s="512" t="s">
        <v>528</v>
      </c>
      <c r="L6" s="2133"/>
      <c r="M6" s="2134"/>
      <c r="N6" s="2134"/>
      <c r="O6" s="2134"/>
      <c r="P6" s="3509"/>
      <c r="Q6" s="3510"/>
      <c r="R6" s="3513"/>
      <c r="S6" s="3514"/>
      <c r="T6" s="3515"/>
      <c r="U6" s="3516"/>
      <c r="V6" s="3498"/>
      <c r="W6" s="3498"/>
      <c r="X6" s="1566"/>
      <c r="Y6" s="3515"/>
      <c r="Z6" s="3516"/>
      <c r="AA6" s="3502"/>
      <c r="AB6" s="3502"/>
      <c r="AC6" s="3502"/>
    </row>
    <row r="7" spans="1:29" s="1218" customFormat="1" ht="15.75" thickBot="1">
      <c r="A7" s="2934"/>
      <c r="B7" s="2941" t="s">
        <v>529</v>
      </c>
      <c r="C7" s="517">
        <f>'数据-取费表'!B2</f>
        <v>43230</v>
      </c>
      <c r="D7" s="518">
        <v>100</v>
      </c>
      <c r="E7" s="519"/>
      <c r="F7" s="520">
        <f>SUMIF(48:48,YEAR(E7)&amp;"-"&amp;MONTH(E7),49:49)</f>
        <v>0</v>
      </c>
      <c r="G7" s="521"/>
      <c r="H7" s="518">
        <f>SUMIF(48:48,YEAR(G7)&amp;"-"&amp;MONTH(G7),49:49)</f>
        <v>0</v>
      </c>
      <c r="I7" s="521"/>
      <c r="J7" s="518">
        <f>SUMIF(48:48,YEAR(I7)&amp;"-"&amp;MONTH(I7),49:49)</f>
        <v>0</v>
      </c>
      <c r="K7" s="522"/>
      <c r="L7" s="2135"/>
      <c r="M7" s="2136"/>
      <c r="N7" s="2136"/>
      <c r="O7" s="2136"/>
      <c r="P7" s="3528" t="s">
        <v>530</v>
      </c>
      <c r="Q7" s="3530"/>
      <c r="R7" s="1567" t="s">
        <v>8</v>
      </c>
      <c r="S7" s="1568">
        <f t="shared" ref="S7:S14" si="0">F7</f>
        <v>0</v>
      </c>
      <c r="T7" s="1567" t="s">
        <v>8</v>
      </c>
      <c r="U7" s="1568">
        <f t="shared" ref="U7:U14" si="1">H7</f>
        <v>0</v>
      </c>
      <c r="V7" s="1567" t="s">
        <v>8</v>
      </c>
      <c r="W7" s="1568">
        <f t="shared" ref="W7:W14" si="2">J7</f>
        <v>0</v>
      </c>
      <c r="X7" s="1569"/>
      <c r="Y7" s="3528" t="s">
        <v>530</v>
      </c>
      <c r="Z7" s="3529"/>
      <c r="AA7" s="1570" t="e">
        <f>D7/F7</f>
        <v>#DIV/0!</v>
      </c>
      <c r="AB7" s="1570" t="e">
        <f>D7/H7</f>
        <v>#DIV/0!</v>
      </c>
      <c r="AC7" s="1570" t="e">
        <f>D7/J7</f>
        <v>#DIV/0!</v>
      </c>
    </row>
    <row r="8" spans="1:29" s="1218" customFormat="1" ht="15.75" thickBot="1">
      <c r="A8" s="2935"/>
      <c r="B8" s="2942" t="s">
        <v>531</v>
      </c>
      <c r="C8" s="523" t="s">
        <v>576</v>
      </c>
      <c r="D8" s="518">
        <v>100</v>
      </c>
      <c r="E8" s="523"/>
      <c r="F8" s="520">
        <f>SUMIF(51:51,E8,52:52)-SUMIF(51:51,C8,52:52)+100</f>
        <v>0</v>
      </c>
      <c r="G8" s="523"/>
      <c r="H8" s="518">
        <f>SUMIF(51:51,G8,52:52)-SUMIF(51:51,C8,52:52)+100</f>
        <v>0</v>
      </c>
      <c r="I8" s="523"/>
      <c r="J8" s="518">
        <f>SUMIF(51:51,I8,52:52)-SUMIF(51:51,C8,52:52)+100</f>
        <v>0</v>
      </c>
      <c r="K8" s="522"/>
      <c r="L8" s="2135"/>
      <c r="M8" s="2136"/>
      <c r="N8" s="2136"/>
      <c r="O8" s="2136"/>
      <c r="P8" s="3528" t="s">
        <v>533</v>
      </c>
      <c r="Q8" s="3529"/>
      <c r="R8" s="1567" t="s">
        <v>8</v>
      </c>
      <c r="S8" s="1568">
        <f t="shared" si="0"/>
        <v>0</v>
      </c>
      <c r="T8" s="1567" t="s">
        <v>8</v>
      </c>
      <c r="U8" s="1568">
        <f t="shared" si="1"/>
        <v>0</v>
      </c>
      <c r="V8" s="1567" t="s">
        <v>8</v>
      </c>
      <c r="W8" s="1568">
        <f t="shared" si="2"/>
        <v>0</v>
      </c>
      <c r="X8" s="1569"/>
      <c r="Y8" s="3528" t="s">
        <v>533</v>
      </c>
      <c r="Z8" s="3529"/>
      <c r="AA8" s="1570" t="e">
        <f t="shared" ref="AA8:AA36" si="3">D8/F8</f>
        <v>#DIV/0!</v>
      </c>
      <c r="AB8" s="1570" t="e">
        <f t="shared" ref="AB8:AB36" si="4">D8/H8</f>
        <v>#DIV/0!</v>
      </c>
      <c r="AC8" s="1570" t="e">
        <f t="shared" ref="AC8:AC36" si="5">D8/J8</f>
        <v>#DIV/0!</v>
      </c>
    </row>
    <row r="9" spans="1:29" s="1218" customFormat="1" ht="15">
      <c r="A9" s="2936"/>
      <c r="B9" s="2943" t="s">
        <v>2760</v>
      </c>
      <c r="C9" s="855"/>
      <c r="D9" s="252">
        <v>100</v>
      </c>
      <c r="E9" s="858"/>
      <c r="F9" s="252">
        <f>SUMIF(53:53,E9,54:54)-SUMIF(53:53,C9,54:54)+100</f>
        <v>100</v>
      </c>
      <c r="G9" s="856"/>
      <c r="H9" s="252">
        <f>SUMIF(53:53,G9,54:54)-SUMIF(53:53,C9,54:54)+100</f>
        <v>100</v>
      </c>
      <c r="I9" s="856"/>
      <c r="J9" s="252">
        <f>SUMIF(53:53,I9,54:54)-SUMIF(53:53,C9,54:54)+100</f>
        <v>100</v>
      </c>
      <c r="K9" s="522"/>
      <c r="L9" s="2135"/>
      <c r="M9" s="2136"/>
      <c r="N9" s="2136"/>
      <c r="O9" s="2137"/>
      <c r="P9" s="3497" t="s">
        <v>535</v>
      </c>
      <c r="Q9" s="1149" t="str">
        <f t="shared" ref="Q9:Q14" si="6">B9</f>
        <v>用途</v>
      </c>
      <c r="R9" s="1567" t="s">
        <v>8</v>
      </c>
      <c r="S9" s="1568">
        <f t="shared" si="0"/>
        <v>100</v>
      </c>
      <c r="T9" s="1567" t="s">
        <v>8</v>
      </c>
      <c r="U9" s="1568">
        <f t="shared" si="1"/>
        <v>100</v>
      </c>
      <c r="V9" s="1567" t="s">
        <v>8</v>
      </c>
      <c r="W9" s="1568">
        <f t="shared" si="2"/>
        <v>100</v>
      </c>
      <c r="X9" s="1569"/>
      <c r="Y9" s="3380" t="s">
        <v>536</v>
      </c>
      <c r="Z9" s="1148" t="str">
        <f t="shared" ref="Z9:Z14" si="7">Q9</f>
        <v>用途</v>
      </c>
      <c r="AA9" s="1570">
        <f t="shared" si="3"/>
        <v>1</v>
      </c>
      <c r="AB9" s="1570">
        <f t="shared" si="4"/>
        <v>1</v>
      </c>
      <c r="AC9" s="1570">
        <f t="shared" si="5"/>
        <v>1</v>
      </c>
    </row>
    <row r="10" spans="1:29" s="1336" customFormat="1" ht="27">
      <c r="A10" s="2937"/>
      <c r="B10" s="2942" t="s">
        <v>2761</v>
      </c>
      <c r="C10" s="859"/>
      <c r="D10" s="253">
        <v>100</v>
      </c>
      <c r="E10" s="859"/>
      <c r="F10" s="253">
        <f>SUMIF(55:55,E10,56:56)-SUMIF(55:55,C10,56:56)+100</f>
        <v>100</v>
      </c>
      <c r="G10" s="860"/>
      <c r="H10" s="253">
        <f>SUMIF(55:55,G10,56:56)-SUMIF(55:55,C10,56:56)+100</f>
        <v>100</v>
      </c>
      <c r="I10" s="859"/>
      <c r="J10" s="253">
        <f>SUMIF(55:55,I10,56:56)-SUMIF(55:55,C10,56:56)+100</f>
        <v>100</v>
      </c>
      <c r="K10" s="582"/>
      <c r="L10" s="2138"/>
      <c r="M10" s="2178"/>
      <c r="N10" s="2178"/>
      <c r="O10" s="2139"/>
      <c r="P10" s="3497"/>
      <c r="Q10" s="1149" t="str">
        <f t="shared" si="6"/>
        <v>土地使用年限（年）</v>
      </c>
      <c r="R10" s="1567" t="s">
        <v>8</v>
      </c>
      <c r="S10" s="1568">
        <f t="shared" si="0"/>
        <v>100</v>
      </c>
      <c r="T10" s="1567" t="s">
        <v>8</v>
      </c>
      <c r="U10" s="1568">
        <f t="shared" si="1"/>
        <v>100</v>
      </c>
      <c r="V10" s="1567" t="s">
        <v>8</v>
      </c>
      <c r="W10" s="1568">
        <f t="shared" si="2"/>
        <v>100</v>
      </c>
      <c r="X10" s="1569"/>
      <c r="Y10" s="3380"/>
      <c r="Z10" s="1148" t="str">
        <f t="shared" si="7"/>
        <v>土地使用年限（年）</v>
      </c>
      <c r="AA10" s="1570">
        <f t="shared" si="3"/>
        <v>1</v>
      </c>
      <c r="AB10" s="1570">
        <f t="shared" si="4"/>
        <v>1</v>
      </c>
      <c r="AC10" s="1570">
        <f t="shared" si="5"/>
        <v>1</v>
      </c>
    </row>
    <row r="11" spans="1:29" ht="15">
      <c r="A11" s="2939"/>
      <c r="B11" s="2945">
        <v>111</v>
      </c>
      <c r="C11" s="526"/>
      <c r="D11" s="253">
        <v>100</v>
      </c>
      <c r="E11" s="526"/>
      <c r="F11" s="253">
        <f>SUMIF(57:57,E11,58:58)-SUMIF(57:57,C11,58:58)+100</f>
        <v>100</v>
      </c>
      <c r="G11" s="526"/>
      <c r="H11" s="253">
        <f>SUMIF(57:57,G11,58:58)-SUMIF(57:57,C11,58:58)+100</f>
        <v>100</v>
      </c>
      <c r="I11" s="526"/>
      <c r="J11" s="253">
        <f>SUMIF(57:57,I11,58:58)-SUMIF(57:57,C11,58:58)+100</f>
        <v>100</v>
      </c>
      <c r="K11" s="579"/>
      <c r="L11" s="2140"/>
      <c r="M11" s="2134"/>
      <c r="N11" s="2134"/>
      <c r="O11" s="2141"/>
      <c r="P11" s="3497"/>
      <c r="Q11" s="1149">
        <f t="shared" si="6"/>
        <v>111</v>
      </c>
      <c r="R11" s="1567" t="s">
        <v>8</v>
      </c>
      <c r="S11" s="1568">
        <f t="shared" si="0"/>
        <v>100</v>
      </c>
      <c r="T11" s="1567" t="s">
        <v>8</v>
      </c>
      <c r="U11" s="1568">
        <f t="shared" si="1"/>
        <v>100</v>
      </c>
      <c r="V11" s="1567" t="s">
        <v>8</v>
      </c>
      <c r="W11" s="1568">
        <f t="shared" si="2"/>
        <v>100</v>
      </c>
      <c r="X11" s="1569"/>
      <c r="Y11" s="3380"/>
      <c r="Z11" s="1148">
        <f t="shared" si="7"/>
        <v>111</v>
      </c>
      <c r="AA11" s="1570">
        <f t="shared" si="3"/>
        <v>1</v>
      </c>
      <c r="AB11" s="1570">
        <f t="shared" si="4"/>
        <v>1</v>
      </c>
      <c r="AC11" s="1570">
        <f t="shared" si="5"/>
        <v>1</v>
      </c>
    </row>
    <row r="12" spans="1:29" s="1218" customFormat="1" ht="15">
      <c r="A12" s="2939"/>
      <c r="B12" s="2945">
        <v>111</v>
      </c>
      <c r="C12" s="526"/>
      <c r="D12" s="536">
        <v>100</v>
      </c>
      <c r="E12" s="526"/>
      <c r="F12" s="253">
        <f>SUMIF(59:59,E12,60:60)-SUMIF(59:59,C12,60:60)+100</f>
        <v>100</v>
      </c>
      <c r="G12" s="526"/>
      <c r="H12" s="253">
        <f>SUMIF(59:59,G12,60:60)-SUMIF(59:59,C12,60:60)+100</f>
        <v>100</v>
      </c>
      <c r="I12" s="526"/>
      <c r="J12" s="253">
        <f>SUMIF(59:59,I12,60:60)-SUMIF(59:59,C12,60:60)+100</f>
        <v>100</v>
      </c>
      <c r="K12" s="579"/>
      <c r="L12" s="2135"/>
      <c r="M12" s="2136"/>
      <c r="N12" s="2136"/>
      <c r="O12" s="2137"/>
      <c r="P12" s="3497"/>
      <c r="Q12" s="1149">
        <f t="shared" si="6"/>
        <v>111</v>
      </c>
      <c r="R12" s="1567" t="s">
        <v>8</v>
      </c>
      <c r="S12" s="1568">
        <f t="shared" si="0"/>
        <v>100</v>
      </c>
      <c r="T12" s="1567" t="s">
        <v>8</v>
      </c>
      <c r="U12" s="1568">
        <f t="shared" si="1"/>
        <v>100</v>
      </c>
      <c r="V12" s="1567" t="s">
        <v>8</v>
      </c>
      <c r="W12" s="1568">
        <f t="shared" si="2"/>
        <v>100</v>
      </c>
      <c r="X12" s="1569"/>
      <c r="Y12" s="3380"/>
      <c r="Z12" s="1148">
        <f t="shared" si="7"/>
        <v>111</v>
      </c>
      <c r="AA12" s="1570">
        <f>D12/F12</f>
        <v>1</v>
      </c>
      <c r="AB12" s="1570">
        <f>D12/H12</f>
        <v>1</v>
      </c>
      <c r="AC12" s="1570">
        <f>D12/J12</f>
        <v>1</v>
      </c>
    </row>
    <row r="13" spans="1:29" ht="15.75" thickBot="1">
      <c r="A13" s="2940"/>
      <c r="B13" s="2946">
        <v>111</v>
      </c>
      <c r="C13" s="537"/>
      <c r="D13" s="538">
        <v>100</v>
      </c>
      <c r="E13" s="526"/>
      <c r="F13" s="253">
        <f>SUMIF(61:61,E13,62:62)-SUMIF(61:61,C13,62:62)+100</f>
        <v>100</v>
      </c>
      <c r="G13" s="526"/>
      <c r="H13" s="538">
        <f>SUMIF(61:61,G13,62:62)-SUMIF(61:61,C13,62:62)+100</f>
        <v>100</v>
      </c>
      <c r="I13" s="526"/>
      <c r="J13" s="538">
        <f>SUMIF(61:61,I13,62:62)-SUMIF(61:61,C13,62:62)+100</f>
        <v>100</v>
      </c>
      <c r="K13" s="579"/>
      <c r="L13" s="2142"/>
      <c r="M13" s="2134"/>
      <c r="N13" s="2134"/>
      <c r="O13" s="2141"/>
      <c r="P13" s="3497"/>
      <c r="Q13" s="1149">
        <f t="shared" si="6"/>
        <v>111</v>
      </c>
      <c r="R13" s="1567" t="s">
        <v>8</v>
      </c>
      <c r="S13" s="1568">
        <f t="shared" si="0"/>
        <v>100</v>
      </c>
      <c r="T13" s="1567" t="s">
        <v>8</v>
      </c>
      <c r="U13" s="1568">
        <f t="shared" si="1"/>
        <v>100</v>
      </c>
      <c r="V13" s="1567" t="s">
        <v>8</v>
      </c>
      <c r="W13" s="1568">
        <f t="shared" si="2"/>
        <v>100</v>
      </c>
      <c r="X13" s="1569"/>
      <c r="Y13" s="3380"/>
      <c r="Z13" s="1148">
        <f t="shared" si="7"/>
        <v>111</v>
      </c>
      <c r="AA13" s="1570">
        <f t="shared" si="3"/>
        <v>1</v>
      </c>
      <c r="AB13" s="1570">
        <f t="shared" si="4"/>
        <v>1</v>
      </c>
      <c r="AC13" s="1570">
        <f t="shared" si="5"/>
        <v>1</v>
      </c>
    </row>
    <row r="14" spans="1:29" ht="256.5">
      <c r="A14" s="2932" t="s">
        <v>2758</v>
      </c>
      <c r="B14" s="545" t="s">
        <v>543</v>
      </c>
      <c r="C14" s="919" t="str">
        <f>IF(B1="工业",估价对象房地状况!G4,估价对象房地状况!C6)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2"/>
      <c r="M14" s="2134"/>
      <c r="N14" s="2134"/>
      <c r="O14" s="2141"/>
      <c r="P14" s="3531" t="s">
        <v>540</v>
      </c>
      <c r="Q14" s="1571" t="str">
        <f t="shared" si="6"/>
        <v>交通便捷度</v>
      </c>
      <c r="R14" s="1572" t="s">
        <v>8</v>
      </c>
      <c r="S14" s="1573">
        <f t="shared" si="0"/>
        <v>100</v>
      </c>
      <c r="T14" s="1572" t="s">
        <v>8</v>
      </c>
      <c r="U14" s="1573">
        <f t="shared" si="1"/>
        <v>100</v>
      </c>
      <c r="V14" s="1572" t="s">
        <v>8</v>
      </c>
      <c r="W14" s="1573">
        <f t="shared" si="2"/>
        <v>100</v>
      </c>
      <c r="X14" s="1566"/>
      <c r="Y14" s="3531" t="s">
        <v>540</v>
      </c>
      <c r="Z14" s="1574" t="str">
        <f t="shared" si="7"/>
        <v>交通便捷度</v>
      </c>
      <c r="AA14" s="1575">
        <f t="shared" si="3"/>
        <v>1</v>
      </c>
      <c r="AB14" s="1575">
        <f t="shared" si="4"/>
        <v>1</v>
      </c>
      <c r="AC14" s="1575">
        <f t="shared" si="5"/>
        <v>1</v>
      </c>
    </row>
    <row r="15" spans="1:29" ht="15">
      <c r="A15" s="513"/>
      <c r="B15" s="922"/>
      <c r="C15" s="574"/>
      <c r="D15" s="553"/>
      <c r="E15" s="574"/>
      <c r="F15" s="555"/>
      <c r="G15" s="574"/>
      <c r="H15" s="557"/>
      <c r="I15" s="574"/>
      <c r="J15" s="553"/>
      <c r="K15" s="897"/>
      <c r="L15" s="2142"/>
      <c r="M15" s="2134"/>
      <c r="N15" s="2134"/>
      <c r="O15" s="2141"/>
      <c r="P15" s="3532"/>
      <c r="Q15" s="1571"/>
      <c r="R15" s="1572"/>
      <c r="S15" s="1573"/>
      <c r="T15" s="1572"/>
      <c r="U15" s="1573"/>
      <c r="V15" s="1572"/>
      <c r="W15" s="1573"/>
      <c r="X15" s="1566"/>
      <c r="Y15" s="3532"/>
      <c r="Z15" s="1574"/>
      <c r="AA15" s="1575">
        <v>1</v>
      </c>
      <c r="AB15" s="1575">
        <v>1</v>
      </c>
      <c r="AC15" s="1575">
        <v>1</v>
      </c>
    </row>
    <row r="16" spans="1:29" ht="42.75">
      <c r="A16" s="513"/>
      <c r="B16" s="2625" t="s">
        <v>2550</v>
      </c>
      <c r="C16" s="870" t="str">
        <f>IF(B1="工业",估价对象房地状况!G5,估价对象房地状况!C7)</f>
        <v>估价对象所在区域公共配套设施齐备</v>
      </c>
      <c r="D16" s="563">
        <v>100</v>
      </c>
      <c r="E16" s="570"/>
      <c r="F16" s="569">
        <f>SUMIF(65:65,E17,66:66)-SUMIF(65:65,C17,66:66)+100</f>
        <v>100</v>
      </c>
      <c r="G16" s="570"/>
      <c r="H16" s="563">
        <f>SUMIF(65:65,G17,66:66)-SUMIF(65:65,C17,66:66)+100</f>
        <v>100</v>
      </c>
      <c r="I16" s="568"/>
      <c r="J16" s="563">
        <f>SUMIF(65:65,I17,66:66)-SUMIF(65:65,C17,66:66)+100</f>
        <v>100</v>
      </c>
      <c r="K16" s="896"/>
      <c r="L16" s="2142"/>
      <c r="M16" s="2134"/>
      <c r="N16" s="2134"/>
      <c r="O16" s="2141"/>
      <c r="P16" s="3532"/>
      <c r="Q16" s="1571" t="str">
        <f>B16</f>
        <v>公共配套设施</v>
      </c>
      <c r="R16" s="1572" t="s">
        <v>8</v>
      </c>
      <c r="S16" s="1573">
        <f>F16</f>
        <v>100</v>
      </c>
      <c r="T16" s="1572" t="s">
        <v>8</v>
      </c>
      <c r="U16" s="1573">
        <f>H16</f>
        <v>100</v>
      </c>
      <c r="V16" s="1572" t="s">
        <v>8</v>
      </c>
      <c r="W16" s="1573">
        <f>J16</f>
        <v>100</v>
      </c>
      <c r="X16" s="1566"/>
      <c r="Y16" s="3532"/>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7"/>
      <c r="L17" s="2142"/>
      <c r="M17" s="2134"/>
      <c r="N17" s="2134"/>
      <c r="O17" s="2141"/>
      <c r="P17" s="3532"/>
      <c r="Q17" s="1571"/>
      <c r="R17" s="1572"/>
      <c r="S17" s="1573"/>
      <c r="T17" s="1572"/>
      <c r="U17" s="1573"/>
      <c r="V17" s="1572"/>
      <c r="W17" s="1573"/>
      <c r="X17" s="1566"/>
      <c r="Y17" s="3532"/>
      <c r="Z17" s="1574"/>
      <c r="AA17" s="1575">
        <v>1</v>
      </c>
      <c r="AB17" s="1575">
        <v>1</v>
      </c>
      <c r="AC17" s="1575">
        <v>1</v>
      </c>
    </row>
    <row r="18" spans="1:29" ht="42.75">
      <c r="A18" s="513"/>
      <c r="B18" s="2613" t="s">
        <v>2562</v>
      </c>
      <c r="C18" s="870" t="str">
        <f>IF(B1="工业",估价对象房地状况!G6,估价对象房地状况!C8)</f>
        <v>估价对象所在区域基础设施水平达到七通</v>
      </c>
      <c r="D18" s="557">
        <v>100</v>
      </c>
      <c r="E18" s="570"/>
      <c r="F18" s="569">
        <f>SUMIF(67:67,E19,68:68)-SUMIF(67:67,C19,68:68)+100</f>
        <v>100</v>
      </c>
      <c r="G18" s="570"/>
      <c r="H18" s="563">
        <f>SUMIF(67:67,G19,68:68)-SUMIF(67:67,C19,68:68)+100</f>
        <v>100</v>
      </c>
      <c r="I18" s="568"/>
      <c r="J18" s="563">
        <f>SUMIF(67:67,I19,68:68)-SUMIF(67:67,C19,68:68)+100</f>
        <v>100</v>
      </c>
      <c r="K18" s="896"/>
      <c r="L18" s="2142"/>
      <c r="M18" s="2134"/>
      <c r="N18" s="2134"/>
      <c r="O18" s="2141"/>
      <c r="P18" s="3532"/>
      <c r="Q18" s="2601" t="str">
        <f>B18</f>
        <v>基础设施水平</v>
      </c>
      <c r="R18" s="1572" t="s">
        <v>8</v>
      </c>
      <c r="S18" s="1573">
        <f>F18</f>
        <v>100</v>
      </c>
      <c r="T18" s="1572" t="s">
        <v>8</v>
      </c>
      <c r="U18" s="1573">
        <f>H18</f>
        <v>100</v>
      </c>
      <c r="V18" s="1572" t="s">
        <v>8</v>
      </c>
      <c r="W18" s="1573">
        <f>J18</f>
        <v>100</v>
      </c>
      <c r="X18" s="2603"/>
      <c r="Y18" s="3532"/>
      <c r="Z18" s="2602"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624"/>
      <c r="L19" s="2142"/>
      <c r="M19" s="2134"/>
      <c r="N19" s="2134"/>
      <c r="O19" s="2141"/>
      <c r="P19" s="3532"/>
      <c r="Q19" s="2601"/>
      <c r="R19" s="1572"/>
      <c r="S19" s="1573"/>
      <c r="T19" s="1572"/>
      <c r="U19" s="1573"/>
      <c r="V19" s="1572"/>
      <c r="W19" s="1573"/>
      <c r="X19" s="2603"/>
      <c r="Y19" s="3532"/>
      <c r="Z19" s="2602"/>
      <c r="AA19" s="1575">
        <v>1</v>
      </c>
      <c r="AB19" s="1575">
        <v>1</v>
      </c>
      <c r="AC19" s="1575">
        <v>1</v>
      </c>
    </row>
    <row r="20" spans="1:29" ht="156.75">
      <c r="A20" s="513"/>
      <c r="B20" s="558" t="s">
        <v>804</v>
      </c>
      <c r="C20" s="870" t="str">
        <f>IF(B1="工业",估价对象房地状况!G7,估价对象房地状况!C9)</f>
        <v>区域自然环境：官园公园、什刹海公园、北海公园；人文环境：妙应寺白塔、恭王府、历代帝王庙、梅兰芳纪念馆、西直门天主教堂、西城区图书馆；综合评价环境状况好。</v>
      </c>
      <c r="D20" s="563">
        <v>100</v>
      </c>
      <c r="E20" s="560"/>
      <c r="F20" s="561">
        <f>SUMIF(69:69,E21,70:70)-SUMIF(69:69,C21,70:70)+100</f>
        <v>100</v>
      </c>
      <c r="G20" s="562"/>
      <c r="H20" s="557">
        <f>SUMIF(69:69,G21,70:70)-SUMIF(69:69,C21,70:70)+100</f>
        <v>100</v>
      </c>
      <c r="I20" s="560"/>
      <c r="J20" s="557">
        <f>SUMIF(69:69,I21,70:70)-SUMIF(69:69,C21,70:70)+100</f>
        <v>100</v>
      </c>
      <c r="K20" s="896"/>
      <c r="L20" s="2142"/>
      <c r="M20" s="2134"/>
      <c r="N20" s="2134"/>
      <c r="O20" s="2141"/>
      <c r="P20" s="3532"/>
      <c r="Q20" s="1571" t="str">
        <f>B20</f>
        <v>自然及人文环境</v>
      </c>
      <c r="R20" s="1572" t="s">
        <v>8</v>
      </c>
      <c r="S20" s="1573">
        <f>F20</f>
        <v>100</v>
      </c>
      <c r="T20" s="1572" t="s">
        <v>8</v>
      </c>
      <c r="U20" s="1573">
        <f>H20</f>
        <v>100</v>
      </c>
      <c r="V20" s="1572" t="s">
        <v>8</v>
      </c>
      <c r="W20" s="1573">
        <f>J20</f>
        <v>100</v>
      </c>
      <c r="X20" s="1566"/>
      <c r="Y20" s="3532"/>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7"/>
      <c r="L21" s="2142"/>
      <c r="M21" s="2134"/>
      <c r="N21" s="2134"/>
      <c r="O21" s="2141"/>
      <c r="P21" s="3532"/>
      <c r="Q21" s="1571"/>
      <c r="R21" s="1572"/>
      <c r="S21" s="1573"/>
      <c r="T21" s="1572"/>
      <c r="U21" s="1573"/>
      <c r="V21" s="1572"/>
      <c r="W21" s="1573"/>
      <c r="X21" s="1566"/>
      <c r="Y21" s="3532"/>
      <c r="Z21" s="1574"/>
      <c r="AA21" s="1575">
        <v>1</v>
      </c>
      <c r="AB21" s="1575">
        <v>1</v>
      </c>
      <c r="AC21" s="1575">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2"/>
      <c r="M22" s="2134"/>
      <c r="N22" s="2134"/>
      <c r="O22" s="2141"/>
      <c r="P22" s="3532"/>
      <c r="Q22" s="1571" t="str">
        <f>B22</f>
        <v>楼层</v>
      </c>
      <c r="R22" s="1572" t="s">
        <v>8</v>
      </c>
      <c r="S22" s="1573">
        <f>F22</f>
        <v>100</v>
      </c>
      <c r="T22" s="1572" t="s">
        <v>8</v>
      </c>
      <c r="U22" s="1573">
        <f>H22</f>
        <v>100</v>
      </c>
      <c r="V22" s="1572" t="s">
        <v>8</v>
      </c>
      <c r="W22" s="1573">
        <f>J22</f>
        <v>100</v>
      </c>
      <c r="X22" s="1566"/>
      <c r="Y22" s="3532"/>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2"/>
      <c r="M23" s="2134"/>
      <c r="N23" s="2134"/>
      <c r="O23" s="2141"/>
      <c r="P23" s="3532"/>
      <c r="Q23" s="1571">
        <f>B23</f>
        <v>111</v>
      </c>
      <c r="R23" s="1572" t="s">
        <v>8</v>
      </c>
      <c r="S23" s="1573">
        <f>F23</f>
        <v>100</v>
      </c>
      <c r="T23" s="1572" t="s">
        <v>8</v>
      </c>
      <c r="U23" s="1573">
        <f>H23</f>
        <v>100</v>
      </c>
      <c r="V23" s="1572" t="s">
        <v>8</v>
      </c>
      <c r="W23" s="1573">
        <f>J23</f>
        <v>100</v>
      </c>
      <c r="X23" s="1566"/>
      <c r="Y23" s="3532"/>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2"/>
      <c r="M24" s="2134"/>
      <c r="N24" s="2134"/>
      <c r="O24" s="2141"/>
      <c r="P24" s="3532"/>
      <c r="Q24" s="1571">
        <f t="shared" ref="Q24:Q36" si="11">B24</f>
        <v>111</v>
      </c>
      <c r="R24" s="1572" t="s">
        <v>8</v>
      </c>
      <c r="S24" s="1573">
        <f>F24</f>
        <v>100</v>
      </c>
      <c r="T24" s="1572" t="s">
        <v>8</v>
      </c>
      <c r="U24" s="1573">
        <f>H24</f>
        <v>100</v>
      </c>
      <c r="V24" s="1572" t="s">
        <v>8</v>
      </c>
      <c r="W24" s="1573">
        <f>J24</f>
        <v>100</v>
      </c>
      <c r="X24" s="1566"/>
      <c r="Y24" s="3532"/>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5"/>
      <c r="M25" s="2136"/>
      <c r="N25" s="2136"/>
      <c r="O25" s="2137"/>
      <c r="P25" s="3532"/>
      <c r="Q25" s="1149">
        <f t="shared" si="11"/>
        <v>111</v>
      </c>
      <c r="R25" s="1567" t="s">
        <v>8</v>
      </c>
      <c r="S25" s="1568">
        <f>F25</f>
        <v>100</v>
      </c>
      <c r="T25" s="1567" t="s">
        <v>8</v>
      </c>
      <c r="U25" s="1568">
        <f>H25</f>
        <v>100</v>
      </c>
      <c r="V25" s="1567" t="s">
        <v>8</v>
      </c>
      <c r="W25" s="1568">
        <f>J25</f>
        <v>100</v>
      </c>
      <c r="X25" s="1569"/>
      <c r="Y25" s="3532"/>
      <c r="Z25" s="1148">
        <f>Q25</f>
        <v>111</v>
      </c>
      <c r="AA25" s="1575">
        <f>D25/F25</f>
        <v>1</v>
      </c>
      <c r="AB25" s="1575">
        <f>D25/H25</f>
        <v>1</v>
      </c>
      <c r="AC25" s="1575">
        <f>D25/J25</f>
        <v>1</v>
      </c>
    </row>
    <row r="26" spans="1:29" ht="15">
      <c r="A26" s="2929" t="s">
        <v>2759</v>
      </c>
      <c r="B26" s="168"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2"/>
      <c r="M26" s="2134"/>
      <c r="N26" s="2134"/>
      <c r="O26" s="2141"/>
      <c r="P26" s="3533"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534" t="s">
        <v>550</v>
      </c>
      <c r="Z26" s="1574" t="str">
        <f t="shared" ref="Z26:Z36" si="15">Q26</f>
        <v>配套类型</v>
      </c>
      <c r="AA26" s="1575">
        <f t="shared" si="3"/>
        <v>1</v>
      </c>
      <c r="AB26" s="1575">
        <f t="shared" si="4"/>
        <v>1</v>
      </c>
      <c r="AC26" s="1575">
        <f t="shared" si="5"/>
        <v>1</v>
      </c>
    </row>
    <row r="27" spans="1:29" s="1337"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40"/>
      <c r="M27" s="2171"/>
      <c r="N27" s="2171"/>
      <c r="O27" s="2143"/>
      <c r="P27" s="3534"/>
      <c r="Q27" s="1604" t="str">
        <f t="shared" si="11"/>
        <v>项目停车位配比</v>
      </c>
      <c r="R27" s="1576" t="s">
        <v>8</v>
      </c>
      <c r="S27" s="1577">
        <f t="shared" si="12"/>
        <v>100</v>
      </c>
      <c r="T27" s="1576" t="s">
        <v>8</v>
      </c>
      <c r="U27" s="1577">
        <f t="shared" si="13"/>
        <v>100</v>
      </c>
      <c r="V27" s="1576" t="s">
        <v>8</v>
      </c>
      <c r="W27" s="1577">
        <f t="shared" si="14"/>
        <v>100</v>
      </c>
      <c r="X27" s="1578"/>
      <c r="Y27" s="3534"/>
      <c r="Z27" s="1579" t="str">
        <f t="shared" si="15"/>
        <v>项目停车位配比</v>
      </c>
      <c r="AA27" s="1575">
        <f t="shared" si="3"/>
        <v>1</v>
      </c>
      <c r="AB27" s="1575">
        <f t="shared" si="4"/>
        <v>1</v>
      </c>
      <c r="AC27" s="1575">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2"/>
      <c r="M28" s="2134"/>
      <c r="N28" s="2134"/>
      <c r="O28" s="2141"/>
      <c r="P28" s="3534"/>
      <c r="Q28" s="1571" t="str">
        <f t="shared" si="11"/>
        <v>公共部分装修</v>
      </c>
      <c r="R28" s="1572" t="s">
        <v>8</v>
      </c>
      <c r="S28" s="1573">
        <f t="shared" si="12"/>
        <v>100</v>
      </c>
      <c r="T28" s="1572" t="s">
        <v>8</v>
      </c>
      <c r="U28" s="1573">
        <f t="shared" si="13"/>
        <v>100</v>
      </c>
      <c r="V28" s="1572" t="s">
        <v>8</v>
      </c>
      <c r="W28" s="1573">
        <f t="shared" si="14"/>
        <v>100</v>
      </c>
      <c r="X28" s="1566"/>
      <c r="Y28" s="3534"/>
      <c r="Z28" s="1574" t="str">
        <f t="shared" si="15"/>
        <v>公共部分装修</v>
      </c>
      <c r="AA28" s="1575">
        <f t="shared" si="3"/>
        <v>1</v>
      </c>
      <c r="AB28" s="1575">
        <f t="shared" si="4"/>
        <v>1</v>
      </c>
      <c r="AC28" s="1575">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2"/>
      <c r="M29" s="2134"/>
      <c r="N29" s="2134"/>
      <c r="O29" s="2141"/>
      <c r="P29" s="3534"/>
      <c r="Q29" s="1571" t="str">
        <f t="shared" si="11"/>
        <v>成新率</v>
      </c>
      <c r="R29" s="1572" t="s">
        <v>8</v>
      </c>
      <c r="S29" s="1573" t="e">
        <f t="shared" si="12"/>
        <v>#N/A</v>
      </c>
      <c r="T29" s="1572" t="s">
        <v>8</v>
      </c>
      <c r="U29" s="1573" t="e">
        <f t="shared" si="13"/>
        <v>#N/A</v>
      </c>
      <c r="V29" s="1572" t="s">
        <v>8</v>
      </c>
      <c r="W29" s="1573" t="e">
        <f t="shared" si="14"/>
        <v>#N/A</v>
      </c>
      <c r="X29" s="1566"/>
      <c r="Y29" s="3534"/>
      <c r="Z29" s="1574" t="str">
        <f t="shared" si="15"/>
        <v>成新率</v>
      </c>
      <c r="AA29" s="1575" t="e">
        <f t="shared" si="3"/>
        <v>#N/A</v>
      </c>
      <c r="AB29" s="1575" t="e">
        <f t="shared" si="4"/>
        <v>#N/A</v>
      </c>
      <c r="AC29" s="1575"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2"/>
      <c r="M30" s="2134"/>
      <c r="N30" s="2134"/>
      <c r="O30" s="2141"/>
      <c r="P30" s="3534"/>
      <c r="Q30" s="1571" t="str">
        <f t="shared" si="11"/>
        <v>物业等级</v>
      </c>
      <c r="R30" s="1572" t="s">
        <v>8</v>
      </c>
      <c r="S30" s="1573">
        <f t="shared" si="12"/>
        <v>100</v>
      </c>
      <c r="T30" s="1572" t="s">
        <v>8</v>
      </c>
      <c r="U30" s="1573">
        <f t="shared" si="13"/>
        <v>100</v>
      </c>
      <c r="V30" s="1572" t="s">
        <v>8</v>
      </c>
      <c r="W30" s="1573">
        <f t="shared" si="14"/>
        <v>100</v>
      </c>
      <c r="X30" s="1566"/>
      <c r="Y30" s="3534"/>
      <c r="Z30" s="1574" t="str">
        <f t="shared" si="15"/>
        <v>物业等级</v>
      </c>
      <c r="AA30" s="1575">
        <f t="shared" si="3"/>
        <v>1</v>
      </c>
      <c r="AB30" s="1575">
        <f t="shared" si="4"/>
        <v>1</v>
      </c>
      <c r="AC30" s="1575">
        <f t="shared" si="5"/>
        <v>1</v>
      </c>
    </row>
    <row r="31" spans="1:29" s="1218"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5"/>
      <c r="M31" s="2136"/>
      <c r="N31" s="2136"/>
      <c r="O31" s="2137"/>
      <c r="P31" s="3534"/>
      <c r="Q31" s="1149" t="str">
        <f t="shared" si="11"/>
        <v>停车位面积</v>
      </c>
      <c r="R31" s="1567" t="s">
        <v>8</v>
      </c>
      <c r="S31" s="1568" t="e">
        <f t="shared" si="12"/>
        <v>#N/A</v>
      </c>
      <c r="T31" s="1567" t="s">
        <v>8</v>
      </c>
      <c r="U31" s="1568" t="e">
        <f t="shared" si="13"/>
        <v>#N/A</v>
      </c>
      <c r="V31" s="1567" t="s">
        <v>8</v>
      </c>
      <c r="W31" s="1568" t="e">
        <f t="shared" si="14"/>
        <v>#N/A</v>
      </c>
      <c r="X31" s="1569"/>
      <c r="Y31" s="3534"/>
      <c r="Z31" s="1148" t="str">
        <f t="shared" si="15"/>
        <v>停车位面积</v>
      </c>
      <c r="AA31" s="1570" t="e">
        <f t="shared" si="3"/>
        <v>#N/A</v>
      </c>
      <c r="AB31" s="1570" t="e">
        <f t="shared" si="4"/>
        <v>#N/A</v>
      </c>
      <c r="AC31" s="1570"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2"/>
      <c r="M32" s="2134"/>
      <c r="N32" s="2134"/>
      <c r="O32" s="2141"/>
      <c r="P32" s="3534" t="s">
        <v>550</v>
      </c>
      <c r="Q32" s="1571" t="str">
        <f t="shared" si="11"/>
        <v>车位类型</v>
      </c>
      <c r="R32" s="1572" t="s">
        <v>8</v>
      </c>
      <c r="S32" s="1573">
        <f t="shared" si="12"/>
        <v>100</v>
      </c>
      <c r="T32" s="1572" t="s">
        <v>8</v>
      </c>
      <c r="U32" s="1573">
        <f t="shared" si="13"/>
        <v>100</v>
      </c>
      <c r="V32" s="1572" t="s">
        <v>8</v>
      </c>
      <c r="W32" s="1573">
        <f t="shared" si="14"/>
        <v>100</v>
      </c>
      <c r="X32" s="1566"/>
      <c r="Y32" s="3534" t="s">
        <v>550</v>
      </c>
      <c r="Z32" s="1574" t="str">
        <f t="shared" si="15"/>
        <v>车位类型</v>
      </c>
      <c r="AA32" s="1575">
        <f t="shared" si="3"/>
        <v>1</v>
      </c>
      <c r="AB32" s="1575">
        <f t="shared" si="4"/>
        <v>1</v>
      </c>
      <c r="AC32" s="1575">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2"/>
      <c r="M33" s="2134"/>
      <c r="N33" s="2134"/>
      <c r="O33" s="2141"/>
      <c r="P33" s="3534"/>
      <c r="Q33" s="1571" t="str">
        <f t="shared" si="11"/>
        <v>是否直接入户</v>
      </c>
      <c r="R33" s="1572" t="s">
        <v>8</v>
      </c>
      <c r="S33" s="1573">
        <f t="shared" si="12"/>
        <v>100</v>
      </c>
      <c r="T33" s="1572" t="s">
        <v>8</v>
      </c>
      <c r="U33" s="1573">
        <f t="shared" si="13"/>
        <v>100</v>
      </c>
      <c r="V33" s="1572" t="s">
        <v>8</v>
      </c>
      <c r="W33" s="1573">
        <f t="shared" si="14"/>
        <v>100</v>
      </c>
      <c r="X33" s="1566"/>
      <c r="Y33" s="3534"/>
      <c r="Z33" s="1574" t="str">
        <f t="shared" si="15"/>
        <v>是否直接入户</v>
      </c>
      <c r="AA33" s="1575">
        <f t="shared" si="3"/>
        <v>1</v>
      </c>
      <c r="AB33" s="1575">
        <f t="shared" si="4"/>
        <v>1</v>
      </c>
      <c r="AC33" s="1575">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2"/>
      <c r="M34" s="2134"/>
      <c r="N34" s="2134"/>
      <c r="O34" s="2141"/>
      <c r="P34" s="3534"/>
      <c r="Q34" s="1571">
        <f t="shared" si="11"/>
        <v>111</v>
      </c>
      <c r="R34" s="1572" t="s">
        <v>8</v>
      </c>
      <c r="S34" s="1573">
        <f t="shared" si="12"/>
        <v>100</v>
      </c>
      <c r="T34" s="1572" t="s">
        <v>8</v>
      </c>
      <c r="U34" s="1573">
        <f t="shared" si="13"/>
        <v>100</v>
      </c>
      <c r="V34" s="1572" t="s">
        <v>8</v>
      </c>
      <c r="W34" s="1573">
        <f t="shared" si="14"/>
        <v>100</v>
      </c>
      <c r="X34" s="1566"/>
      <c r="Y34" s="3534"/>
      <c r="Z34" s="1574">
        <f t="shared" si="15"/>
        <v>111</v>
      </c>
      <c r="AA34" s="1575">
        <f t="shared" si="3"/>
        <v>1</v>
      </c>
      <c r="AB34" s="1575">
        <f t="shared" si="4"/>
        <v>1</v>
      </c>
      <c r="AC34" s="1575">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40"/>
      <c r="M35" s="2171"/>
      <c r="N35" s="2171"/>
      <c r="O35" s="2143"/>
      <c r="P35" s="3534"/>
      <c r="Q35" s="1604">
        <f t="shared" si="11"/>
        <v>111</v>
      </c>
      <c r="R35" s="1576" t="s">
        <v>8</v>
      </c>
      <c r="S35" s="1577">
        <f t="shared" si="12"/>
        <v>100</v>
      </c>
      <c r="T35" s="1576" t="s">
        <v>8</v>
      </c>
      <c r="U35" s="1577">
        <f t="shared" si="13"/>
        <v>100</v>
      </c>
      <c r="V35" s="1576" t="s">
        <v>8</v>
      </c>
      <c r="W35" s="1577">
        <f t="shared" si="14"/>
        <v>100</v>
      </c>
      <c r="X35" s="1578"/>
      <c r="Y35" s="3534"/>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2"/>
      <c r="M36" s="2134"/>
      <c r="N36" s="2134"/>
      <c r="O36" s="2141"/>
      <c r="P36" s="3534"/>
      <c r="Q36" s="1571">
        <f t="shared" si="11"/>
        <v>111</v>
      </c>
      <c r="R36" s="1572" t="s">
        <v>8</v>
      </c>
      <c r="S36" s="1573">
        <f t="shared" si="12"/>
        <v>100</v>
      </c>
      <c r="T36" s="1572" t="s">
        <v>8</v>
      </c>
      <c r="U36" s="1573">
        <f t="shared" si="13"/>
        <v>100</v>
      </c>
      <c r="V36" s="1572" t="s">
        <v>8</v>
      </c>
      <c r="W36" s="1573">
        <f t="shared" si="14"/>
        <v>100</v>
      </c>
      <c r="X36" s="1566"/>
      <c r="Y36" s="3534"/>
      <c r="Z36" s="1574">
        <f t="shared" si="15"/>
        <v>111</v>
      </c>
      <c r="AA36" s="1575">
        <f t="shared" si="3"/>
        <v>1</v>
      </c>
      <c r="AB36" s="1575">
        <f t="shared" si="4"/>
        <v>1</v>
      </c>
      <c r="AC36" s="1575">
        <f t="shared" si="5"/>
        <v>1</v>
      </c>
    </row>
    <row r="37" spans="1:29" ht="15">
      <c r="A37" s="1846" t="s">
        <v>2080</v>
      </c>
      <c r="B37" s="1847" t="s">
        <v>2081</v>
      </c>
      <c r="C37" s="2649" t="s">
        <v>1</v>
      </c>
      <c r="D37" s="2650"/>
      <c r="E37" s="2651"/>
      <c r="F37" s="2652"/>
      <c r="G37" s="2653"/>
      <c r="H37" s="2654"/>
      <c r="I37" s="2651"/>
      <c r="J37" s="2654"/>
      <c r="K37" s="1610"/>
      <c r="L37" s="2144"/>
      <c r="M37" s="2145"/>
      <c r="N37" s="2134"/>
      <c r="O37" s="2145"/>
      <c r="P37" s="3497" t="str">
        <f>A37</f>
        <v>成交单价</v>
      </c>
      <c r="Q37" s="3497"/>
      <c r="R37" s="3610">
        <f>E37</f>
        <v>0</v>
      </c>
      <c r="S37" s="3610"/>
      <c r="T37" s="3610">
        <f>G37</f>
        <v>0</v>
      </c>
      <c r="U37" s="3610"/>
      <c r="V37" s="3610">
        <f>I37</f>
        <v>0</v>
      </c>
      <c r="W37" s="3610"/>
      <c r="X37" s="1558"/>
      <c r="Y37" s="1580"/>
      <c r="Z37" s="1558"/>
      <c r="AA37" s="1558"/>
      <c r="AB37" s="1558"/>
      <c r="AC37" s="1558"/>
    </row>
    <row r="38" spans="1:29" ht="15.75" thickBot="1">
      <c r="A38" s="613" t="s">
        <v>2764</v>
      </c>
      <c r="B38" s="886"/>
      <c r="C38" s="2655" t="e">
        <f>R39</f>
        <v>#DIV/0!</v>
      </c>
      <c r="D38" s="2656"/>
      <c r="E38" s="2657" t="e">
        <f>R38</f>
        <v>#DIV/0!</v>
      </c>
      <c r="F38" s="2657"/>
      <c r="G38" s="2655" t="e">
        <f>T38</f>
        <v>#DIV/0!</v>
      </c>
      <c r="H38" s="2656"/>
      <c r="I38" s="2657" t="e">
        <f>V38</f>
        <v>#DIV/0!</v>
      </c>
      <c r="J38" s="2656"/>
      <c r="K38" s="1611"/>
      <c r="L38" s="2144"/>
      <c r="M38" s="2145"/>
      <c r="N38" s="2145"/>
      <c r="O38" s="2145"/>
      <c r="P38" s="3497" t="str">
        <f>A38</f>
        <v>比较价格（元/平方米）</v>
      </c>
      <c r="Q38" s="3497"/>
      <c r="R38" s="3610" t="e">
        <f>IF(F1="售价",ROUND(PRODUCT(R37,AA7:AA36),0),ROUND(PRODUCT(R37,AA7:AA36),1))</f>
        <v>#DIV/0!</v>
      </c>
      <c r="S38" s="3610"/>
      <c r="T38" s="3610" t="e">
        <f>IF(F1="售价",ROUND(PRODUCT(T37,AB7:AB36),0),ROUND(PRODUCT(T37,AB7:AB36),1))</f>
        <v>#DIV/0!</v>
      </c>
      <c r="U38" s="3610"/>
      <c r="V38" s="3610" t="e">
        <f>IF(F1="售价",ROUND(PRODUCT(V37,AC7:AC36),0),ROUND(PRODUCT(V37,AC7:AC36),1))</f>
        <v>#DIV/0!</v>
      </c>
      <c r="W38" s="3610"/>
      <c r="X38" s="1558"/>
      <c r="Y38" s="1558"/>
      <c r="Z38" s="1558"/>
      <c r="AA38" s="1558"/>
      <c r="AB38" s="1558"/>
      <c r="AC38" s="1558"/>
    </row>
    <row r="39" spans="1:29" ht="15.75" thickBot="1">
      <c r="A39" s="619" t="s">
        <v>2936</v>
      </c>
      <c r="B39" s="620"/>
      <c r="C39" s="2658" t="e">
        <f>R39</f>
        <v>#DIV/0!</v>
      </c>
      <c r="D39" s="2658"/>
      <c r="E39" s="2658"/>
      <c r="F39" s="2658"/>
      <c r="G39" s="2658"/>
      <c r="H39" s="2658"/>
      <c r="I39" s="2658"/>
      <c r="J39" s="2658"/>
      <c r="K39" s="1612"/>
      <c r="L39" s="2144"/>
      <c r="M39" s="2145"/>
      <c r="N39" s="2145"/>
      <c r="O39" s="2145"/>
      <c r="P39" s="3494" t="str">
        <f>A39</f>
        <v>估价对象XX用房的比较价格（楼面单价，元/平方米）</v>
      </c>
      <c r="Q39" s="3495"/>
      <c r="R39" s="3609" t="e">
        <f>IF(F1="售价",ROUND(AVERAGE(R38:V38),0),ROUND(AVERAGE(R38:V38),1))</f>
        <v>#DIV/0!</v>
      </c>
      <c r="S39" s="3609"/>
      <c r="T39" s="3609"/>
      <c r="U39" s="3609"/>
      <c r="V39" s="3609"/>
      <c r="W39" s="3609"/>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3" t="s">
        <v>529</v>
      </c>
      <c r="B48" s="644"/>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60"/>
      <c r="Q48" s="2161"/>
      <c r="R48" s="2161"/>
      <c r="S48" s="2161"/>
      <c r="T48" s="2161"/>
      <c r="U48" s="2161"/>
      <c r="V48" s="2161"/>
      <c r="W48" s="2161"/>
      <c r="X48" s="2161"/>
      <c r="Y48" s="2161"/>
      <c r="Z48" s="2161"/>
      <c r="AA48" s="2161"/>
      <c r="AB48" s="2161"/>
      <c r="AC48" s="2161"/>
    </row>
    <row r="49" spans="1:29" s="1218" customFormat="1" ht="15">
      <c r="A49" s="645"/>
      <c r="B49" s="646"/>
      <c r="C49" s="2825">
        <v>100</v>
      </c>
      <c r="D49" s="648"/>
      <c r="E49" s="648"/>
      <c r="F49" s="648"/>
      <c r="G49" s="648"/>
      <c r="H49" s="648"/>
      <c r="I49" s="648"/>
      <c r="J49" s="648"/>
      <c r="K49" s="648"/>
      <c r="L49" s="648"/>
      <c r="M49" s="649"/>
      <c r="N49" s="648"/>
      <c r="O49" s="650"/>
      <c r="P49" s="2158"/>
      <c r="Q49" s="1993"/>
      <c r="R49" s="1993"/>
      <c r="S49" s="1993"/>
      <c r="T49" s="1993"/>
      <c r="U49" s="1993"/>
      <c r="V49" s="1993"/>
      <c r="W49" s="1993"/>
      <c r="X49" s="1993"/>
      <c r="Y49" s="1993"/>
      <c r="Z49" s="1993"/>
      <c r="AA49" s="1993"/>
      <c r="AB49" s="1993"/>
      <c r="AC49" s="1993"/>
    </row>
    <row r="50" spans="1:29" s="1218" customFormat="1" ht="15.75" thickBot="1">
      <c r="A50" s="651" t="s">
        <v>575</v>
      </c>
      <c r="B50" s="652"/>
      <c r="C50" s="653"/>
      <c r="D50" s="654"/>
      <c r="E50" s="654"/>
      <c r="F50" s="654"/>
      <c r="G50" s="654"/>
      <c r="H50" s="654"/>
      <c r="I50" s="654"/>
      <c r="J50" s="654"/>
      <c r="K50" s="654"/>
      <c r="L50" s="654"/>
      <c r="M50" s="655"/>
      <c r="N50" s="654"/>
      <c r="O50" s="656"/>
      <c r="P50" s="2158"/>
      <c r="Q50" s="2158"/>
      <c r="R50" s="1993"/>
      <c r="S50" s="1993"/>
      <c r="T50" s="1993"/>
      <c r="U50" s="1993"/>
      <c r="V50" s="1993"/>
      <c r="W50" s="1993"/>
      <c r="X50" s="1993"/>
      <c r="Y50" s="1993"/>
      <c r="Z50" s="1993"/>
      <c r="AA50" s="1993"/>
      <c r="AB50" s="1993"/>
      <c r="AC50" s="1993"/>
    </row>
    <row r="51" spans="1:29" s="1218" customFormat="1" ht="15">
      <c r="A51" s="657" t="s">
        <v>531</v>
      </c>
      <c r="B51" s="646"/>
      <c r="C51" s="658" t="s">
        <v>576</v>
      </c>
      <c r="D51" s="659"/>
      <c r="E51" s="659"/>
      <c r="F51" s="659"/>
      <c r="G51" s="659"/>
      <c r="H51" s="659"/>
      <c r="I51" s="659"/>
      <c r="J51" s="659"/>
      <c r="K51" s="659"/>
      <c r="L51" s="660"/>
      <c r="M51" s="661"/>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7"/>
      <c r="B52" s="646"/>
      <c r="C52" s="647">
        <v>100</v>
      </c>
      <c r="D52" s="648"/>
      <c r="E52" s="648"/>
      <c r="F52" s="648"/>
      <c r="G52" s="648"/>
      <c r="H52" s="648"/>
      <c r="I52" s="648"/>
      <c r="J52" s="648"/>
      <c r="K52" s="648"/>
      <c r="L52" s="648"/>
      <c r="M52" s="650"/>
      <c r="N52" s="2162"/>
      <c r="O52" s="2162"/>
      <c r="P52" s="2158"/>
      <c r="Q52" s="2158"/>
      <c r="R52" s="1993"/>
      <c r="S52" s="1993"/>
      <c r="T52" s="1993"/>
      <c r="U52" s="1993"/>
      <c r="V52" s="1993"/>
      <c r="W52" s="1993"/>
      <c r="X52" s="1993"/>
      <c r="Y52" s="1993"/>
      <c r="Z52" s="1993"/>
      <c r="AA52" s="1993"/>
      <c r="AB52" s="1993"/>
      <c r="AC52" s="1993"/>
    </row>
    <row r="53" spans="1:29">
      <c r="A53" s="662" t="s">
        <v>577</v>
      </c>
      <c r="B53" s="663" t="s">
        <v>534</v>
      </c>
      <c r="C53" s="702">
        <f>C9</f>
        <v>0</v>
      </c>
      <c r="D53" s="596"/>
      <c r="E53" s="596"/>
      <c r="F53" s="596"/>
      <c r="G53" s="596"/>
      <c r="H53" s="596"/>
      <c r="I53" s="596"/>
      <c r="J53" s="596"/>
      <c r="K53" s="664"/>
      <c r="L53" s="665"/>
      <c r="M53" s="666"/>
      <c r="N53" s="2164"/>
      <c r="O53" s="2164"/>
      <c r="P53" s="2165"/>
      <c r="Q53" s="2158"/>
      <c r="R53" s="2145"/>
      <c r="S53" s="2145"/>
      <c r="T53" s="2145"/>
      <c r="U53" s="2145"/>
      <c r="V53" s="2145"/>
      <c r="W53" s="2145"/>
      <c r="X53" s="2145"/>
      <c r="Y53" s="2145"/>
      <c r="Z53" s="2145"/>
      <c r="AA53" s="2145"/>
      <c r="AB53" s="2145"/>
      <c r="AC53" s="2145"/>
    </row>
    <row r="54" spans="1:29" ht="15.75" thickBot="1">
      <c r="A54" s="667"/>
      <c r="B54" s="668"/>
      <c r="C54" s="669"/>
      <c r="D54" s="669"/>
      <c r="E54" s="669"/>
      <c r="F54" s="669"/>
      <c r="G54" s="669"/>
      <c r="H54" s="669"/>
      <c r="I54" s="669"/>
      <c r="J54" s="669"/>
      <c r="K54" s="669"/>
      <c r="L54" s="669"/>
      <c r="M54" s="670"/>
      <c r="N54" s="2166"/>
      <c r="O54" s="2166"/>
      <c r="P54" s="2165"/>
      <c r="Q54" s="2158"/>
      <c r="R54" s="2145"/>
      <c r="S54" s="2145"/>
      <c r="T54" s="2145"/>
      <c r="U54" s="2145"/>
      <c r="V54" s="2145"/>
      <c r="W54" s="2145"/>
      <c r="X54" s="2145"/>
      <c r="Y54" s="2145"/>
      <c r="Z54" s="2145"/>
      <c r="AA54" s="2145"/>
      <c r="AB54" s="2145"/>
      <c r="AC54" s="2145"/>
    </row>
    <row r="55" spans="1:29" ht="27.75" thickTop="1">
      <c r="A55" s="667"/>
      <c r="B55" s="671" t="s">
        <v>537</v>
      </c>
      <c r="C55" s="672" t="s">
        <v>737</v>
      </c>
      <c r="D55" s="672" t="s">
        <v>738</v>
      </c>
      <c r="E55" s="672" t="s">
        <v>739</v>
      </c>
      <c r="F55" s="672" t="s">
        <v>740</v>
      </c>
      <c r="G55" s="672" t="s">
        <v>741</v>
      </c>
      <c r="H55" s="672" t="s">
        <v>742</v>
      </c>
      <c r="I55" s="672" t="s">
        <v>743</v>
      </c>
      <c r="J55" s="672"/>
      <c r="K55" s="673"/>
      <c r="L55" s="674"/>
      <c r="M55" s="675"/>
      <c r="N55" s="2164"/>
      <c r="O55" s="2164"/>
      <c r="P55" s="2165"/>
      <c r="Q55" s="2158"/>
      <c r="R55" s="2145"/>
      <c r="S55" s="2145"/>
      <c r="T55" s="2145"/>
      <c r="U55" s="2145"/>
      <c r="V55" s="2145"/>
      <c r="W55" s="2145"/>
      <c r="X55" s="2145"/>
      <c r="Y55" s="2145"/>
      <c r="Z55" s="2145"/>
      <c r="AA55" s="2145"/>
      <c r="AB55" s="2145"/>
      <c r="AC55" s="2145"/>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6"/>
      <c r="O56" s="2166"/>
      <c r="P56" s="2165"/>
      <c r="Q56" s="2158"/>
      <c r="R56" s="2145"/>
      <c r="S56" s="2145"/>
      <c r="T56" s="2145"/>
      <c r="U56" s="2145"/>
      <c r="V56" s="2145"/>
      <c r="W56" s="2145"/>
      <c r="X56" s="2145"/>
      <c r="Y56" s="2145"/>
      <c r="Z56" s="2145"/>
      <c r="AA56" s="2145"/>
      <c r="AB56" s="2145"/>
      <c r="AC56" s="2145"/>
    </row>
    <row r="57" spans="1:29" ht="15.75" thickTop="1">
      <c r="A57" s="667"/>
      <c r="B57" s="933">
        <f>B11</f>
        <v>111</v>
      </c>
      <c r="C57" s="539"/>
      <c r="D57" s="539"/>
      <c r="E57" s="539"/>
      <c r="F57" s="539"/>
      <c r="G57" s="539"/>
      <c r="H57" s="539"/>
      <c r="I57" s="539"/>
      <c r="J57" s="539"/>
      <c r="K57" s="682"/>
      <c r="L57" s="683"/>
      <c r="M57" s="684"/>
      <c r="N57" s="2164"/>
      <c r="O57" s="2164"/>
      <c r="P57" s="2165"/>
      <c r="Q57" s="2158"/>
      <c r="R57" s="2145"/>
      <c r="S57" s="2145"/>
      <c r="T57" s="2145"/>
      <c r="U57" s="2145"/>
      <c r="V57" s="2145"/>
      <c r="W57" s="2145"/>
      <c r="X57" s="2145"/>
      <c r="Y57" s="2145"/>
      <c r="Z57" s="2145"/>
      <c r="AA57" s="2145"/>
      <c r="AB57" s="2145"/>
      <c r="AC57" s="2145"/>
    </row>
    <row r="58" spans="1:29" ht="15.75" thickBot="1">
      <c r="A58" s="667"/>
      <c r="B58" s="668"/>
      <c r="C58" s="690"/>
      <c r="D58" s="669"/>
      <c r="E58" s="669"/>
      <c r="F58" s="669"/>
      <c r="G58" s="669"/>
      <c r="H58" s="669"/>
      <c r="I58" s="669"/>
      <c r="J58" s="669"/>
      <c r="K58" s="669"/>
      <c r="L58" s="669"/>
      <c r="M58" s="670"/>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5"/>
      <c r="B59" s="671">
        <f>B12</f>
        <v>111</v>
      </c>
      <c r="C59" s="539"/>
      <c r="D59" s="539"/>
      <c r="E59" s="539"/>
      <c r="F59" s="539"/>
      <c r="G59" s="686"/>
      <c r="H59" s="687"/>
      <c r="I59" s="687"/>
      <c r="J59" s="687"/>
      <c r="K59" s="687"/>
      <c r="L59" s="688"/>
      <c r="M59" s="689"/>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5"/>
      <c r="B60" s="676"/>
      <c r="C60" s="690"/>
      <c r="D60" s="669"/>
      <c r="E60" s="669"/>
      <c r="F60" s="669"/>
      <c r="G60" s="669"/>
      <c r="H60" s="669"/>
      <c r="I60" s="669"/>
      <c r="J60" s="669"/>
      <c r="K60" s="669"/>
      <c r="L60" s="669"/>
      <c r="M60" s="670"/>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5"/>
      <c r="B61" s="671">
        <f>B13</f>
        <v>111</v>
      </c>
      <c r="C61" s="686"/>
      <c r="D61" s="686"/>
      <c r="E61" s="686"/>
      <c r="F61" s="686"/>
      <c r="G61" s="686"/>
      <c r="H61" s="687"/>
      <c r="I61" s="687"/>
      <c r="J61" s="687"/>
      <c r="K61" s="687"/>
      <c r="L61" s="688"/>
      <c r="M61" s="689"/>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5"/>
      <c r="B62" s="676"/>
      <c r="C62" s="690"/>
      <c r="D62" s="690"/>
      <c r="E62" s="690"/>
      <c r="F62" s="690"/>
      <c r="G62" s="690"/>
      <c r="H62" s="691"/>
      <c r="I62" s="691"/>
      <c r="J62" s="691"/>
      <c r="K62" s="691"/>
      <c r="L62" s="691"/>
      <c r="M62" s="692"/>
      <c r="N62" s="2167"/>
      <c r="O62" s="2167"/>
      <c r="P62" s="2168"/>
      <c r="Q62" s="2169"/>
      <c r="R62" s="2170"/>
      <c r="S62" s="2170"/>
      <c r="T62" s="2170"/>
      <c r="U62" s="2170"/>
      <c r="V62" s="2170"/>
      <c r="W62" s="2170"/>
      <c r="X62" s="2170"/>
      <c r="Y62" s="2170"/>
      <c r="Z62" s="2170"/>
      <c r="AA62" s="2170"/>
      <c r="AB62" s="2170"/>
      <c r="AC62" s="2170"/>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4"/>
      <c r="O63" s="2164"/>
      <c r="P63" s="2174"/>
      <c r="Q63" s="2158"/>
      <c r="R63" s="2145"/>
      <c r="S63" s="2145"/>
      <c r="T63" s="2145"/>
      <c r="U63" s="2145"/>
      <c r="V63" s="2145"/>
      <c r="W63" s="2145"/>
      <c r="X63" s="2145"/>
      <c r="Y63" s="2145"/>
      <c r="Z63" s="2145"/>
      <c r="AA63" s="2145"/>
      <c r="AB63" s="2145"/>
      <c r="AC63" s="2145"/>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1896" t="s">
        <v>2561</v>
      </c>
      <c r="C65" s="706" t="s">
        <v>579</v>
      </c>
      <c r="D65" s="706" t="s">
        <v>580</v>
      </c>
      <c r="E65" s="706" t="s">
        <v>581</v>
      </c>
      <c r="F65" s="706" t="s">
        <v>582</v>
      </c>
      <c r="G65" s="706" t="s">
        <v>583</v>
      </c>
      <c r="H65" s="672"/>
      <c r="I65" s="672"/>
      <c r="J65" s="672"/>
      <c r="K65" s="673"/>
      <c r="L65" s="674"/>
      <c r="M65" s="675"/>
      <c r="N65" s="2164"/>
      <c r="O65" s="2164"/>
      <c r="P65" s="2165"/>
      <c r="Q65" s="2158"/>
      <c r="R65" s="2145"/>
      <c r="S65" s="2145"/>
      <c r="T65" s="2145"/>
      <c r="U65" s="2145"/>
      <c r="V65" s="2145"/>
      <c r="W65" s="2145"/>
      <c r="X65" s="2145"/>
      <c r="Y65" s="2145"/>
      <c r="Z65" s="2145"/>
      <c r="AA65" s="2145"/>
      <c r="AB65" s="2145"/>
      <c r="AC65" s="2145"/>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6"/>
      <c r="O66" s="2166"/>
      <c r="P66" s="2165"/>
      <c r="Q66" s="2158"/>
      <c r="R66" s="2145"/>
      <c r="S66" s="2145"/>
      <c r="T66" s="2145"/>
      <c r="U66" s="2145"/>
      <c r="V66" s="2145"/>
      <c r="W66" s="2145"/>
      <c r="X66" s="2145"/>
      <c r="Y66" s="2145"/>
      <c r="Z66" s="2145"/>
      <c r="AA66" s="2145"/>
      <c r="AB66" s="2145"/>
      <c r="AC66" s="2145"/>
    </row>
    <row r="67" spans="1:29" ht="15.75" thickTop="1">
      <c r="A67" s="667"/>
      <c r="B67" s="2619" t="s">
        <v>2562</v>
      </c>
      <c r="C67" s="2620" t="s">
        <v>2563</v>
      </c>
      <c r="D67" s="2620" t="s">
        <v>2564</v>
      </c>
      <c r="E67" s="2620" t="s">
        <v>2565</v>
      </c>
      <c r="F67" s="2620" t="s">
        <v>2566</v>
      </c>
      <c r="G67" s="2620" t="s">
        <v>2567</v>
      </c>
      <c r="H67" s="672"/>
      <c r="I67" s="672"/>
      <c r="J67" s="672"/>
      <c r="K67" s="672"/>
      <c r="L67" s="672"/>
      <c r="M67" s="2623"/>
      <c r="N67" s="2166"/>
      <c r="O67" s="2166"/>
      <c r="P67" s="2165"/>
      <c r="Q67" s="2158"/>
      <c r="R67" s="2145"/>
      <c r="S67" s="2145"/>
      <c r="T67" s="2145"/>
      <c r="U67" s="2145"/>
      <c r="V67" s="2145"/>
      <c r="W67" s="2145"/>
      <c r="X67" s="2145"/>
      <c r="Y67" s="2145"/>
      <c r="Z67" s="2145"/>
      <c r="AA67" s="2145"/>
      <c r="AB67" s="2145"/>
      <c r="AC67" s="2145"/>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744</v>
      </c>
      <c r="C69" s="706" t="s">
        <v>579</v>
      </c>
      <c r="D69" s="706" t="s">
        <v>580</v>
      </c>
      <c r="E69" s="706" t="s">
        <v>581</v>
      </c>
      <c r="F69" s="706" t="s">
        <v>582</v>
      </c>
      <c r="G69" s="706" t="s">
        <v>583</v>
      </c>
      <c r="H69" s="672"/>
      <c r="I69" s="672"/>
      <c r="J69" s="672"/>
      <c r="K69" s="673"/>
      <c r="L69" s="674"/>
      <c r="M69" s="675"/>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ht="15.75" thickTop="1">
      <c r="A71" s="667"/>
      <c r="B71" s="671" t="s">
        <v>745</v>
      </c>
      <c r="C71" s="686"/>
      <c r="D71" s="686"/>
      <c r="E71" s="686"/>
      <c r="F71" s="686"/>
      <c r="G71" s="686"/>
      <c r="H71" s="716"/>
      <c r="I71" s="716"/>
      <c r="J71" s="716"/>
      <c r="K71" s="717"/>
      <c r="L71" s="718"/>
      <c r="M71" s="719"/>
      <c r="N71" s="2164"/>
      <c r="O71" s="2164"/>
      <c r="P71" s="2165"/>
      <c r="Q71" s="2158"/>
      <c r="R71" s="2145"/>
      <c r="S71" s="2145"/>
      <c r="T71" s="2145"/>
      <c r="U71" s="2145"/>
      <c r="V71" s="2145"/>
      <c r="W71" s="2145"/>
      <c r="X71" s="2145"/>
      <c r="Y71" s="2145"/>
      <c r="Z71" s="2145"/>
      <c r="AA71" s="2145"/>
      <c r="AB71" s="2145"/>
      <c r="AC71" s="2145"/>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7"/>
      <c r="B73" s="671">
        <f>B23</f>
        <v>111</v>
      </c>
      <c r="C73" s="539"/>
      <c r="D73" s="539"/>
      <c r="E73" s="539"/>
      <c r="F73" s="539"/>
      <c r="G73" s="686"/>
      <c r="H73" s="686"/>
      <c r="I73" s="686"/>
      <c r="J73" s="686"/>
      <c r="K73" s="686"/>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7"/>
      <c r="B75" s="671">
        <f>B24</f>
        <v>111</v>
      </c>
      <c r="C75" s="539"/>
      <c r="D75" s="539"/>
      <c r="E75" s="539"/>
      <c r="F75" s="539"/>
      <c r="G75" s="686"/>
      <c r="H75" s="686"/>
      <c r="I75" s="686"/>
      <c r="J75" s="686"/>
      <c r="K75" s="686"/>
      <c r="L75" s="686"/>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7"/>
      <c r="B76" s="676"/>
      <c r="C76" s="690"/>
      <c r="D76" s="669"/>
      <c r="E76" s="669"/>
      <c r="F76" s="669"/>
      <c r="G76" s="669"/>
      <c r="H76" s="669"/>
      <c r="I76" s="669"/>
      <c r="J76" s="669"/>
      <c r="K76" s="669"/>
      <c r="L76" s="669"/>
      <c r="M76" s="670"/>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5"/>
      <c r="B77" s="671">
        <f>B25</f>
        <v>111</v>
      </c>
      <c r="C77" s="686"/>
      <c r="D77" s="686"/>
      <c r="E77" s="686"/>
      <c r="F77" s="686"/>
      <c r="G77" s="686"/>
      <c r="H77" s="687"/>
      <c r="I77" s="687"/>
      <c r="J77" s="687"/>
      <c r="K77" s="687"/>
      <c r="L77" s="688"/>
      <c r="M77" s="689"/>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5"/>
      <c r="B78" s="676"/>
      <c r="C78" s="690"/>
      <c r="D78" s="690"/>
      <c r="E78" s="690"/>
      <c r="F78" s="690"/>
      <c r="G78" s="669"/>
      <c r="H78" s="669"/>
      <c r="I78" s="669"/>
      <c r="J78" s="669"/>
      <c r="K78" s="669"/>
      <c r="L78" s="669"/>
      <c r="M78" s="670"/>
      <c r="N78" s="2167"/>
      <c r="O78" s="2167"/>
      <c r="P78" s="2168"/>
      <c r="Q78" s="2169"/>
      <c r="R78" s="2170"/>
      <c r="S78" s="2170"/>
      <c r="T78" s="2170"/>
      <c r="U78" s="2170"/>
      <c r="V78" s="2170"/>
      <c r="W78" s="2170"/>
      <c r="X78" s="2170"/>
      <c r="Y78" s="2170"/>
      <c r="Z78" s="2170"/>
      <c r="AA78" s="2170"/>
      <c r="AB78" s="2170"/>
      <c r="AC78" s="2170"/>
    </row>
    <row r="79" spans="1:29" ht="27.75" thickTop="1">
      <c r="A79" s="662" t="s">
        <v>551</v>
      </c>
      <c r="B79" s="663" t="s">
        <v>814</v>
      </c>
      <c r="C79" s="702">
        <f>C26</f>
        <v>0</v>
      </c>
      <c r="D79" s="596"/>
      <c r="E79" s="596"/>
      <c r="F79" s="596"/>
      <c r="G79" s="596"/>
      <c r="H79" s="596"/>
      <c r="I79" s="596"/>
      <c r="J79" s="596"/>
      <c r="K79" s="664"/>
      <c r="L79" s="665"/>
      <c r="M79" s="666"/>
      <c r="N79" s="2164"/>
      <c r="O79" s="2164"/>
      <c r="P79" s="2165"/>
      <c r="Q79" s="2158"/>
      <c r="R79" s="2145"/>
      <c r="S79" s="2145"/>
      <c r="T79" s="2145"/>
      <c r="U79" s="2145"/>
      <c r="V79" s="2145"/>
      <c r="W79" s="2145"/>
      <c r="X79" s="2145"/>
      <c r="Y79" s="2145"/>
      <c r="Z79" s="2145"/>
      <c r="AA79" s="2145"/>
      <c r="AB79" s="2145"/>
      <c r="AC79" s="2145"/>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7"/>
      <c r="B81" s="671" t="s">
        <v>815</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5"/>
      <c r="B82" s="676"/>
      <c r="C82" s="690"/>
      <c r="D82" s="669"/>
      <c r="E82" s="669"/>
      <c r="F82" s="669"/>
      <c r="G82" s="669"/>
      <c r="H82" s="669"/>
      <c r="I82" s="669"/>
      <c r="J82" s="669"/>
      <c r="K82" s="669"/>
      <c r="L82" s="669"/>
      <c r="M82" s="670"/>
      <c r="N82" s="2166"/>
      <c r="O82" s="2166"/>
      <c r="P82" s="2168"/>
      <c r="Q82" s="2169"/>
      <c r="R82" s="2170"/>
      <c r="S82" s="2170"/>
      <c r="T82" s="2170"/>
      <c r="U82" s="2170"/>
      <c r="V82" s="2170"/>
      <c r="W82" s="2170"/>
      <c r="X82" s="2170"/>
      <c r="Y82" s="2170"/>
      <c r="Z82" s="2170"/>
      <c r="AA82" s="2170"/>
      <c r="AB82" s="2170"/>
      <c r="AC82" s="2170"/>
    </row>
    <row r="83" spans="1:29" ht="15" thickTop="1">
      <c r="A83" s="733"/>
      <c r="B83" s="671" t="s">
        <v>751</v>
      </c>
      <c r="C83" s="686"/>
      <c r="D83" s="686"/>
      <c r="E83" s="716"/>
      <c r="F83" s="716"/>
      <c r="G83" s="716"/>
      <c r="H83" s="716"/>
      <c r="I83" s="716"/>
      <c r="J83" s="716"/>
      <c r="K83" s="717"/>
      <c r="L83" s="718"/>
      <c r="M83" s="719"/>
      <c r="N83" s="2164"/>
      <c r="O83" s="2164"/>
      <c r="P83" s="2165"/>
      <c r="Q83" s="2158"/>
      <c r="R83" s="2145"/>
      <c r="S83" s="2145"/>
      <c r="T83" s="2145"/>
      <c r="U83" s="2145"/>
      <c r="V83" s="2145"/>
      <c r="W83" s="2145"/>
      <c r="X83" s="2145"/>
      <c r="Y83" s="2145"/>
      <c r="Z83" s="2145"/>
      <c r="AA83" s="2145"/>
      <c r="AB83" s="2145"/>
      <c r="AC83" s="2145"/>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4"/>
      <c r="O85" s="2164"/>
      <c r="P85" s="2165"/>
      <c r="Q85" s="2158"/>
      <c r="R85" s="2145"/>
      <c r="S85" s="2145"/>
      <c r="T85" s="2145"/>
      <c r="U85" s="2145"/>
      <c r="V85" s="2145"/>
      <c r="W85" s="2145"/>
      <c r="X85" s="2145"/>
      <c r="Y85" s="2145"/>
      <c r="Z85" s="2145"/>
      <c r="AA85" s="2145"/>
      <c r="AB85" s="2145"/>
      <c r="AC85" s="2145"/>
    </row>
    <row r="86" spans="1:29">
      <c r="A86" s="733"/>
      <c r="B86" s="679"/>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3"/>
      <c r="B88" s="679" t="s">
        <v>817</v>
      </c>
      <c r="C88" s="596"/>
      <c r="D88" s="596"/>
      <c r="E88" s="596"/>
      <c r="F88" s="596"/>
      <c r="G88" s="596"/>
      <c r="H88" s="596"/>
      <c r="I88" s="596"/>
      <c r="J88" s="596"/>
      <c r="K88" s="664"/>
      <c r="L88" s="665"/>
      <c r="M88" s="666"/>
      <c r="N88" s="2164"/>
      <c r="O88" s="2164"/>
      <c r="P88" s="2165"/>
      <c r="Q88" s="2158"/>
      <c r="R88" s="2145"/>
      <c r="S88" s="2145"/>
      <c r="T88" s="2145"/>
      <c r="U88" s="2145"/>
      <c r="V88" s="2145"/>
      <c r="W88" s="2145"/>
      <c r="X88" s="2145"/>
      <c r="Y88" s="2145"/>
      <c r="Z88" s="2145"/>
      <c r="AA88" s="2145"/>
      <c r="AB88" s="2145"/>
      <c r="AC88" s="2145"/>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6"/>
      <c r="B91" s="679"/>
      <c r="C91" s="728"/>
      <c r="D91" s="728"/>
      <c r="E91" s="728"/>
      <c r="F91" s="728"/>
      <c r="G91" s="728"/>
      <c r="H91" s="728"/>
      <c r="I91" s="728"/>
      <c r="J91" s="729"/>
      <c r="K91" s="729"/>
      <c r="L91" s="730"/>
      <c r="M91" s="731"/>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5"/>
      <c r="B92" s="676"/>
      <c r="C92" s="690"/>
      <c r="D92" s="669"/>
      <c r="E92" s="669"/>
      <c r="F92" s="669"/>
      <c r="G92" s="669"/>
      <c r="H92" s="669"/>
      <c r="I92" s="669"/>
      <c r="J92" s="669"/>
      <c r="K92" s="669"/>
      <c r="L92" s="669"/>
      <c r="M92" s="670"/>
      <c r="N92" s="2167"/>
      <c r="O92" s="2167"/>
      <c r="P92" s="2168"/>
      <c r="Q92" s="2169"/>
      <c r="R92" s="2170"/>
      <c r="S92" s="2170"/>
      <c r="T92" s="2170"/>
      <c r="U92" s="2170"/>
      <c r="V92" s="2170"/>
      <c r="W92" s="2170"/>
      <c r="X92" s="2170"/>
      <c r="Y92" s="2170"/>
      <c r="Z92" s="2170"/>
      <c r="AA92" s="2170"/>
      <c r="AB92" s="2170"/>
      <c r="AC92" s="2170"/>
    </row>
    <row r="93" spans="1:29" ht="15" thickTop="1">
      <c r="A93" s="733"/>
      <c r="B93" s="671" t="s">
        <v>819</v>
      </c>
      <c r="C93" s="686"/>
      <c r="D93" s="686"/>
      <c r="E93" s="716"/>
      <c r="F93" s="716"/>
      <c r="G93" s="716"/>
      <c r="H93" s="716"/>
      <c r="I93" s="716"/>
      <c r="J93" s="716"/>
      <c r="K93" s="717"/>
      <c r="L93" s="718"/>
      <c r="M93" s="71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3"/>
      <c r="B95" s="671" t="s">
        <v>820</v>
      </c>
      <c r="C95" s="596"/>
      <c r="D95" s="596"/>
      <c r="E95" s="596"/>
      <c r="F95" s="596"/>
      <c r="G95" s="596"/>
      <c r="H95" s="596"/>
      <c r="I95" s="596"/>
      <c r="J95" s="596"/>
      <c r="K95" s="664"/>
      <c r="L95" s="665"/>
      <c r="M95" s="666"/>
      <c r="N95" s="2164"/>
      <c r="O95" s="2164"/>
      <c r="P95" s="2165"/>
      <c r="Q95" s="2158"/>
      <c r="R95" s="2145"/>
      <c r="S95" s="2145"/>
      <c r="T95" s="2145"/>
      <c r="U95" s="2145"/>
      <c r="V95" s="2145"/>
      <c r="W95" s="2145"/>
      <c r="X95" s="2145"/>
      <c r="Y95" s="2145"/>
      <c r="Z95" s="2145"/>
      <c r="AA95" s="2145"/>
      <c r="AB95" s="2145"/>
      <c r="AC95" s="2145"/>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6"/>
      <c r="O96" s="2166"/>
      <c r="P96" s="2165"/>
      <c r="Q96" s="2158"/>
      <c r="R96" s="2145"/>
      <c r="S96" s="2145"/>
      <c r="T96" s="2145"/>
      <c r="U96" s="2145"/>
      <c r="V96" s="2145"/>
      <c r="W96" s="2145"/>
      <c r="X96" s="2145"/>
      <c r="Y96" s="2145"/>
      <c r="Z96" s="2145"/>
      <c r="AA96" s="2145"/>
      <c r="AB96" s="2145"/>
      <c r="AC96" s="2145"/>
    </row>
    <row r="97" spans="1:29" ht="15" thickTop="1">
      <c r="A97" s="733"/>
      <c r="B97" s="915">
        <f>B34</f>
        <v>111</v>
      </c>
      <c r="C97" s="539"/>
      <c r="D97" s="539"/>
      <c r="E97" s="539"/>
      <c r="F97" s="539"/>
      <c r="G97" s="686"/>
      <c r="H97" s="687"/>
      <c r="I97" s="687"/>
      <c r="J97" s="687"/>
      <c r="K97" s="687"/>
      <c r="L97" s="688"/>
      <c r="M97" s="689"/>
      <c r="N97" s="2166"/>
      <c r="O97" s="2166"/>
      <c r="P97" s="2205"/>
      <c r="Q97" s="2206"/>
      <c r="R97" s="2145"/>
      <c r="S97" s="2145"/>
      <c r="T97" s="2145"/>
      <c r="U97" s="2145"/>
      <c r="V97" s="2145"/>
      <c r="W97" s="2145"/>
      <c r="X97" s="2145"/>
      <c r="Y97" s="2145"/>
      <c r="Z97" s="2145"/>
      <c r="AA97" s="2145"/>
      <c r="AB97" s="2145"/>
      <c r="AC97" s="2145"/>
    </row>
    <row r="98" spans="1:29" ht="15.75" thickBot="1">
      <c r="A98" s="667"/>
      <c r="B98" s="676"/>
      <c r="C98" s="690"/>
      <c r="D98" s="669"/>
      <c r="E98" s="669"/>
      <c r="F98" s="669"/>
      <c r="G98" s="690"/>
      <c r="H98" s="691"/>
      <c r="I98" s="691"/>
      <c r="J98" s="691"/>
      <c r="K98" s="691"/>
      <c r="L98" s="691"/>
      <c r="M98" s="692"/>
      <c r="N98" s="2166"/>
      <c r="O98" s="2166"/>
      <c r="P98" s="2165"/>
      <c r="Q98" s="2158"/>
      <c r="R98" s="2145"/>
      <c r="S98" s="2145"/>
      <c r="T98" s="2145"/>
      <c r="U98" s="2145"/>
      <c r="V98" s="2145"/>
      <c r="W98" s="2145"/>
      <c r="X98" s="2145"/>
      <c r="Y98" s="2145"/>
      <c r="Z98" s="2145"/>
      <c r="AA98" s="2145"/>
      <c r="AB98" s="2145"/>
      <c r="AC98" s="2145"/>
    </row>
    <row r="99" spans="1:29" s="1337" customFormat="1" ht="15" thickTop="1">
      <c r="A99" s="726"/>
      <c r="B99" s="671">
        <f>B35</f>
        <v>111</v>
      </c>
      <c r="C99" s="539"/>
      <c r="D99" s="539"/>
      <c r="E99" s="539"/>
      <c r="F99" s="539"/>
      <c r="G99" s="686"/>
      <c r="H99" s="687"/>
      <c r="I99" s="687"/>
      <c r="J99" s="687"/>
      <c r="K99" s="687"/>
      <c r="L99" s="688"/>
      <c r="M99" s="689"/>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5"/>
      <c r="B100" s="668"/>
      <c r="C100" s="690"/>
      <c r="D100" s="669"/>
      <c r="E100" s="669"/>
      <c r="F100" s="669"/>
      <c r="G100" s="690"/>
      <c r="H100" s="691"/>
      <c r="I100" s="691"/>
      <c r="J100" s="691"/>
      <c r="K100" s="691"/>
      <c r="L100" s="691"/>
      <c r="M100" s="692"/>
      <c r="N100" s="2167"/>
      <c r="O100" s="2167"/>
      <c r="P100" s="2168"/>
      <c r="Q100" s="2169"/>
      <c r="R100" s="2170"/>
      <c r="S100" s="2170"/>
      <c r="T100" s="2170"/>
      <c r="U100" s="2170"/>
      <c r="V100" s="2170"/>
      <c r="W100" s="2170"/>
      <c r="X100" s="2170"/>
      <c r="Y100" s="2170"/>
      <c r="Z100" s="2170"/>
      <c r="AA100" s="2170"/>
      <c r="AB100" s="2170"/>
      <c r="AC100" s="2170"/>
    </row>
    <row r="101" spans="1:29" ht="15" thickTop="1">
      <c r="A101" s="733"/>
      <c r="B101" s="671">
        <f>B36</f>
        <v>111</v>
      </c>
      <c r="C101" s="686"/>
      <c r="D101" s="686"/>
      <c r="E101" s="686"/>
      <c r="F101" s="686"/>
      <c r="G101" s="686"/>
      <c r="H101" s="687"/>
      <c r="I101" s="687"/>
      <c r="J101" s="687"/>
      <c r="K101" s="687"/>
      <c r="L101" s="688"/>
      <c r="M101" s="689"/>
      <c r="N101" s="2164"/>
      <c r="O101" s="2164"/>
      <c r="P101" s="2165"/>
      <c r="Q101" s="2158"/>
      <c r="R101" s="2145"/>
      <c r="S101" s="2145"/>
      <c r="T101" s="2145"/>
      <c r="U101" s="2145"/>
      <c r="V101" s="2145"/>
      <c r="W101" s="2145"/>
      <c r="X101" s="2145"/>
      <c r="Y101" s="2145"/>
      <c r="Z101" s="2145"/>
      <c r="AA101" s="2145"/>
      <c r="AB101" s="2145"/>
      <c r="AC101" s="2145"/>
    </row>
    <row r="102" spans="1:29" ht="15.75" thickBot="1">
      <c r="A102" s="667"/>
      <c r="B102" s="676"/>
      <c r="C102" s="690"/>
      <c r="D102" s="690"/>
      <c r="E102" s="690"/>
      <c r="F102" s="690"/>
      <c r="G102" s="690"/>
      <c r="H102" s="691"/>
      <c r="I102" s="691"/>
      <c r="J102" s="691"/>
      <c r="K102" s="691"/>
      <c r="L102" s="691"/>
      <c r="M102" s="692"/>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718</v>
      </c>
      <c r="B1" s="921"/>
      <c r="C1" s="502" t="s">
        <v>792</v>
      </c>
      <c r="D1" s="847"/>
      <c r="E1" s="504"/>
      <c r="F1" s="2829"/>
      <c r="G1" s="1600" t="s">
        <v>793</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1" t="s">
        <v>794</v>
      </c>
      <c r="B2" s="848"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7" t="s">
        <v>795</v>
      </c>
      <c r="B3" s="508" t="e">
        <f>C37</f>
        <v>#DIV/0!</v>
      </c>
      <c r="C3" s="850" t="s">
        <v>796</v>
      </c>
      <c r="D3" s="849">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6"/>
    </row>
    <row r="4" spans="1:29" ht="15">
      <c r="A4" s="510" t="s">
        <v>797</v>
      </c>
      <c r="B4" s="511"/>
      <c r="C4" s="3503" t="s">
        <v>798</v>
      </c>
      <c r="D4" s="3504"/>
      <c r="E4" s="3537" t="s">
        <v>799</v>
      </c>
      <c r="F4" s="3538"/>
      <c r="G4" s="3503" t="s">
        <v>800</v>
      </c>
      <c r="H4" s="3504"/>
      <c r="I4" s="3503" t="s">
        <v>801</v>
      </c>
      <c r="J4" s="3504"/>
      <c r="K4" s="512" t="s">
        <v>802</v>
      </c>
      <c r="L4" s="2133"/>
      <c r="M4" s="2134"/>
      <c r="N4" s="2134"/>
      <c r="O4" s="2134"/>
      <c r="P4" s="3505" t="s">
        <v>803</v>
      </c>
      <c r="Q4" s="3506"/>
      <c r="R4" s="3511" t="s">
        <v>799</v>
      </c>
      <c r="S4" s="3512"/>
      <c r="T4" s="3511" t="s">
        <v>800</v>
      </c>
      <c r="U4" s="3512"/>
      <c r="V4" s="3498" t="s">
        <v>801</v>
      </c>
      <c r="W4" s="3498"/>
      <c r="X4" s="1566"/>
      <c r="Y4" s="3511" t="s">
        <v>803</v>
      </c>
      <c r="Z4" s="3512"/>
      <c r="AA4" s="3500" t="s">
        <v>799</v>
      </c>
      <c r="AB4" s="3501" t="s">
        <v>800</v>
      </c>
      <c r="AC4" s="3500" t="s">
        <v>801</v>
      </c>
    </row>
    <row r="5" spans="1:29" ht="15">
      <c r="A5" s="513"/>
      <c r="B5" s="514"/>
      <c r="C5" s="3519" t="s">
        <v>2930</v>
      </c>
      <c r="D5" s="3520"/>
      <c r="E5" s="3539" t="s">
        <v>2931</v>
      </c>
      <c r="F5" s="3540"/>
      <c r="G5" s="3519" t="s">
        <v>2932</v>
      </c>
      <c r="H5" s="3520"/>
      <c r="I5" s="3519" t="s">
        <v>2933</v>
      </c>
      <c r="J5" s="3520"/>
      <c r="K5" s="512"/>
      <c r="L5" s="2133"/>
      <c r="M5" s="2134"/>
      <c r="N5" s="2134"/>
      <c r="O5" s="2134"/>
      <c r="P5" s="3507"/>
      <c r="Q5" s="3508"/>
      <c r="R5" s="3513"/>
      <c r="S5" s="3514"/>
      <c r="T5" s="3513"/>
      <c r="U5" s="3514"/>
      <c r="V5" s="3498"/>
      <c r="W5" s="3498"/>
      <c r="X5" s="1566"/>
      <c r="Y5" s="3513"/>
      <c r="Z5" s="3514"/>
      <c r="AA5" s="3501"/>
      <c r="AB5" s="3501"/>
      <c r="AC5" s="3501"/>
    </row>
    <row r="6" spans="1:29" ht="15.75" thickBot="1">
      <c r="A6" s="515"/>
      <c r="B6" s="516"/>
      <c r="C6" s="3517" t="s">
        <v>2934</v>
      </c>
      <c r="D6" s="3518"/>
      <c r="E6" s="3535" t="s">
        <v>2934</v>
      </c>
      <c r="F6" s="3536"/>
      <c r="G6" s="3517" t="s">
        <v>2934</v>
      </c>
      <c r="H6" s="3518"/>
      <c r="I6" s="3517" t="s">
        <v>2934</v>
      </c>
      <c r="J6" s="3518"/>
      <c r="K6" s="512" t="s">
        <v>528</v>
      </c>
      <c r="L6" s="2133"/>
      <c r="M6" s="2134"/>
      <c r="N6" s="2134"/>
      <c r="O6" s="2134"/>
      <c r="P6" s="3509"/>
      <c r="Q6" s="3510"/>
      <c r="R6" s="3513"/>
      <c r="S6" s="3514"/>
      <c r="T6" s="3515"/>
      <c r="U6" s="3516"/>
      <c r="V6" s="3498"/>
      <c r="W6" s="3498"/>
      <c r="X6" s="1566"/>
      <c r="Y6" s="3515"/>
      <c r="Z6" s="3516"/>
      <c r="AA6" s="3502"/>
      <c r="AB6" s="3502"/>
      <c r="AC6" s="3502"/>
    </row>
    <row r="7" spans="1:29" s="1218" customFormat="1" ht="15.75" thickBot="1">
      <c r="A7" s="2934"/>
      <c r="B7" s="2941" t="s">
        <v>529</v>
      </c>
      <c r="C7" s="517">
        <f>'数据-取费表'!B2</f>
        <v>43230</v>
      </c>
      <c r="D7" s="518">
        <v>100</v>
      </c>
      <c r="E7" s="519"/>
      <c r="F7" s="520">
        <f>SUMIF(46:46,YEAR(E7)&amp;"-"&amp;MONTH(E7),47:47)</f>
        <v>0</v>
      </c>
      <c r="G7" s="521"/>
      <c r="H7" s="518">
        <f>SUMIF(46:46,YEAR(G7)&amp;"-"&amp;MONTH(G7),47:47)</f>
        <v>0</v>
      </c>
      <c r="I7" s="521"/>
      <c r="J7" s="518">
        <f>SUMIF(46:46,YEAR(I7)&amp;"-"&amp;MONTH(I7),47:47)</f>
        <v>0</v>
      </c>
      <c r="K7" s="522"/>
      <c r="L7" s="2135"/>
      <c r="M7" s="2136"/>
      <c r="N7" s="2136"/>
      <c r="O7" s="2136"/>
      <c r="P7" s="3528" t="s">
        <v>530</v>
      </c>
      <c r="Q7" s="3530"/>
      <c r="R7" s="1567" t="s">
        <v>8</v>
      </c>
      <c r="S7" s="1568">
        <f t="shared" ref="S7:S14" si="0">F7</f>
        <v>0</v>
      </c>
      <c r="T7" s="1567" t="s">
        <v>8</v>
      </c>
      <c r="U7" s="1568">
        <f t="shared" ref="U7:U14" si="1">H7</f>
        <v>0</v>
      </c>
      <c r="V7" s="1567" t="s">
        <v>8</v>
      </c>
      <c r="W7" s="1568">
        <f t="shared" ref="W7:W14" si="2">J7</f>
        <v>0</v>
      </c>
      <c r="X7" s="1569"/>
      <c r="Y7" s="3528" t="s">
        <v>530</v>
      </c>
      <c r="Z7" s="3529"/>
      <c r="AA7" s="1570" t="e">
        <f>D7/F7</f>
        <v>#DIV/0!</v>
      </c>
      <c r="AB7" s="1570" t="e">
        <f>D7/H7</f>
        <v>#DIV/0!</v>
      </c>
      <c r="AC7" s="1570" t="e">
        <f>D7/J7</f>
        <v>#DIV/0!</v>
      </c>
    </row>
    <row r="8" spans="1:29" s="1218" customFormat="1" ht="15.75" thickBot="1">
      <c r="A8" s="2935"/>
      <c r="B8" s="2942" t="s">
        <v>531</v>
      </c>
      <c r="C8" s="523" t="s">
        <v>576</v>
      </c>
      <c r="D8" s="518">
        <v>100</v>
      </c>
      <c r="E8" s="523"/>
      <c r="F8" s="520">
        <f>SUMIF(49:49,E8,50:50)-SUMIF(49:49,C8,50:50)+100</f>
        <v>0</v>
      </c>
      <c r="G8" s="523"/>
      <c r="H8" s="518">
        <f>SUMIF(49:49,G8,50:50)-SUMIF(49:49,C8,50:50)+100</f>
        <v>0</v>
      </c>
      <c r="I8" s="523"/>
      <c r="J8" s="518">
        <f>SUMIF(49:49,I8,50:50)-SUMIF(49:49,C8,50:50)+100</f>
        <v>0</v>
      </c>
      <c r="K8" s="522"/>
      <c r="L8" s="2135"/>
      <c r="M8" s="2136"/>
      <c r="N8" s="2136"/>
      <c r="O8" s="2136"/>
      <c r="P8" s="3528" t="s">
        <v>533</v>
      </c>
      <c r="Q8" s="3529"/>
      <c r="R8" s="1567" t="s">
        <v>8</v>
      </c>
      <c r="S8" s="1568">
        <f t="shared" si="0"/>
        <v>0</v>
      </c>
      <c r="T8" s="1567" t="s">
        <v>8</v>
      </c>
      <c r="U8" s="1568">
        <f t="shared" si="1"/>
        <v>0</v>
      </c>
      <c r="V8" s="1567" t="s">
        <v>8</v>
      </c>
      <c r="W8" s="1568">
        <f t="shared" si="2"/>
        <v>0</v>
      </c>
      <c r="X8" s="1569"/>
      <c r="Y8" s="3528" t="s">
        <v>533</v>
      </c>
      <c r="Z8" s="3529"/>
      <c r="AA8" s="1570" t="e">
        <f t="shared" ref="AA8:AA34" si="3">D8/F8</f>
        <v>#DIV/0!</v>
      </c>
      <c r="AB8" s="1570" t="e">
        <f t="shared" ref="AB8:AB34" si="4">D8/H8</f>
        <v>#DIV/0!</v>
      </c>
      <c r="AC8" s="1570" t="e">
        <f t="shared" ref="AC8:AC34" si="5">D8/J8</f>
        <v>#DIV/0!</v>
      </c>
    </row>
    <row r="9" spans="1:29" s="1218" customFormat="1" ht="15">
      <c r="A9" s="2936"/>
      <c r="B9" s="2943" t="s">
        <v>2760</v>
      </c>
      <c r="C9" s="855"/>
      <c r="D9" s="252">
        <v>100</v>
      </c>
      <c r="E9" s="858"/>
      <c r="F9" s="252">
        <f>SUMIF(51:51,E9,52:52)-SUMIF(51:51,C9,52:52)+100</f>
        <v>100</v>
      </c>
      <c r="G9" s="858"/>
      <c r="H9" s="252">
        <f>SUMIF(51:51,G9,52:52)-SUMIF(51:51,C9,52:52)+100</f>
        <v>100</v>
      </c>
      <c r="I9" s="858"/>
      <c r="J9" s="252">
        <f>SUMIF(51:51,I9,52:52)-SUMIF(51:51,C9,52:52)+100</f>
        <v>100</v>
      </c>
      <c r="K9" s="522"/>
      <c r="L9" s="2135"/>
      <c r="M9" s="2136"/>
      <c r="N9" s="2136"/>
      <c r="O9" s="2137"/>
      <c r="P9" s="3497" t="s">
        <v>535</v>
      </c>
      <c r="Q9" s="1149" t="str">
        <f t="shared" ref="Q9:Q14" si="6">B9</f>
        <v>用途</v>
      </c>
      <c r="R9" s="1567" t="s">
        <v>8</v>
      </c>
      <c r="S9" s="1568">
        <f t="shared" si="0"/>
        <v>100</v>
      </c>
      <c r="T9" s="1567" t="s">
        <v>8</v>
      </c>
      <c r="U9" s="1568">
        <f t="shared" si="1"/>
        <v>100</v>
      </c>
      <c r="V9" s="1567" t="s">
        <v>8</v>
      </c>
      <c r="W9" s="1568">
        <f t="shared" si="2"/>
        <v>100</v>
      </c>
      <c r="X9" s="1569"/>
      <c r="Y9" s="3380" t="s">
        <v>536</v>
      </c>
      <c r="Z9" s="1148" t="str">
        <f t="shared" ref="Z9:Z14" si="7">Q9</f>
        <v>用途</v>
      </c>
      <c r="AA9" s="1570">
        <f t="shared" si="3"/>
        <v>1</v>
      </c>
      <c r="AB9" s="1570">
        <f t="shared" si="4"/>
        <v>1</v>
      </c>
      <c r="AC9" s="1570">
        <f t="shared" si="5"/>
        <v>1</v>
      </c>
    </row>
    <row r="10" spans="1:29" s="1336" customFormat="1" ht="27">
      <c r="A10" s="2937"/>
      <c r="B10" s="2942" t="s">
        <v>2761</v>
      </c>
      <c r="C10" s="859"/>
      <c r="D10" s="253">
        <v>100</v>
      </c>
      <c r="E10" s="859"/>
      <c r="F10" s="253">
        <f>SUMIF(53:53,E10,54:54)-SUMIF(53:53,C10,54:54)+100</f>
        <v>100</v>
      </c>
      <c r="G10" s="860"/>
      <c r="H10" s="253">
        <f>SUMIF(53:53,G10,54:54)-SUMIF(53:53,C10,54:54)+100</f>
        <v>100</v>
      </c>
      <c r="I10" s="859"/>
      <c r="J10" s="253">
        <f>SUMIF(53:53,I10,54:54)-SUMIF(53:53,C10,54:54)+100</f>
        <v>100</v>
      </c>
      <c r="K10" s="582"/>
      <c r="L10" s="2138"/>
      <c r="M10" s="2178"/>
      <c r="N10" s="2178"/>
      <c r="O10" s="2139"/>
      <c r="P10" s="3497"/>
      <c r="Q10" s="1149" t="str">
        <f t="shared" si="6"/>
        <v>土地使用年限（年）</v>
      </c>
      <c r="R10" s="1567" t="s">
        <v>8</v>
      </c>
      <c r="S10" s="1568">
        <f t="shared" si="0"/>
        <v>100</v>
      </c>
      <c r="T10" s="1567" t="s">
        <v>8</v>
      </c>
      <c r="U10" s="1568">
        <f t="shared" si="1"/>
        <v>100</v>
      </c>
      <c r="V10" s="1567" t="s">
        <v>8</v>
      </c>
      <c r="W10" s="1568">
        <f t="shared" si="2"/>
        <v>100</v>
      </c>
      <c r="X10" s="1569"/>
      <c r="Y10" s="3380"/>
      <c r="Z10" s="1148" t="str">
        <f t="shared" si="7"/>
        <v>土地使用年限（年）</v>
      </c>
      <c r="AA10" s="1570">
        <f t="shared" si="3"/>
        <v>1</v>
      </c>
      <c r="AB10" s="1570">
        <f t="shared" si="4"/>
        <v>1</v>
      </c>
      <c r="AC10" s="1570">
        <f t="shared" si="5"/>
        <v>1</v>
      </c>
    </row>
    <row r="11" spans="1:29" ht="15">
      <c r="A11" s="2939"/>
      <c r="B11" s="2945">
        <v>111</v>
      </c>
      <c r="C11" s="526"/>
      <c r="D11" s="253">
        <v>100</v>
      </c>
      <c r="E11" s="878"/>
      <c r="F11" s="253">
        <f>SUMIF(55:55,E11,56:56)-SUMIF(55:55,C11,56:56)+100</f>
        <v>100</v>
      </c>
      <c r="G11" s="878"/>
      <c r="H11" s="253">
        <f>SUMIF(55:55,G11,56:56)-SUMIF(55:55,C11,56:56)+100</f>
        <v>100</v>
      </c>
      <c r="I11" s="878"/>
      <c r="J11" s="253">
        <f>SUMIF(55:55,I11,56:56)-SUMIF(55:55,C11,56:56)+100</f>
        <v>100</v>
      </c>
      <c r="K11" s="579"/>
      <c r="L11" s="2140"/>
      <c r="M11" s="2134"/>
      <c r="N11" s="2134"/>
      <c r="O11" s="2141"/>
      <c r="P11" s="3497"/>
      <c r="Q11" s="1149">
        <f t="shared" si="6"/>
        <v>111</v>
      </c>
      <c r="R11" s="1567" t="s">
        <v>8</v>
      </c>
      <c r="S11" s="1568">
        <f t="shared" si="0"/>
        <v>100</v>
      </c>
      <c r="T11" s="1567" t="s">
        <v>8</v>
      </c>
      <c r="U11" s="1568">
        <f t="shared" si="1"/>
        <v>100</v>
      </c>
      <c r="V11" s="1567" t="s">
        <v>8</v>
      </c>
      <c r="W11" s="1568">
        <f t="shared" si="2"/>
        <v>100</v>
      </c>
      <c r="X11" s="1569"/>
      <c r="Y11" s="3380"/>
      <c r="Z11" s="1148">
        <f t="shared" si="7"/>
        <v>111</v>
      </c>
      <c r="AA11" s="1570">
        <f t="shared" si="3"/>
        <v>1</v>
      </c>
      <c r="AB11" s="1570">
        <f t="shared" si="4"/>
        <v>1</v>
      </c>
      <c r="AC11" s="1570">
        <f t="shared" si="5"/>
        <v>1</v>
      </c>
    </row>
    <row r="12" spans="1:29" s="1218" customFormat="1" ht="15">
      <c r="A12" s="2939"/>
      <c r="B12" s="2945">
        <v>111</v>
      </c>
      <c r="C12" s="526"/>
      <c r="D12" s="536">
        <v>100</v>
      </c>
      <c r="E12" s="878"/>
      <c r="F12" s="253">
        <f>SUMIF(57:57,E12,58:58)-SUMIF(57:57,C12,58:58)+100</f>
        <v>100</v>
      </c>
      <c r="G12" s="878"/>
      <c r="H12" s="253">
        <f>SUMIF(57:57,G12,58:58)-SUMIF(57:57,C12,58:58)+100</f>
        <v>100</v>
      </c>
      <c r="I12" s="878"/>
      <c r="J12" s="253">
        <f>SUMIF(57:57,I12,58:58)-SUMIF(57:57,C12,58:58)+100</f>
        <v>100</v>
      </c>
      <c r="K12" s="579"/>
      <c r="L12" s="2135"/>
      <c r="M12" s="2136"/>
      <c r="N12" s="2136"/>
      <c r="O12" s="2137"/>
      <c r="P12" s="3497"/>
      <c r="Q12" s="1149">
        <f t="shared" si="6"/>
        <v>111</v>
      </c>
      <c r="R12" s="1567" t="s">
        <v>8</v>
      </c>
      <c r="S12" s="1568">
        <f t="shared" si="0"/>
        <v>100</v>
      </c>
      <c r="T12" s="1567" t="s">
        <v>8</v>
      </c>
      <c r="U12" s="1568">
        <f t="shared" si="1"/>
        <v>100</v>
      </c>
      <c r="V12" s="1567" t="s">
        <v>8</v>
      </c>
      <c r="W12" s="1568">
        <f t="shared" si="2"/>
        <v>100</v>
      </c>
      <c r="X12" s="1569"/>
      <c r="Y12" s="3380"/>
      <c r="Z12" s="1148">
        <f t="shared" si="7"/>
        <v>111</v>
      </c>
      <c r="AA12" s="1570">
        <f>D12/F12</f>
        <v>1</v>
      </c>
      <c r="AB12" s="1570">
        <f>D12/H12</f>
        <v>1</v>
      </c>
      <c r="AC12" s="1570">
        <f>D12/J12</f>
        <v>1</v>
      </c>
    </row>
    <row r="13" spans="1:29" ht="15.75" thickBot="1">
      <c r="A13" s="2940"/>
      <c r="B13" s="2946">
        <v>111</v>
      </c>
      <c r="C13" s="537"/>
      <c r="D13" s="538">
        <v>100</v>
      </c>
      <c r="E13" s="878"/>
      <c r="F13" s="253">
        <f>SUMIF(59:59,E13,60:60)-SUMIF(59:59,C13,60:60)+100</f>
        <v>100</v>
      </c>
      <c r="G13" s="878"/>
      <c r="H13" s="538">
        <f>SUMIF(59:59,G13,60:60)-SUMIF(59:59,C13,60:60)+100</f>
        <v>100</v>
      </c>
      <c r="I13" s="878"/>
      <c r="J13" s="538">
        <f>SUMIF(59:59,I13,60:60)-SUMIF(59:59,C13,60:60)+100</f>
        <v>100</v>
      </c>
      <c r="K13" s="579"/>
      <c r="L13" s="2142"/>
      <c r="M13" s="2134"/>
      <c r="N13" s="2134"/>
      <c r="O13" s="2141"/>
      <c r="P13" s="3497"/>
      <c r="Q13" s="1149">
        <f t="shared" si="6"/>
        <v>111</v>
      </c>
      <c r="R13" s="1567" t="s">
        <v>8</v>
      </c>
      <c r="S13" s="1568">
        <f t="shared" si="0"/>
        <v>100</v>
      </c>
      <c r="T13" s="1567" t="s">
        <v>8</v>
      </c>
      <c r="U13" s="1568">
        <f t="shared" si="1"/>
        <v>100</v>
      </c>
      <c r="V13" s="1567" t="s">
        <v>8</v>
      </c>
      <c r="W13" s="1568">
        <f t="shared" si="2"/>
        <v>100</v>
      </c>
      <c r="X13" s="1569"/>
      <c r="Y13" s="3380"/>
      <c r="Z13" s="1148">
        <f t="shared" si="7"/>
        <v>111</v>
      </c>
      <c r="AA13" s="1570">
        <f t="shared" si="3"/>
        <v>1</v>
      </c>
      <c r="AB13" s="1570">
        <f t="shared" si="4"/>
        <v>1</v>
      </c>
      <c r="AC13" s="1570">
        <f t="shared" si="5"/>
        <v>1</v>
      </c>
    </row>
    <row r="14" spans="1:29" ht="256.5">
      <c r="A14" s="2932" t="s">
        <v>2758</v>
      </c>
      <c r="B14" s="164" t="s">
        <v>543</v>
      </c>
      <c r="C14" s="919" t="str">
        <f>IF(B1="工业",估价对象房地状况!G4,估价对象房地状况!C6)</f>
        <v>估价对象紧邻城市主干道—赵登禹路，临近西二环路及平安大街，距首都机场约26公里、南苑机场约17公里、距北京火车站及北京西客站约6公里，周边有7路、47路、105路、508路等多条公交线路通过，距地铁4、6号线（平安里站）约600米，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2"/>
      <c r="M14" s="2134"/>
      <c r="N14" s="2134"/>
      <c r="O14" s="2141"/>
      <c r="P14" s="3531" t="s">
        <v>540</v>
      </c>
      <c r="Q14" s="1571" t="str">
        <f t="shared" si="6"/>
        <v>交通便捷度</v>
      </c>
      <c r="R14" s="1572" t="s">
        <v>8</v>
      </c>
      <c r="S14" s="1573">
        <f t="shared" si="0"/>
        <v>100</v>
      </c>
      <c r="T14" s="1572" t="s">
        <v>8</v>
      </c>
      <c r="U14" s="1573">
        <f t="shared" si="1"/>
        <v>100</v>
      </c>
      <c r="V14" s="1572" t="s">
        <v>8</v>
      </c>
      <c r="W14" s="1573">
        <f t="shared" si="2"/>
        <v>100</v>
      </c>
      <c r="X14" s="1566"/>
      <c r="Y14" s="3531" t="s">
        <v>540</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2"/>
      <c r="M15" s="2134"/>
      <c r="N15" s="2134"/>
      <c r="O15" s="2141"/>
      <c r="P15" s="3532"/>
      <c r="Q15" s="1571"/>
      <c r="R15" s="1572"/>
      <c r="S15" s="1573"/>
      <c r="T15" s="1572"/>
      <c r="U15" s="1573"/>
      <c r="V15" s="1572"/>
      <c r="W15" s="1573"/>
      <c r="X15" s="1566"/>
      <c r="Y15" s="3532"/>
      <c r="Z15" s="1574"/>
      <c r="AA15" s="1575">
        <v>1</v>
      </c>
      <c r="AB15" s="1575">
        <v>1</v>
      </c>
      <c r="AC15" s="1575">
        <v>1</v>
      </c>
    </row>
    <row r="16" spans="1:29" ht="42.75">
      <c r="A16" s="530"/>
      <c r="B16" s="2625" t="s">
        <v>2550</v>
      </c>
      <c r="C16" s="870" t="str">
        <f>IF(B1="工业",估价对象房地状况!G5,估价对象房地状况!C7)</f>
        <v>估价对象所在区域公共配套设施齐备</v>
      </c>
      <c r="D16" s="563">
        <v>100</v>
      </c>
      <c r="E16" s="568"/>
      <c r="F16" s="569">
        <f>SUMIF(63:63,E17,64:64)-SUMIF(63:63,C17,64:64)+100</f>
        <v>100</v>
      </c>
      <c r="G16" s="570"/>
      <c r="H16" s="563">
        <f>SUMIF(63:63,G17,64:64)-SUMIF(63:63,C17,64:64)+100</f>
        <v>100</v>
      </c>
      <c r="I16" s="568"/>
      <c r="J16" s="563">
        <f>SUMIF(63:63,I17,64:64)-SUMIF(63:63,C17,64:64)+100</f>
        <v>100</v>
      </c>
      <c r="K16" s="896"/>
      <c r="L16" s="2142"/>
      <c r="M16" s="2134"/>
      <c r="N16" s="2134"/>
      <c r="O16" s="2141"/>
      <c r="P16" s="3532"/>
      <c r="Q16" s="1571" t="str">
        <f>B16</f>
        <v>公共配套设施</v>
      </c>
      <c r="R16" s="1572" t="s">
        <v>8</v>
      </c>
      <c r="S16" s="1573">
        <f>F16</f>
        <v>100</v>
      </c>
      <c r="T16" s="1572" t="s">
        <v>8</v>
      </c>
      <c r="U16" s="1573">
        <f>H16</f>
        <v>100</v>
      </c>
      <c r="V16" s="1572" t="s">
        <v>8</v>
      </c>
      <c r="W16" s="1573">
        <f>J16</f>
        <v>100</v>
      </c>
      <c r="X16" s="1566"/>
      <c r="Y16" s="3532"/>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2"/>
      <c r="M17" s="2134"/>
      <c r="N17" s="2134"/>
      <c r="O17" s="2141"/>
      <c r="P17" s="3532"/>
      <c r="Q17" s="1571"/>
      <c r="R17" s="1572"/>
      <c r="S17" s="1573"/>
      <c r="T17" s="1572"/>
      <c r="U17" s="1573"/>
      <c r="V17" s="1572"/>
      <c r="W17" s="1573"/>
      <c r="X17" s="1566"/>
      <c r="Y17" s="3532"/>
      <c r="Z17" s="1574"/>
      <c r="AA17" s="1575">
        <v>1</v>
      </c>
      <c r="AB17" s="1575">
        <v>1</v>
      </c>
      <c r="AC17" s="1575">
        <v>1</v>
      </c>
    </row>
    <row r="18" spans="1:29" ht="42.75">
      <c r="A18" s="530"/>
      <c r="B18" s="2613" t="s">
        <v>2562</v>
      </c>
      <c r="C18" s="870" t="str">
        <f>IF(B1="工业",估价对象房地状况!G6,估价对象房地状况!C8)</f>
        <v>估价对象所在区域基础设施水平达到七通</v>
      </c>
      <c r="D18" s="557">
        <v>100</v>
      </c>
      <c r="E18" s="560"/>
      <c r="F18" s="561">
        <f>SUMIF(65:65,E19,66:66)-SUMIF(65:65,C19,66:66)+100</f>
        <v>100</v>
      </c>
      <c r="G18" s="562"/>
      <c r="H18" s="563">
        <f>SUMIF(65:65,G19,66:66)-SUMIF(65:65,C19,66:66)+100</f>
        <v>100</v>
      </c>
      <c r="I18" s="568"/>
      <c r="J18" s="563">
        <f>SUMIF(65:65,I19,66:66)-SUMIF(65:65,C19,66:66)+100</f>
        <v>100</v>
      </c>
      <c r="K18" s="896"/>
      <c r="L18" s="2142"/>
      <c r="M18" s="2134"/>
      <c r="N18" s="2134"/>
      <c r="O18" s="2141"/>
      <c r="P18" s="3532"/>
      <c r="Q18" s="2601" t="str">
        <f>B18</f>
        <v>基础设施水平</v>
      </c>
      <c r="R18" s="1572" t="s">
        <v>8</v>
      </c>
      <c r="S18" s="1573">
        <f>F18</f>
        <v>100</v>
      </c>
      <c r="T18" s="1572" t="s">
        <v>8</v>
      </c>
      <c r="U18" s="1573">
        <f>H18</f>
        <v>100</v>
      </c>
      <c r="V18" s="1572" t="s">
        <v>8</v>
      </c>
      <c r="W18" s="1573">
        <f>J18</f>
        <v>100</v>
      </c>
      <c r="X18" s="2603"/>
      <c r="Y18" s="3532"/>
      <c r="Z18" s="2602"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24"/>
      <c r="L19" s="2142"/>
      <c r="M19" s="2134"/>
      <c r="N19" s="2134"/>
      <c r="O19" s="2141"/>
      <c r="P19" s="3532"/>
      <c r="Q19" s="2601"/>
      <c r="R19" s="1572"/>
      <c r="S19" s="1573"/>
      <c r="T19" s="1572"/>
      <c r="U19" s="1573"/>
      <c r="V19" s="1572"/>
      <c r="W19" s="1573"/>
      <c r="X19" s="2603"/>
      <c r="Y19" s="3532"/>
      <c r="Z19" s="2602"/>
      <c r="AA19" s="1575">
        <v>1</v>
      </c>
      <c r="AB19" s="1575">
        <v>1</v>
      </c>
      <c r="AC19" s="1575">
        <v>1</v>
      </c>
    </row>
    <row r="20" spans="1:29" ht="156.75">
      <c r="A20" s="530"/>
      <c r="B20" s="869" t="s">
        <v>804</v>
      </c>
      <c r="C20" s="870" t="str">
        <f>IF(B1="工业",估价对象房地状况!G7,估价对象房地状况!C9)</f>
        <v>区域自然环境：官园公园、什刹海公园、北海公园；人文环境：妙应寺白塔、恭王府、历代帝王庙、梅兰芳纪念馆、西直门天主教堂、西城区图书馆；综合评价环境状况好。</v>
      </c>
      <c r="D20" s="563">
        <v>100</v>
      </c>
      <c r="E20" s="568"/>
      <c r="F20" s="569">
        <f>SUMIF(67:67,E21,68:68)-SUMIF(67:67,C21,68:68)+100</f>
        <v>100</v>
      </c>
      <c r="G20" s="570"/>
      <c r="H20" s="557">
        <f>SUMIF(67:67,G21,68:68)-SUMIF(67:67,C21,68:68)+100</f>
        <v>100</v>
      </c>
      <c r="I20" s="560"/>
      <c r="J20" s="557">
        <f>SUMIF(67:67,I21,68:68)-SUMIF(67:67,C21,68:68)+100</f>
        <v>100</v>
      </c>
      <c r="K20" s="896"/>
      <c r="L20" s="2142"/>
      <c r="M20" s="2134"/>
      <c r="N20" s="2134"/>
      <c r="O20" s="2141"/>
      <c r="P20" s="3532"/>
      <c r="Q20" s="1571" t="str">
        <f>B20</f>
        <v>自然及人文环境</v>
      </c>
      <c r="R20" s="1572" t="s">
        <v>8</v>
      </c>
      <c r="S20" s="1573">
        <f>F20</f>
        <v>100</v>
      </c>
      <c r="T20" s="1572" t="s">
        <v>8</v>
      </c>
      <c r="U20" s="1573">
        <f>H20</f>
        <v>100</v>
      </c>
      <c r="V20" s="1572" t="s">
        <v>8</v>
      </c>
      <c r="W20" s="1573">
        <f>J20</f>
        <v>100</v>
      </c>
      <c r="X20" s="1566"/>
      <c r="Y20" s="3532"/>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2"/>
      <c r="M21" s="2134"/>
      <c r="N21" s="2134"/>
      <c r="O21" s="2141"/>
      <c r="P21" s="3532"/>
      <c r="Q21" s="1571"/>
      <c r="R21" s="1572"/>
      <c r="S21" s="1573"/>
      <c r="T21" s="1572"/>
      <c r="U21" s="1573"/>
      <c r="V21" s="1572"/>
      <c r="W21" s="1573"/>
      <c r="X21" s="1566"/>
      <c r="Y21" s="3532"/>
      <c r="Z21" s="1574"/>
      <c r="AA21" s="1575">
        <v>1</v>
      </c>
      <c r="AB21" s="1575">
        <v>1</v>
      </c>
      <c r="AC21" s="1575">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2"/>
      <c r="M22" s="2134"/>
      <c r="N22" s="2134"/>
      <c r="O22" s="2141"/>
      <c r="P22" s="3532"/>
      <c r="Q22" s="1571" t="str">
        <f>B22</f>
        <v>楼层</v>
      </c>
      <c r="R22" s="1572" t="s">
        <v>8</v>
      </c>
      <c r="S22" s="1573">
        <f>F22</f>
        <v>100</v>
      </c>
      <c r="T22" s="1572" t="s">
        <v>8</v>
      </c>
      <c r="U22" s="1573">
        <f>H22</f>
        <v>100</v>
      </c>
      <c r="V22" s="1572" t="s">
        <v>8</v>
      </c>
      <c r="W22" s="1573">
        <f>J22</f>
        <v>100</v>
      </c>
      <c r="X22" s="1566"/>
      <c r="Y22" s="3532"/>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2"/>
      <c r="M23" s="2134"/>
      <c r="N23" s="2134"/>
      <c r="O23" s="2141"/>
      <c r="P23" s="3532"/>
      <c r="Q23" s="1571">
        <f>B23</f>
        <v>111</v>
      </c>
      <c r="R23" s="1572" t="s">
        <v>8</v>
      </c>
      <c r="S23" s="1573">
        <f>F23</f>
        <v>100</v>
      </c>
      <c r="T23" s="1572" t="s">
        <v>8</v>
      </c>
      <c r="U23" s="1573">
        <f>H23</f>
        <v>100</v>
      </c>
      <c r="V23" s="1572" t="s">
        <v>8</v>
      </c>
      <c r="W23" s="1573">
        <f>J23</f>
        <v>100</v>
      </c>
      <c r="X23" s="1566"/>
      <c r="Y23" s="3532"/>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2"/>
      <c r="M24" s="2134"/>
      <c r="N24" s="2134"/>
      <c r="O24" s="2141"/>
      <c r="P24" s="3532"/>
      <c r="Q24" s="1571">
        <f t="shared" ref="Q24:Q34" si="11">B24</f>
        <v>111</v>
      </c>
      <c r="R24" s="1572" t="s">
        <v>8</v>
      </c>
      <c r="S24" s="1573">
        <f>F24</f>
        <v>100</v>
      </c>
      <c r="T24" s="1572" t="s">
        <v>8</v>
      </c>
      <c r="U24" s="1573">
        <f>H24</f>
        <v>100</v>
      </c>
      <c r="V24" s="1572" t="s">
        <v>8</v>
      </c>
      <c r="W24" s="1573">
        <f>J24</f>
        <v>100</v>
      </c>
      <c r="X24" s="1566"/>
      <c r="Y24" s="3532"/>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5"/>
      <c r="M25" s="2136"/>
      <c r="N25" s="2136"/>
      <c r="O25" s="2137"/>
      <c r="P25" s="3532"/>
      <c r="Q25" s="1149">
        <f t="shared" si="11"/>
        <v>111</v>
      </c>
      <c r="R25" s="1567" t="s">
        <v>8</v>
      </c>
      <c r="S25" s="1568">
        <f>F25</f>
        <v>100</v>
      </c>
      <c r="T25" s="1567" t="s">
        <v>8</v>
      </c>
      <c r="U25" s="1568">
        <f>H25</f>
        <v>100</v>
      </c>
      <c r="V25" s="1567" t="s">
        <v>8</v>
      </c>
      <c r="W25" s="1568">
        <f>J25</f>
        <v>100</v>
      </c>
      <c r="X25" s="1569"/>
      <c r="Y25" s="3532"/>
      <c r="Z25" s="1148">
        <f>Q25</f>
        <v>111</v>
      </c>
      <c r="AA25" s="1575">
        <f>D25/F25</f>
        <v>1</v>
      </c>
      <c r="AB25" s="1575">
        <f>D25/H25</f>
        <v>1</v>
      </c>
      <c r="AC25" s="1575">
        <f>D25/J25</f>
        <v>1</v>
      </c>
    </row>
    <row r="26" spans="1:29" ht="15">
      <c r="A26" s="2929" t="s">
        <v>2759</v>
      </c>
      <c r="B26" s="170" t="s">
        <v>808</v>
      </c>
      <c r="C26" s="914"/>
      <c r="D26" s="595">
        <v>100</v>
      </c>
      <c r="E26" s="914"/>
      <c r="F26" s="941">
        <f>SUMIF(77:77,E26,78:78)-SUMIF(77:77,C26,78:78)+100</f>
        <v>100</v>
      </c>
      <c r="G26" s="914"/>
      <c r="H26" s="595">
        <f>SUMIF(77:77,G26,78:78)-SUMIF(77:77,C26,78:78)+100</f>
        <v>100</v>
      </c>
      <c r="I26" s="914"/>
      <c r="J26" s="595">
        <f>SUMIF(77:77,I26,78:78)-SUMIF(77:77,C26,78:78)+100</f>
        <v>100</v>
      </c>
      <c r="K26" s="582"/>
      <c r="L26" s="2142"/>
      <c r="M26" s="2134"/>
      <c r="N26" s="2134"/>
      <c r="O26" s="2141"/>
      <c r="P26" s="3533"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534" t="s">
        <v>821</v>
      </c>
      <c r="Z26" s="1574" t="str">
        <f t="shared" ref="Z26:Z34" si="15">Q26</f>
        <v>公共部分装修</v>
      </c>
      <c r="AA26" s="1575">
        <f t="shared" si="3"/>
        <v>1</v>
      </c>
      <c r="AB26" s="1575">
        <f t="shared" si="4"/>
        <v>1</v>
      </c>
      <c r="AC26" s="1575">
        <f t="shared" si="5"/>
        <v>1</v>
      </c>
    </row>
    <row r="27" spans="1:29" s="1337"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40"/>
      <c r="M27" s="2171"/>
      <c r="N27" s="2171"/>
      <c r="O27" s="2143"/>
      <c r="P27" s="3534"/>
      <c r="Q27" s="1604" t="str">
        <f t="shared" si="11"/>
        <v>成新率</v>
      </c>
      <c r="R27" s="1576" t="s">
        <v>8</v>
      </c>
      <c r="S27" s="1577" t="e">
        <f t="shared" si="12"/>
        <v>#N/A</v>
      </c>
      <c r="T27" s="1576" t="s">
        <v>8</v>
      </c>
      <c r="U27" s="1577" t="e">
        <f t="shared" si="13"/>
        <v>#N/A</v>
      </c>
      <c r="V27" s="1576" t="s">
        <v>8</v>
      </c>
      <c r="W27" s="1577" t="e">
        <f t="shared" si="14"/>
        <v>#N/A</v>
      </c>
      <c r="X27" s="1578"/>
      <c r="Y27" s="3534"/>
      <c r="Z27" s="1579" t="str">
        <f t="shared" si="15"/>
        <v>成新率</v>
      </c>
      <c r="AA27" s="1575" t="e">
        <f t="shared" si="3"/>
        <v>#N/A</v>
      </c>
      <c r="AB27" s="1575" t="e">
        <f t="shared" si="4"/>
        <v>#N/A</v>
      </c>
      <c r="AC27" s="1575"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2"/>
      <c r="M28" s="2134"/>
      <c r="N28" s="2134"/>
      <c r="O28" s="2141"/>
      <c r="P28" s="3534"/>
      <c r="Q28" s="1571" t="str">
        <f t="shared" si="11"/>
        <v>物业等级</v>
      </c>
      <c r="R28" s="1572" t="s">
        <v>8</v>
      </c>
      <c r="S28" s="1573">
        <f t="shared" si="12"/>
        <v>100</v>
      </c>
      <c r="T28" s="1572" t="s">
        <v>8</v>
      </c>
      <c r="U28" s="1573">
        <f t="shared" si="13"/>
        <v>100</v>
      </c>
      <c r="V28" s="1572" t="s">
        <v>8</v>
      </c>
      <c r="W28" s="1573">
        <f t="shared" si="14"/>
        <v>100</v>
      </c>
      <c r="X28" s="1566"/>
      <c r="Y28" s="3534"/>
      <c r="Z28" s="1574" t="str">
        <f t="shared" si="15"/>
        <v>物业等级</v>
      </c>
      <c r="AA28" s="1575">
        <f t="shared" si="3"/>
        <v>1</v>
      </c>
      <c r="AB28" s="1575">
        <f t="shared" si="4"/>
        <v>1</v>
      </c>
      <c r="AC28" s="1575">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2"/>
      <c r="M29" s="2134"/>
      <c r="N29" s="2134"/>
      <c r="O29" s="2141"/>
      <c r="P29" s="3534"/>
      <c r="Q29" s="1571" t="str">
        <f t="shared" si="11"/>
        <v>有无电梯</v>
      </c>
      <c r="R29" s="1572" t="s">
        <v>8</v>
      </c>
      <c r="S29" s="1573">
        <f t="shared" si="12"/>
        <v>100</v>
      </c>
      <c r="T29" s="1572" t="s">
        <v>8</v>
      </c>
      <c r="U29" s="1573">
        <f t="shared" si="13"/>
        <v>100</v>
      </c>
      <c r="V29" s="1572" t="s">
        <v>8</v>
      </c>
      <c r="W29" s="1573">
        <f t="shared" si="14"/>
        <v>100</v>
      </c>
      <c r="X29" s="1566"/>
      <c r="Y29" s="3534"/>
      <c r="Z29" s="1574" t="str">
        <f t="shared" si="15"/>
        <v>有无电梯</v>
      </c>
      <c r="AA29" s="1575">
        <f t="shared" si="3"/>
        <v>1</v>
      </c>
      <c r="AB29" s="1575">
        <f t="shared" si="4"/>
        <v>1</v>
      </c>
      <c r="AC29" s="1575">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2"/>
      <c r="M30" s="2134"/>
      <c r="N30" s="2134"/>
      <c r="O30" s="2141"/>
      <c r="P30" s="3534"/>
      <c r="Q30" s="1571" t="str">
        <f t="shared" si="11"/>
        <v>建筑面积</v>
      </c>
      <c r="R30" s="1572" t="s">
        <v>8</v>
      </c>
      <c r="S30" s="1573" t="e">
        <f t="shared" si="12"/>
        <v>#N/A</v>
      </c>
      <c r="T30" s="1572" t="s">
        <v>8</v>
      </c>
      <c r="U30" s="1573" t="e">
        <f t="shared" si="13"/>
        <v>#N/A</v>
      </c>
      <c r="V30" s="1572" t="s">
        <v>8</v>
      </c>
      <c r="W30" s="1573" t="e">
        <f t="shared" si="14"/>
        <v>#N/A</v>
      </c>
      <c r="X30" s="1566"/>
      <c r="Y30" s="3534"/>
      <c r="Z30" s="1574" t="str">
        <f t="shared" si="15"/>
        <v>建筑面积</v>
      </c>
      <c r="AA30" s="1575" t="e">
        <f t="shared" si="3"/>
        <v>#N/A</v>
      </c>
      <c r="AB30" s="1575" t="e">
        <f t="shared" si="4"/>
        <v>#N/A</v>
      </c>
      <c r="AC30" s="1575" t="e">
        <f t="shared" si="5"/>
        <v>#N/A</v>
      </c>
    </row>
    <row r="31" spans="1:29" s="1218"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5"/>
      <c r="M31" s="2136"/>
      <c r="N31" s="2136"/>
      <c r="O31" s="2137"/>
      <c r="P31" s="3534"/>
      <c r="Q31" s="1149" t="str">
        <f t="shared" si="11"/>
        <v>是否封闭</v>
      </c>
      <c r="R31" s="1567" t="s">
        <v>8</v>
      </c>
      <c r="S31" s="1568">
        <f t="shared" si="12"/>
        <v>100</v>
      </c>
      <c r="T31" s="1567" t="s">
        <v>8</v>
      </c>
      <c r="U31" s="1568">
        <f t="shared" si="13"/>
        <v>100</v>
      </c>
      <c r="V31" s="1567" t="s">
        <v>8</v>
      </c>
      <c r="W31" s="1568">
        <f t="shared" si="14"/>
        <v>100</v>
      </c>
      <c r="X31" s="1569"/>
      <c r="Y31" s="3534"/>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2"/>
      <c r="M32" s="2134"/>
      <c r="N32" s="2134"/>
      <c r="O32" s="2141"/>
      <c r="P32" s="3534" t="s">
        <v>550</v>
      </c>
      <c r="Q32" s="1571">
        <f t="shared" si="11"/>
        <v>111</v>
      </c>
      <c r="R32" s="1572" t="s">
        <v>8</v>
      </c>
      <c r="S32" s="1573">
        <f t="shared" si="12"/>
        <v>100</v>
      </c>
      <c r="T32" s="1572" t="s">
        <v>8</v>
      </c>
      <c r="U32" s="1573">
        <f t="shared" si="13"/>
        <v>100</v>
      </c>
      <c r="V32" s="1572" t="s">
        <v>8</v>
      </c>
      <c r="W32" s="1573">
        <f t="shared" si="14"/>
        <v>100</v>
      </c>
      <c r="X32" s="1566"/>
      <c r="Y32" s="3534" t="s">
        <v>550</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2"/>
      <c r="M33" s="2134"/>
      <c r="N33" s="2134"/>
      <c r="O33" s="2141"/>
      <c r="P33" s="3534"/>
      <c r="Q33" s="1571">
        <f t="shared" si="11"/>
        <v>111</v>
      </c>
      <c r="R33" s="1572" t="s">
        <v>8</v>
      </c>
      <c r="S33" s="1573">
        <f t="shared" si="12"/>
        <v>100</v>
      </c>
      <c r="T33" s="1572" t="s">
        <v>8</v>
      </c>
      <c r="U33" s="1573">
        <f t="shared" si="13"/>
        <v>100</v>
      </c>
      <c r="V33" s="1572" t="s">
        <v>8</v>
      </c>
      <c r="W33" s="1573">
        <f t="shared" si="14"/>
        <v>100</v>
      </c>
      <c r="X33" s="1566"/>
      <c r="Y33" s="3534"/>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2"/>
      <c r="M34" s="2134"/>
      <c r="N34" s="2134"/>
      <c r="O34" s="2141"/>
      <c r="P34" s="3534"/>
      <c r="Q34" s="1571">
        <f t="shared" si="11"/>
        <v>111</v>
      </c>
      <c r="R34" s="1572" t="s">
        <v>8</v>
      </c>
      <c r="S34" s="1573">
        <f t="shared" si="12"/>
        <v>100</v>
      </c>
      <c r="T34" s="1572" t="s">
        <v>8</v>
      </c>
      <c r="U34" s="1573">
        <f t="shared" si="13"/>
        <v>100</v>
      </c>
      <c r="V34" s="1572" t="s">
        <v>8</v>
      </c>
      <c r="W34" s="1573">
        <f t="shared" si="14"/>
        <v>100</v>
      </c>
      <c r="X34" s="1566"/>
      <c r="Y34" s="3534"/>
      <c r="Z34" s="1574">
        <f t="shared" si="15"/>
        <v>111</v>
      </c>
      <c r="AA34" s="1575">
        <f t="shared" si="3"/>
        <v>1</v>
      </c>
      <c r="AB34" s="1575">
        <f t="shared" si="4"/>
        <v>1</v>
      </c>
      <c r="AC34" s="1575">
        <f t="shared" si="5"/>
        <v>1</v>
      </c>
    </row>
    <row r="35" spans="1:29" ht="15">
      <c r="A35" s="605" t="s">
        <v>736</v>
      </c>
      <c r="B35" s="885"/>
      <c r="C35" s="2649" t="s">
        <v>1</v>
      </c>
      <c r="D35" s="2650"/>
      <c r="E35" s="2651"/>
      <c r="F35" s="2652"/>
      <c r="G35" s="2653"/>
      <c r="H35" s="2654"/>
      <c r="I35" s="2651"/>
      <c r="J35" s="2654"/>
      <c r="K35" s="1610"/>
      <c r="L35" s="2144"/>
      <c r="M35" s="2145"/>
      <c r="N35" s="2134"/>
      <c r="O35" s="2145"/>
      <c r="P35" s="3497" t="str">
        <f>A35</f>
        <v>成交单价（元/平方米）</v>
      </c>
      <c r="Q35" s="3497"/>
      <c r="R35" s="3610">
        <f>E35</f>
        <v>0</v>
      </c>
      <c r="S35" s="3610"/>
      <c r="T35" s="3610">
        <f>G35</f>
        <v>0</v>
      </c>
      <c r="U35" s="3610"/>
      <c r="V35" s="3610">
        <f>I35</f>
        <v>0</v>
      </c>
      <c r="W35" s="3610"/>
      <c r="X35" s="1558"/>
      <c r="Y35" s="1580"/>
      <c r="Z35" s="1558"/>
      <c r="AA35" s="1558"/>
      <c r="AB35" s="1558"/>
      <c r="AC35" s="1558"/>
    </row>
    <row r="36" spans="1:29" ht="15.75" thickBot="1">
      <c r="A36" s="613" t="s">
        <v>2764</v>
      </c>
      <c r="B36" s="886"/>
      <c r="C36" s="2655" t="e">
        <f>R37</f>
        <v>#DIV/0!</v>
      </c>
      <c r="D36" s="2656"/>
      <c r="E36" s="2657" t="e">
        <f>R36</f>
        <v>#DIV/0!</v>
      </c>
      <c r="F36" s="2657"/>
      <c r="G36" s="2655" t="e">
        <f>T36</f>
        <v>#DIV/0!</v>
      </c>
      <c r="H36" s="2656"/>
      <c r="I36" s="2657" t="e">
        <f>V36</f>
        <v>#DIV/0!</v>
      </c>
      <c r="J36" s="2656"/>
      <c r="K36" s="1611"/>
      <c r="L36" s="2144"/>
      <c r="M36" s="2145"/>
      <c r="N36" s="2134"/>
      <c r="O36" s="2145"/>
      <c r="P36" s="3497" t="str">
        <f>A36</f>
        <v>比较价格（元/平方米）</v>
      </c>
      <c r="Q36" s="3497"/>
      <c r="R36" s="3610" t="e">
        <f>IF(F1="售价",ROUND(PRODUCT(R35,AA7:AA34),0),ROUND(PRODUCT(R35,AA7:AA34),1))</f>
        <v>#DIV/0!</v>
      </c>
      <c r="S36" s="3610"/>
      <c r="T36" s="3610" t="e">
        <f>IF(F1="售价",ROUND(PRODUCT(T35,AB7:AB34),0),ROUND(PRODUCT(T35,AB7:AB34),1))</f>
        <v>#DIV/0!</v>
      </c>
      <c r="U36" s="3610"/>
      <c r="V36" s="3610" t="e">
        <f>IF(F1="售价",ROUND(PRODUCT(V35,AC7:AC34),0),ROUND(PRODUCT(V35,AC7:AC34),1))</f>
        <v>#DIV/0!</v>
      </c>
      <c r="W36" s="3610"/>
      <c r="X36" s="1558"/>
      <c r="Y36" s="1558"/>
      <c r="Z36" s="1558"/>
      <c r="AA36" s="1558"/>
      <c r="AB36" s="1558"/>
      <c r="AC36" s="1558"/>
    </row>
    <row r="37" spans="1:29" ht="15.75" thickBot="1">
      <c r="A37" s="619" t="s">
        <v>2936</v>
      </c>
      <c r="B37" s="620"/>
      <c r="C37" s="2658" t="e">
        <f>R37</f>
        <v>#DIV/0!</v>
      </c>
      <c r="D37" s="2658"/>
      <c r="E37" s="2658"/>
      <c r="F37" s="2658"/>
      <c r="G37" s="2658"/>
      <c r="H37" s="2658"/>
      <c r="I37" s="2658"/>
      <c r="J37" s="2658"/>
      <c r="K37" s="1612"/>
      <c r="L37" s="2144"/>
      <c r="M37" s="2145"/>
      <c r="N37" s="2145"/>
      <c r="O37" s="2145"/>
      <c r="P37" s="3494" t="str">
        <f>A37</f>
        <v>估价对象XX用房的比较价格（楼面单价，元/平方米）</v>
      </c>
      <c r="Q37" s="3495"/>
      <c r="R37" s="3609" t="e">
        <f>IF(F1="售价",ROUND(AVERAGE(R36:V36),0),ROUND(AVERAGE(R36:V36),1))</f>
        <v>#DIV/0!</v>
      </c>
      <c r="S37" s="3609"/>
      <c r="T37" s="3609"/>
      <c r="U37" s="3609"/>
      <c r="V37" s="3609"/>
      <c r="W37" s="3609"/>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3" t="s">
        <v>529</v>
      </c>
      <c r="B46" s="644"/>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60"/>
      <c r="Q46" s="2161"/>
      <c r="R46" s="2161"/>
      <c r="S46" s="2161"/>
      <c r="T46" s="2161"/>
      <c r="U46" s="2161"/>
      <c r="V46" s="2161"/>
      <c r="W46" s="2161"/>
      <c r="X46" s="2161"/>
      <c r="Y46" s="2161"/>
      <c r="Z46" s="2161"/>
      <c r="AA46" s="2161"/>
      <c r="AB46" s="2161"/>
      <c r="AC46" s="2161"/>
    </row>
    <row r="47" spans="1:29" s="1218" customFormat="1" ht="15">
      <c r="A47" s="645"/>
      <c r="B47" s="646"/>
      <c r="C47" s="647">
        <v>100</v>
      </c>
      <c r="D47" s="648"/>
      <c r="E47" s="648"/>
      <c r="F47" s="648"/>
      <c r="G47" s="648"/>
      <c r="H47" s="648"/>
      <c r="I47" s="648"/>
      <c r="J47" s="648"/>
      <c r="K47" s="648"/>
      <c r="L47" s="648"/>
      <c r="M47" s="649"/>
      <c r="N47" s="648"/>
      <c r="O47" s="650"/>
      <c r="P47" s="2158"/>
      <c r="Q47" s="1993"/>
      <c r="R47" s="1993"/>
      <c r="S47" s="1993"/>
      <c r="T47" s="1993"/>
      <c r="U47" s="1993"/>
      <c r="V47" s="1993"/>
      <c r="W47" s="1993"/>
      <c r="X47" s="1993"/>
      <c r="Y47" s="1993"/>
      <c r="Z47" s="1993"/>
      <c r="AA47" s="1993"/>
      <c r="AB47" s="1993"/>
      <c r="AC47" s="1993"/>
    </row>
    <row r="48" spans="1:29" s="1218" customFormat="1" ht="15.75" thickBot="1">
      <c r="A48" s="651" t="s">
        <v>575</v>
      </c>
      <c r="B48" s="652"/>
      <c r="C48" s="653"/>
      <c r="D48" s="654"/>
      <c r="E48" s="654"/>
      <c r="F48" s="654"/>
      <c r="G48" s="654"/>
      <c r="H48" s="654"/>
      <c r="I48" s="654"/>
      <c r="J48" s="654"/>
      <c r="K48" s="654"/>
      <c r="L48" s="654"/>
      <c r="M48" s="655"/>
      <c r="N48" s="654"/>
      <c r="O48" s="656"/>
      <c r="P48" s="2158"/>
      <c r="Q48" s="2158"/>
      <c r="R48" s="1993"/>
      <c r="S48" s="1993"/>
      <c r="T48" s="1993"/>
      <c r="U48" s="1993"/>
      <c r="V48" s="1993"/>
      <c r="W48" s="1993"/>
      <c r="X48" s="1993"/>
      <c r="Y48" s="1993"/>
      <c r="Z48" s="1993"/>
      <c r="AA48" s="1993"/>
      <c r="AB48" s="1993"/>
      <c r="AC48" s="1993"/>
    </row>
    <row r="49" spans="1:29" s="1218" customFormat="1" ht="15">
      <c r="A49" s="657" t="s">
        <v>531</v>
      </c>
      <c r="B49" s="646"/>
      <c r="C49" s="658" t="s">
        <v>576</v>
      </c>
      <c r="D49" s="659"/>
      <c r="E49" s="659"/>
      <c r="F49" s="659"/>
      <c r="G49" s="659"/>
      <c r="H49" s="659"/>
      <c r="I49" s="659"/>
      <c r="J49" s="659"/>
      <c r="K49" s="659"/>
      <c r="L49" s="660"/>
      <c r="M49" s="661"/>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7"/>
      <c r="B50" s="646"/>
      <c r="C50" s="647">
        <v>100</v>
      </c>
      <c r="D50" s="648"/>
      <c r="E50" s="648"/>
      <c r="F50" s="648"/>
      <c r="G50" s="648"/>
      <c r="H50" s="648"/>
      <c r="I50" s="648"/>
      <c r="J50" s="648"/>
      <c r="K50" s="648"/>
      <c r="L50" s="648"/>
      <c r="M50" s="650"/>
      <c r="N50" s="2162"/>
      <c r="O50" s="2162"/>
      <c r="P50" s="2158"/>
      <c r="Q50" s="2158"/>
      <c r="R50" s="1993"/>
      <c r="S50" s="1993"/>
      <c r="T50" s="1993"/>
      <c r="U50" s="1993"/>
      <c r="V50" s="1993"/>
      <c r="W50" s="1993"/>
      <c r="X50" s="1993"/>
      <c r="Y50" s="1993"/>
      <c r="Z50" s="1993"/>
      <c r="AA50" s="1993"/>
      <c r="AB50" s="1993"/>
      <c r="AC50" s="1993"/>
    </row>
    <row r="51" spans="1:29">
      <c r="A51" s="662" t="s">
        <v>577</v>
      </c>
      <c r="B51" s="663" t="s">
        <v>534</v>
      </c>
      <c r="C51" s="702">
        <f>C9</f>
        <v>0</v>
      </c>
      <c r="D51" s="596"/>
      <c r="E51" s="596"/>
      <c r="F51" s="596"/>
      <c r="G51" s="596"/>
      <c r="H51" s="596"/>
      <c r="I51" s="596"/>
      <c r="J51" s="596"/>
      <c r="K51" s="664"/>
      <c r="L51" s="665"/>
      <c r="M51" s="666"/>
      <c r="N51" s="2164"/>
      <c r="O51" s="2164"/>
      <c r="P51" s="2165"/>
      <c r="Q51" s="2158"/>
      <c r="R51" s="2145"/>
      <c r="S51" s="2145"/>
      <c r="T51" s="2145"/>
      <c r="U51" s="2145"/>
      <c r="V51" s="2145"/>
      <c r="W51" s="2145"/>
      <c r="X51" s="2145"/>
      <c r="Y51" s="2145"/>
      <c r="Z51" s="2145"/>
      <c r="AA51" s="2145"/>
      <c r="AB51" s="2145"/>
      <c r="AC51" s="2145"/>
    </row>
    <row r="52" spans="1:29" ht="15.75" thickBot="1">
      <c r="A52" s="667"/>
      <c r="B52" s="668"/>
      <c r="C52" s="669">
        <v>100</v>
      </c>
      <c r="D52" s="669"/>
      <c r="E52" s="669"/>
      <c r="F52" s="669"/>
      <c r="G52" s="669"/>
      <c r="H52" s="669"/>
      <c r="I52" s="669"/>
      <c r="J52" s="669"/>
      <c r="K52" s="669"/>
      <c r="L52" s="669"/>
      <c r="M52" s="670"/>
      <c r="N52" s="2166"/>
      <c r="O52" s="2166"/>
      <c r="P52" s="2165"/>
      <c r="Q52" s="2158"/>
      <c r="R52" s="2145"/>
      <c r="S52" s="2145"/>
      <c r="T52" s="2145"/>
      <c r="U52" s="2145"/>
      <c r="V52" s="2145"/>
      <c r="W52" s="2145"/>
      <c r="X52" s="2145"/>
      <c r="Y52" s="2145"/>
      <c r="Z52" s="2145"/>
      <c r="AA52" s="2145"/>
      <c r="AB52" s="2145"/>
      <c r="AC52" s="2145"/>
    </row>
    <row r="53" spans="1:29" ht="27.75" thickTop="1">
      <c r="A53" s="667"/>
      <c r="B53" s="671" t="s">
        <v>537</v>
      </c>
      <c r="C53" s="672" t="s">
        <v>737</v>
      </c>
      <c r="D53" s="672" t="s">
        <v>738</v>
      </c>
      <c r="E53" s="672" t="s">
        <v>739</v>
      </c>
      <c r="F53" s="672" t="s">
        <v>740</v>
      </c>
      <c r="G53" s="672" t="s">
        <v>741</v>
      </c>
      <c r="H53" s="672" t="s">
        <v>742</v>
      </c>
      <c r="I53" s="672" t="s">
        <v>743</v>
      </c>
      <c r="J53" s="672"/>
      <c r="K53" s="673"/>
      <c r="L53" s="674"/>
      <c r="M53" s="675"/>
      <c r="N53" s="2164"/>
      <c r="O53" s="2164"/>
      <c r="P53" s="2165"/>
      <c r="Q53" s="2158"/>
      <c r="R53" s="2145"/>
      <c r="S53" s="2145"/>
      <c r="T53" s="2145"/>
      <c r="U53" s="2145"/>
      <c r="V53" s="2145"/>
      <c r="W53" s="2145"/>
      <c r="X53" s="2145"/>
      <c r="Y53" s="2145"/>
      <c r="Z53" s="2145"/>
      <c r="AA53" s="2145"/>
      <c r="AB53" s="2145"/>
      <c r="AC53" s="2145"/>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6"/>
      <c r="O54" s="2166"/>
      <c r="P54" s="2165"/>
      <c r="Q54" s="2158"/>
      <c r="R54" s="2145"/>
      <c r="S54" s="2145"/>
      <c r="T54" s="2145"/>
      <c r="U54" s="2145"/>
      <c r="V54" s="2145"/>
      <c r="W54" s="2145"/>
      <c r="X54" s="2145"/>
      <c r="Y54" s="2145"/>
      <c r="Z54" s="2145"/>
      <c r="AA54" s="2145"/>
      <c r="AB54" s="2145"/>
      <c r="AC54" s="2145"/>
    </row>
    <row r="55" spans="1:29" ht="15.75" thickTop="1">
      <c r="A55" s="667"/>
      <c r="B55" s="933">
        <f>B11</f>
        <v>111</v>
      </c>
      <c r="C55" s="539"/>
      <c r="D55" s="539"/>
      <c r="E55" s="539"/>
      <c r="F55" s="539"/>
      <c r="G55" s="539"/>
      <c r="H55" s="539"/>
      <c r="I55" s="539"/>
      <c r="J55" s="539"/>
      <c r="K55" s="682"/>
      <c r="L55" s="683"/>
      <c r="M55" s="684"/>
      <c r="N55" s="2164"/>
      <c r="O55" s="2164"/>
      <c r="P55" s="2165"/>
      <c r="Q55" s="2158"/>
      <c r="R55" s="2145"/>
      <c r="S55" s="2145"/>
      <c r="T55" s="2145"/>
      <c r="U55" s="2145"/>
      <c r="V55" s="2145"/>
      <c r="W55" s="2145"/>
      <c r="X55" s="2145"/>
      <c r="Y55" s="2145"/>
      <c r="Z55" s="2145"/>
      <c r="AA55" s="2145"/>
      <c r="AB55" s="2145"/>
      <c r="AC55" s="2145"/>
    </row>
    <row r="56" spans="1:29" ht="15.75" thickBot="1">
      <c r="A56" s="667"/>
      <c r="B56" s="668"/>
      <c r="C56" s="690"/>
      <c r="D56" s="669"/>
      <c r="E56" s="669"/>
      <c r="F56" s="669"/>
      <c r="G56" s="669"/>
      <c r="H56" s="669"/>
      <c r="I56" s="669"/>
      <c r="J56" s="669"/>
      <c r="K56" s="669"/>
      <c r="L56" s="669"/>
      <c r="M56" s="670"/>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5"/>
      <c r="B57" s="671">
        <f>B12</f>
        <v>111</v>
      </c>
      <c r="C57" s="539"/>
      <c r="D57" s="539"/>
      <c r="E57" s="539"/>
      <c r="F57" s="539"/>
      <c r="G57" s="686"/>
      <c r="H57" s="687"/>
      <c r="I57" s="687"/>
      <c r="J57" s="687"/>
      <c r="K57" s="687"/>
      <c r="L57" s="688"/>
      <c r="M57" s="689"/>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5"/>
      <c r="B58" s="676"/>
      <c r="C58" s="690"/>
      <c r="D58" s="669"/>
      <c r="E58" s="669"/>
      <c r="F58" s="669"/>
      <c r="G58" s="669"/>
      <c r="H58" s="669"/>
      <c r="I58" s="669"/>
      <c r="J58" s="669"/>
      <c r="K58" s="669"/>
      <c r="L58" s="669"/>
      <c r="M58" s="670"/>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5"/>
      <c r="B59" s="671">
        <f>B13</f>
        <v>111</v>
      </c>
      <c r="C59" s="539"/>
      <c r="D59" s="539"/>
      <c r="E59" s="539"/>
      <c r="F59" s="539"/>
      <c r="G59" s="686"/>
      <c r="H59" s="687"/>
      <c r="I59" s="687"/>
      <c r="J59" s="687"/>
      <c r="K59" s="687"/>
      <c r="L59" s="688"/>
      <c r="M59" s="689"/>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5"/>
      <c r="B60" s="676"/>
      <c r="C60" s="690"/>
      <c r="D60" s="690"/>
      <c r="E60" s="690"/>
      <c r="F60" s="690"/>
      <c r="G60" s="690"/>
      <c r="H60" s="691"/>
      <c r="I60" s="691"/>
      <c r="J60" s="691"/>
      <c r="K60" s="691"/>
      <c r="L60" s="691"/>
      <c r="M60" s="692"/>
      <c r="N60" s="2167"/>
      <c r="O60" s="2167"/>
      <c r="P60" s="2168"/>
      <c r="Q60" s="2169"/>
      <c r="R60" s="2170"/>
      <c r="S60" s="2170"/>
      <c r="T60" s="2170"/>
      <c r="U60" s="2170"/>
      <c r="V60" s="2170"/>
      <c r="W60" s="2170"/>
      <c r="X60" s="2170"/>
      <c r="Y60" s="2170"/>
      <c r="Z60" s="2170"/>
      <c r="AA60" s="2170"/>
      <c r="AB60" s="2170"/>
      <c r="AC60" s="2170"/>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4"/>
      <c r="O61" s="2164"/>
      <c r="P61" s="2174"/>
      <c r="Q61" s="2158"/>
      <c r="R61" s="2145"/>
      <c r="S61" s="2145"/>
      <c r="T61" s="2145"/>
      <c r="U61" s="2145"/>
      <c r="V61" s="2145"/>
      <c r="W61" s="2145"/>
      <c r="X61" s="2145"/>
      <c r="Y61" s="2145"/>
      <c r="Z61" s="2145"/>
      <c r="AA61" s="2145"/>
      <c r="AB61" s="2145"/>
      <c r="AC61" s="2145"/>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6"/>
      <c r="O62" s="2166"/>
      <c r="P62" s="2165"/>
      <c r="Q62" s="2158"/>
      <c r="R62" s="2145"/>
      <c r="S62" s="2145"/>
      <c r="T62" s="2145"/>
      <c r="U62" s="2145"/>
      <c r="V62" s="2145"/>
      <c r="W62" s="2145"/>
      <c r="X62" s="2145"/>
      <c r="Y62" s="2145"/>
      <c r="Z62" s="2145"/>
      <c r="AA62" s="2145"/>
      <c r="AB62" s="2145"/>
      <c r="AC62" s="2145"/>
    </row>
    <row r="63" spans="1:29" ht="15.75" thickTop="1">
      <c r="A63" s="667"/>
      <c r="B63" s="1896" t="s">
        <v>2561</v>
      </c>
      <c r="C63" s="706" t="s">
        <v>579</v>
      </c>
      <c r="D63" s="706" t="s">
        <v>580</v>
      </c>
      <c r="E63" s="706" t="s">
        <v>581</v>
      </c>
      <c r="F63" s="706" t="s">
        <v>582</v>
      </c>
      <c r="G63" s="706" t="s">
        <v>583</v>
      </c>
      <c r="H63" s="672"/>
      <c r="I63" s="672"/>
      <c r="J63" s="672"/>
      <c r="K63" s="673"/>
      <c r="L63" s="674"/>
      <c r="M63" s="675"/>
      <c r="N63" s="2164"/>
      <c r="O63" s="2164"/>
      <c r="P63" s="2165"/>
      <c r="Q63" s="2158"/>
      <c r="R63" s="2145"/>
      <c r="S63" s="2145"/>
      <c r="T63" s="2145"/>
      <c r="U63" s="2145"/>
      <c r="V63" s="2145"/>
      <c r="W63" s="2145"/>
      <c r="X63" s="2145"/>
      <c r="Y63" s="2145"/>
      <c r="Z63" s="2145"/>
      <c r="AA63" s="2145"/>
      <c r="AB63" s="2145"/>
      <c r="AC63" s="2145"/>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6"/>
      <c r="O64" s="2166"/>
      <c r="P64" s="2165"/>
      <c r="Q64" s="2158"/>
      <c r="R64" s="2145"/>
      <c r="S64" s="2145"/>
      <c r="T64" s="2145"/>
      <c r="U64" s="2145"/>
      <c r="V64" s="2145"/>
      <c r="W64" s="2145"/>
      <c r="X64" s="2145"/>
      <c r="Y64" s="2145"/>
      <c r="Z64" s="2145"/>
      <c r="AA64" s="2145"/>
      <c r="AB64" s="2145"/>
      <c r="AC64" s="2145"/>
    </row>
    <row r="65" spans="1:29" ht="15.75" thickTop="1">
      <c r="A65" s="667"/>
      <c r="B65" s="2619" t="s">
        <v>2562</v>
      </c>
      <c r="C65" s="2620" t="s">
        <v>2563</v>
      </c>
      <c r="D65" s="2620" t="s">
        <v>2564</v>
      </c>
      <c r="E65" s="2620" t="s">
        <v>2565</v>
      </c>
      <c r="F65" s="2620" t="s">
        <v>2566</v>
      </c>
      <c r="G65" s="2620" t="s">
        <v>2567</v>
      </c>
      <c r="H65" s="672"/>
      <c r="I65" s="672"/>
      <c r="J65" s="672"/>
      <c r="K65" s="672"/>
      <c r="L65" s="672"/>
      <c r="M65" s="2623"/>
      <c r="N65" s="2166"/>
      <c r="O65" s="2166"/>
      <c r="P65" s="2165"/>
      <c r="Q65" s="2158"/>
      <c r="R65" s="2145"/>
      <c r="S65" s="2145"/>
      <c r="T65" s="2145"/>
      <c r="U65" s="2145"/>
      <c r="V65" s="2145"/>
      <c r="W65" s="2145"/>
      <c r="X65" s="2145"/>
      <c r="Y65" s="2145"/>
      <c r="Z65" s="2145"/>
      <c r="AA65" s="2145"/>
      <c r="AB65" s="2145"/>
      <c r="AC65" s="2145"/>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6"/>
      <c r="O66" s="2166"/>
      <c r="P66" s="2165"/>
      <c r="Q66" s="2158"/>
      <c r="R66" s="2145"/>
      <c r="S66" s="2145"/>
      <c r="T66" s="2145"/>
      <c r="U66" s="2145"/>
      <c r="V66" s="2145"/>
      <c r="W66" s="2145"/>
      <c r="X66" s="2145"/>
      <c r="Y66" s="2145"/>
      <c r="Z66" s="2145"/>
      <c r="AA66" s="2145"/>
      <c r="AB66" s="2145"/>
      <c r="AC66" s="2145"/>
    </row>
    <row r="67" spans="1:29" ht="15.75" thickTop="1">
      <c r="A67" s="667"/>
      <c r="B67" s="671" t="s">
        <v>744</v>
      </c>
      <c r="C67" s="706" t="s">
        <v>579</v>
      </c>
      <c r="D67" s="706" t="s">
        <v>580</v>
      </c>
      <c r="E67" s="706" t="s">
        <v>581</v>
      </c>
      <c r="F67" s="706" t="s">
        <v>582</v>
      </c>
      <c r="G67" s="706" t="s">
        <v>583</v>
      </c>
      <c r="H67" s="672"/>
      <c r="I67" s="672"/>
      <c r="J67" s="672"/>
      <c r="K67" s="673"/>
      <c r="L67" s="674"/>
      <c r="M67" s="675"/>
      <c r="N67" s="2164"/>
      <c r="O67" s="2164"/>
      <c r="P67" s="2165"/>
      <c r="Q67" s="2158"/>
      <c r="R67" s="2145"/>
      <c r="S67" s="2145"/>
      <c r="T67" s="2145"/>
      <c r="U67" s="2145"/>
      <c r="V67" s="2145"/>
      <c r="W67" s="2145"/>
      <c r="X67" s="2145"/>
      <c r="Y67" s="2145"/>
      <c r="Z67" s="2145"/>
      <c r="AA67" s="2145"/>
      <c r="AB67" s="2145"/>
      <c r="AC67" s="2145"/>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6"/>
      <c r="O68" s="2166"/>
      <c r="P68" s="2165"/>
      <c r="Q68" s="2158"/>
      <c r="R68" s="2145"/>
      <c r="S68" s="2145"/>
      <c r="T68" s="2145"/>
      <c r="U68" s="2145"/>
      <c r="V68" s="2145"/>
      <c r="W68" s="2145"/>
      <c r="X68" s="2145"/>
      <c r="Y68" s="2145"/>
      <c r="Z68" s="2145"/>
      <c r="AA68" s="2145"/>
      <c r="AB68" s="2145"/>
      <c r="AC68" s="2145"/>
    </row>
    <row r="69" spans="1:29" ht="15.75" thickTop="1">
      <c r="A69" s="667"/>
      <c r="B69" s="671" t="s">
        <v>745</v>
      </c>
      <c r="C69" s="686"/>
      <c r="D69" s="686"/>
      <c r="E69" s="686"/>
      <c r="F69" s="686"/>
      <c r="G69" s="686"/>
      <c r="H69" s="716"/>
      <c r="I69" s="716"/>
      <c r="J69" s="716"/>
      <c r="K69" s="717"/>
      <c r="L69" s="718"/>
      <c r="M69" s="719"/>
      <c r="N69" s="2164"/>
      <c r="O69" s="2164"/>
      <c r="P69" s="2165"/>
      <c r="Q69" s="2158"/>
      <c r="R69" s="2145"/>
      <c r="S69" s="2145"/>
      <c r="T69" s="2145"/>
      <c r="U69" s="2145"/>
      <c r="V69" s="2145"/>
      <c r="W69" s="2145"/>
      <c r="X69" s="2145"/>
      <c r="Y69" s="2145"/>
      <c r="Z69" s="2145"/>
      <c r="AA69" s="2145"/>
      <c r="AB69" s="2145"/>
      <c r="AC69" s="2145"/>
    </row>
    <row r="70" spans="1:29" ht="15.75" thickBot="1">
      <c r="A70" s="667"/>
      <c r="B70" s="676"/>
      <c r="C70" s="677">
        <v>100</v>
      </c>
      <c r="D70" s="677">
        <f>C70-$K22</f>
        <v>100</v>
      </c>
      <c r="E70" s="677"/>
      <c r="F70" s="677"/>
      <c r="G70" s="677"/>
      <c r="H70" s="677"/>
      <c r="I70" s="677"/>
      <c r="J70" s="677"/>
      <c r="K70" s="677"/>
      <c r="L70" s="677"/>
      <c r="M70" s="678"/>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7"/>
      <c r="B71" s="671">
        <f>B23</f>
        <v>111</v>
      </c>
      <c r="C71" s="539"/>
      <c r="D71" s="539"/>
      <c r="E71" s="539"/>
      <c r="F71" s="539"/>
      <c r="G71" s="686"/>
      <c r="H71" s="686"/>
      <c r="I71" s="686"/>
      <c r="J71" s="686"/>
      <c r="K71" s="686"/>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7"/>
      <c r="B72" s="676"/>
      <c r="C72" s="690"/>
      <c r="D72" s="669"/>
      <c r="E72" s="669"/>
      <c r="F72" s="669"/>
      <c r="G72" s="669"/>
      <c r="H72" s="669"/>
      <c r="I72" s="669"/>
      <c r="J72" s="669"/>
      <c r="K72" s="669"/>
      <c r="L72" s="669"/>
      <c r="M72" s="670"/>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7"/>
      <c r="B73" s="671">
        <f>B24</f>
        <v>111</v>
      </c>
      <c r="C73" s="539"/>
      <c r="D73" s="539"/>
      <c r="E73" s="539"/>
      <c r="F73" s="539"/>
      <c r="G73" s="686"/>
      <c r="H73" s="686"/>
      <c r="I73" s="686"/>
      <c r="J73" s="686"/>
      <c r="K73" s="686"/>
      <c r="L73" s="686"/>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7"/>
      <c r="B74" s="676"/>
      <c r="C74" s="690"/>
      <c r="D74" s="669"/>
      <c r="E74" s="669"/>
      <c r="F74" s="669"/>
      <c r="G74" s="669"/>
      <c r="H74" s="669"/>
      <c r="I74" s="669"/>
      <c r="J74" s="669"/>
      <c r="K74" s="669"/>
      <c r="L74" s="669"/>
      <c r="M74" s="670"/>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5"/>
      <c r="B75" s="671">
        <f>B25</f>
        <v>111</v>
      </c>
      <c r="C75" s="539"/>
      <c r="D75" s="539"/>
      <c r="E75" s="539"/>
      <c r="F75" s="539"/>
      <c r="G75" s="686"/>
      <c r="H75" s="687"/>
      <c r="I75" s="687"/>
      <c r="J75" s="687"/>
      <c r="K75" s="687"/>
      <c r="L75" s="688"/>
      <c r="M75" s="689"/>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5"/>
      <c r="B76" s="676"/>
      <c r="C76" s="690"/>
      <c r="D76" s="690"/>
      <c r="E76" s="690"/>
      <c r="F76" s="690"/>
      <c r="G76" s="669"/>
      <c r="H76" s="669"/>
      <c r="I76" s="669"/>
      <c r="J76" s="669"/>
      <c r="K76" s="669"/>
      <c r="L76" s="669"/>
      <c r="M76" s="670"/>
      <c r="N76" s="2167"/>
      <c r="O76" s="2167"/>
      <c r="P76" s="2168"/>
      <c r="Q76" s="2169"/>
      <c r="R76" s="2170"/>
      <c r="S76" s="2170"/>
      <c r="T76" s="2170"/>
      <c r="U76" s="2170"/>
      <c r="V76" s="2170"/>
      <c r="W76" s="2170"/>
      <c r="X76" s="2170"/>
      <c r="Y76" s="2170"/>
      <c r="Z76" s="2170"/>
      <c r="AA76" s="2170"/>
      <c r="AB76" s="2170"/>
      <c r="AC76" s="2170"/>
    </row>
    <row r="77" spans="1:29" ht="15" thickTop="1">
      <c r="A77" s="662" t="s">
        <v>551</v>
      </c>
      <c r="B77" s="663" t="s">
        <v>751</v>
      </c>
      <c r="C77" s="686"/>
      <c r="D77" s="686"/>
      <c r="E77" s="596"/>
      <c r="F77" s="596"/>
      <c r="G77" s="596"/>
      <c r="H77" s="596"/>
      <c r="I77" s="596"/>
      <c r="J77" s="596"/>
      <c r="K77" s="664"/>
      <c r="L77" s="665"/>
      <c r="M77" s="666"/>
      <c r="N77" s="2164"/>
      <c r="O77" s="2164"/>
      <c r="P77" s="2165"/>
      <c r="Q77" s="2158"/>
      <c r="R77" s="2145"/>
      <c r="S77" s="2145"/>
      <c r="T77" s="2145"/>
      <c r="U77" s="2145"/>
      <c r="V77" s="2145"/>
      <c r="W77" s="2145"/>
      <c r="X77" s="2145"/>
      <c r="Y77" s="2145"/>
      <c r="Z77" s="2145"/>
      <c r="AA77" s="2145"/>
      <c r="AB77" s="2145"/>
      <c r="AC77" s="2145"/>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2"/>
      <c r="O79" s="2162"/>
      <c r="P79" s="2165"/>
      <c r="Q79" s="2158"/>
      <c r="R79" s="2145"/>
      <c r="S79" s="2145"/>
      <c r="T79" s="2145"/>
      <c r="U79" s="2145"/>
      <c r="V79" s="2145"/>
      <c r="W79" s="2145"/>
      <c r="X79" s="2145"/>
      <c r="Y79" s="2145"/>
      <c r="Z79" s="2145"/>
      <c r="AA79" s="2145"/>
      <c r="AB79" s="2145"/>
      <c r="AC79" s="2145"/>
    </row>
    <row r="80" spans="1:29" ht="15">
      <c r="A80" s="667"/>
      <c r="B80" s="679"/>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3"/>
      <c r="B82" s="679" t="s">
        <v>817</v>
      </c>
      <c r="C82" s="686"/>
      <c r="D82" s="686"/>
      <c r="E82" s="716"/>
      <c r="F82" s="716"/>
      <c r="G82" s="716"/>
      <c r="H82" s="716"/>
      <c r="I82" s="716"/>
      <c r="J82" s="716"/>
      <c r="K82" s="717"/>
      <c r="L82" s="718"/>
      <c r="M82" s="719"/>
      <c r="N82" s="2164"/>
      <c r="O82" s="2164"/>
      <c r="P82" s="2165"/>
      <c r="Q82" s="2158"/>
      <c r="R82" s="2145"/>
      <c r="S82" s="2145"/>
      <c r="T82" s="2145"/>
      <c r="U82" s="2145"/>
      <c r="V82" s="2145"/>
      <c r="W82" s="2145"/>
      <c r="X82" s="2145"/>
      <c r="Y82" s="2145"/>
      <c r="Z82" s="2145"/>
      <c r="AA82" s="2145"/>
      <c r="AB82" s="2145"/>
      <c r="AC82" s="2145"/>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3"/>
      <c r="B84" s="671" t="s">
        <v>825</v>
      </c>
      <c r="C84" s="686"/>
      <c r="D84" s="686"/>
      <c r="E84" s="686"/>
      <c r="F84" s="686"/>
      <c r="G84" s="686"/>
      <c r="H84" s="686"/>
      <c r="I84" s="716"/>
      <c r="J84" s="716"/>
      <c r="K84" s="717"/>
      <c r="L84" s="718"/>
      <c r="M84" s="719"/>
      <c r="N84" s="2164"/>
      <c r="O84" s="2164"/>
      <c r="P84" s="2165"/>
      <c r="Q84" s="2158"/>
      <c r="R84" s="2145"/>
      <c r="S84" s="2145"/>
      <c r="T84" s="2145"/>
      <c r="U84" s="2145"/>
      <c r="V84" s="2145"/>
      <c r="W84" s="2145"/>
      <c r="X84" s="2145"/>
      <c r="Y84" s="2145"/>
      <c r="Z84" s="2145"/>
      <c r="AA84" s="2145"/>
      <c r="AB84" s="2145"/>
      <c r="AC84" s="2145"/>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4"/>
      <c r="O86" s="2164"/>
      <c r="P86" s="2165"/>
      <c r="Q86" s="2158"/>
      <c r="R86" s="2145"/>
      <c r="S86" s="2145"/>
      <c r="T86" s="2145"/>
      <c r="U86" s="2145"/>
      <c r="V86" s="2145"/>
      <c r="W86" s="2145"/>
      <c r="X86" s="2145"/>
      <c r="Y86" s="2145"/>
      <c r="Z86" s="2145"/>
      <c r="AA86" s="2145"/>
      <c r="AB86" s="2145"/>
      <c r="AC86" s="2145"/>
    </row>
    <row r="87" spans="1:29">
      <c r="A87" s="733"/>
      <c r="B87" s="679"/>
      <c r="C87" s="728"/>
      <c r="D87" s="728"/>
      <c r="E87" s="728"/>
      <c r="F87" s="728"/>
      <c r="G87" s="728"/>
      <c r="H87" s="728"/>
      <c r="I87" s="728"/>
      <c r="J87" s="729"/>
      <c r="K87" s="729"/>
      <c r="L87" s="730"/>
      <c r="M87" s="731"/>
      <c r="N87" s="2164"/>
      <c r="O87" s="2164"/>
      <c r="P87" s="2165"/>
      <c r="Q87" s="2158"/>
      <c r="R87" s="2145"/>
      <c r="S87" s="2145"/>
      <c r="T87" s="2145"/>
      <c r="U87" s="2145"/>
      <c r="V87" s="2145"/>
      <c r="W87" s="2145"/>
      <c r="X87" s="2145"/>
      <c r="Y87" s="2145"/>
      <c r="Z87" s="2145"/>
      <c r="AA87" s="2145"/>
      <c r="AB87" s="2145"/>
      <c r="AC87" s="2145"/>
    </row>
    <row r="88" spans="1:29" ht="15.75" thickBot="1">
      <c r="A88" s="667"/>
      <c r="B88" s="676"/>
      <c r="C88" s="690"/>
      <c r="D88" s="669"/>
      <c r="E88" s="669"/>
      <c r="F88" s="669"/>
      <c r="G88" s="669"/>
      <c r="H88" s="669"/>
      <c r="I88" s="669"/>
      <c r="J88" s="669"/>
      <c r="K88" s="669"/>
      <c r="L88" s="669"/>
      <c r="M88" s="669"/>
      <c r="N88" s="2166"/>
      <c r="O88" s="2166"/>
      <c r="P88" s="2165"/>
      <c r="Q88" s="2158"/>
      <c r="R88" s="2145"/>
      <c r="S88" s="2145"/>
      <c r="T88" s="2145"/>
      <c r="U88" s="2145"/>
      <c r="V88" s="2145"/>
      <c r="W88" s="2145"/>
      <c r="X88" s="2145"/>
      <c r="Y88" s="2145"/>
      <c r="Z88" s="2145"/>
      <c r="AA88" s="2145"/>
      <c r="AB88" s="2145"/>
      <c r="AC88" s="2145"/>
    </row>
    <row r="89" spans="1:29" s="1337" customFormat="1" ht="15" thickTop="1">
      <c r="A89" s="726"/>
      <c r="B89" s="671" t="s">
        <v>827</v>
      </c>
      <c r="C89" s="686"/>
      <c r="D89" s="686"/>
      <c r="E89" s="686"/>
      <c r="F89" s="686"/>
      <c r="G89" s="686"/>
      <c r="H89" s="686"/>
      <c r="I89" s="686"/>
      <c r="J89" s="686"/>
      <c r="K89" s="686"/>
      <c r="L89" s="686"/>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5"/>
      <c r="B90" s="676"/>
      <c r="C90" s="690"/>
      <c r="D90" s="669"/>
      <c r="E90" s="669"/>
      <c r="F90" s="669"/>
      <c r="G90" s="669"/>
      <c r="H90" s="669"/>
      <c r="I90" s="669"/>
      <c r="J90" s="669"/>
      <c r="K90" s="669"/>
      <c r="L90" s="669"/>
      <c r="M90" s="670"/>
      <c r="N90" s="2167"/>
      <c r="O90" s="2167"/>
      <c r="P90" s="2168"/>
      <c r="Q90" s="2169"/>
      <c r="R90" s="2170"/>
      <c r="S90" s="2170"/>
      <c r="T90" s="2170"/>
      <c r="U90" s="2170"/>
      <c r="V90" s="2170"/>
      <c r="W90" s="2170"/>
      <c r="X90" s="2170"/>
      <c r="Y90" s="2170"/>
      <c r="Z90" s="2170"/>
      <c r="AA90" s="2170"/>
      <c r="AB90" s="2170"/>
      <c r="AC90" s="2170"/>
    </row>
    <row r="91" spans="1:29" ht="15" thickTop="1">
      <c r="A91" s="733"/>
      <c r="B91" s="671">
        <f>B32</f>
        <v>111</v>
      </c>
      <c r="C91" s="539"/>
      <c r="D91" s="539"/>
      <c r="E91" s="539"/>
      <c r="F91" s="539"/>
      <c r="G91" s="686"/>
      <c r="H91" s="687"/>
      <c r="I91" s="687"/>
      <c r="J91" s="687"/>
      <c r="K91" s="687"/>
      <c r="L91" s="688"/>
      <c r="M91" s="689"/>
      <c r="N91" s="2164"/>
      <c r="O91" s="2164"/>
      <c r="P91" s="2165"/>
      <c r="Q91" s="2158"/>
      <c r="R91" s="2145"/>
      <c r="S91" s="2145"/>
      <c r="T91" s="2145"/>
      <c r="U91" s="2145"/>
      <c r="V91" s="2145"/>
      <c r="W91" s="2145"/>
      <c r="X91" s="2145"/>
      <c r="Y91" s="2145"/>
      <c r="Z91" s="2145"/>
      <c r="AA91" s="2145"/>
      <c r="AB91" s="2145"/>
      <c r="AC91" s="2145"/>
    </row>
    <row r="92" spans="1:29" ht="15.75" thickBot="1">
      <c r="A92" s="667"/>
      <c r="B92" s="676"/>
      <c r="C92" s="690"/>
      <c r="D92" s="669"/>
      <c r="E92" s="669"/>
      <c r="F92" s="669"/>
      <c r="G92" s="690"/>
      <c r="H92" s="691"/>
      <c r="I92" s="691"/>
      <c r="J92" s="691"/>
      <c r="K92" s="691"/>
      <c r="L92" s="691"/>
      <c r="M92" s="692"/>
      <c r="N92" s="2166"/>
      <c r="O92" s="2166"/>
      <c r="P92" s="2165"/>
      <c r="Q92" s="2158"/>
      <c r="R92" s="2145"/>
      <c r="S92" s="2145"/>
      <c r="T92" s="2145"/>
      <c r="U92" s="2145"/>
      <c r="V92" s="2145"/>
      <c r="W92" s="2145"/>
      <c r="X92" s="2145"/>
      <c r="Y92" s="2145"/>
      <c r="Z92" s="2145"/>
      <c r="AA92" s="2145"/>
      <c r="AB92" s="2145"/>
      <c r="AC92" s="2145"/>
    </row>
    <row r="93" spans="1:29" ht="15" thickTop="1">
      <c r="A93" s="733"/>
      <c r="B93" s="671">
        <f>B33</f>
        <v>111</v>
      </c>
      <c r="C93" s="539"/>
      <c r="D93" s="539"/>
      <c r="E93" s="539"/>
      <c r="F93" s="539"/>
      <c r="G93" s="686"/>
      <c r="H93" s="687"/>
      <c r="I93" s="687"/>
      <c r="J93" s="687"/>
      <c r="K93" s="687"/>
      <c r="L93" s="688"/>
      <c r="M93" s="689"/>
      <c r="N93" s="2164"/>
      <c r="O93" s="2164"/>
      <c r="P93" s="2165"/>
      <c r="Q93" s="2158"/>
      <c r="R93" s="2145"/>
      <c r="S93" s="2145"/>
      <c r="T93" s="2145"/>
      <c r="U93" s="2145"/>
      <c r="V93" s="2145"/>
      <c r="W93" s="2145"/>
      <c r="X93" s="2145"/>
      <c r="Y93" s="2145"/>
      <c r="Z93" s="2145"/>
      <c r="AA93" s="2145"/>
      <c r="AB93" s="2145"/>
      <c r="AC93" s="2145"/>
    </row>
    <row r="94" spans="1:29" ht="15.75" thickBot="1">
      <c r="A94" s="667"/>
      <c r="B94" s="676"/>
      <c r="C94" s="690"/>
      <c r="D94" s="669"/>
      <c r="E94" s="669"/>
      <c r="F94" s="669"/>
      <c r="G94" s="690"/>
      <c r="H94" s="691"/>
      <c r="I94" s="691"/>
      <c r="J94" s="691"/>
      <c r="K94" s="691"/>
      <c r="L94" s="691"/>
      <c r="M94" s="692"/>
      <c r="N94" s="2166"/>
      <c r="O94" s="2166"/>
      <c r="P94" s="2165"/>
      <c r="Q94" s="2158"/>
      <c r="R94" s="2145"/>
      <c r="S94" s="2145"/>
      <c r="T94" s="2145"/>
      <c r="U94" s="2145"/>
      <c r="V94" s="2145"/>
      <c r="W94" s="2145"/>
      <c r="X94" s="2145"/>
      <c r="Y94" s="2145"/>
      <c r="Z94" s="2145"/>
      <c r="AA94" s="2145"/>
      <c r="AB94" s="2145"/>
      <c r="AC94" s="2145"/>
    </row>
    <row r="95" spans="1:29" ht="15" thickTop="1">
      <c r="A95" s="733"/>
      <c r="B95" s="915">
        <f>B34</f>
        <v>111</v>
      </c>
      <c r="C95" s="539"/>
      <c r="D95" s="539"/>
      <c r="E95" s="539"/>
      <c r="F95" s="539"/>
      <c r="G95" s="686"/>
      <c r="H95" s="687"/>
      <c r="I95" s="687"/>
      <c r="J95" s="687"/>
      <c r="K95" s="687"/>
      <c r="L95" s="688"/>
      <c r="M95" s="689"/>
      <c r="N95" s="2166"/>
      <c r="O95" s="2166"/>
      <c r="P95" s="2205"/>
      <c r="Q95" s="2206"/>
      <c r="R95" s="2145"/>
      <c r="S95" s="2145"/>
      <c r="T95" s="2145"/>
      <c r="U95" s="2145"/>
      <c r="V95" s="2145"/>
      <c r="W95" s="2145"/>
      <c r="X95" s="2145"/>
      <c r="Y95" s="2145"/>
      <c r="Z95" s="2145"/>
      <c r="AA95" s="2145"/>
      <c r="AB95" s="2145"/>
      <c r="AC95" s="2145"/>
    </row>
    <row r="96" spans="1:29" ht="15.75" thickBot="1">
      <c r="A96" s="667"/>
      <c r="B96" s="676"/>
      <c r="C96" s="690"/>
      <c r="D96" s="690"/>
      <c r="E96" s="690"/>
      <c r="F96" s="690"/>
      <c r="G96" s="690"/>
      <c r="H96" s="691"/>
      <c r="I96" s="691"/>
      <c r="J96" s="691"/>
      <c r="K96" s="691"/>
      <c r="L96" s="691"/>
      <c r="M96" s="692"/>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受贵公司委托，我公司对北京市出让国有建设用地使用权市场价格进行了预评估。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2079.07平方米。根据《建设工程规划许可证》[]、《出让合同》[]，估价对象规划建筑面积为10000平方米。</v>
      </c>
    </row>
    <row r="7" spans="1:4" ht="93.75">
      <c r="A7" s="2895" t="s">
        <v>2752</v>
      </c>
    </row>
    <row r="8" spans="1:4" ht="18.75">
      <c r="A8" s="1794" t="s">
        <v>1907</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2029</v>
      </c>
    </row>
    <row r="11" spans="1:4" ht="18.75">
      <c r="A11" s="1780" t="str">
        <f>TEXT(项目基本情况!D3,"yyyy年m月d日;;")&amp;IF(项目基本情况!B3=项目基本情况!D3,"（评估专业人员勘察现场之日）","")</f>
        <v>2018年5月10日</v>
      </c>
    </row>
    <row r="12" spans="1:4" ht="18.75">
      <c r="A12" s="1797" t="s">
        <v>2028</v>
      </c>
    </row>
    <row r="13" spans="1:4" ht="18.75">
      <c r="A13" s="1791" t="s">
        <v>2074</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2076</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根据《国有土地使用证》[]，估价对象（分摊）出让国有建设用地使用权面积为2079.07平方米。根据《建设工程规划许可证》[]、《出让合同》[]，估价对象规划建筑面积为10000平方米。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2077</v>
      </c>
    </row>
    <row r="23" spans="1:1" ht="18.75">
      <c r="A23" s="2897" t="s">
        <v>2753</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5"/>
    <col min="36" max="16384" width="9" style="1248"/>
  </cols>
  <sheetData>
    <row r="1" spans="1:45" s="255" customFormat="1" ht="14.25" customHeight="1" thickBot="1">
      <c r="A1" s="363"/>
      <c r="B1" s="2234" t="s">
        <v>2306</v>
      </c>
      <c r="C1" s="3623" t="s">
        <v>2307</v>
      </c>
      <c r="D1" s="3624"/>
      <c r="E1" s="3624"/>
      <c r="F1" s="3624"/>
      <c r="G1" s="3624"/>
      <c r="H1" s="3624"/>
      <c r="I1" s="3624"/>
      <c r="J1" s="3624"/>
      <c r="K1" s="3624"/>
      <c r="L1" s="3624"/>
      <c r="M1" s="3624"/>
      <c r="N1" s="3624"/>
      <c r="O1" s="3624"/>
      <c r="P1" s="3624"/>
      <c r="Q1" s="3624"/>
      <c r="R1" s="3624"/>
      <c r="S1" s="3625"/>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2" t="s">
        <v>2929</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4" t="s">
        <v>2928</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4" t="s">
        <v>2927</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3"/>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2"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2" t="s">
        <v>2926</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2" t="s">
        <v>2925</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09"/>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828</v>
      </c>
      <c r="B20" s="773">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829</v>
      </c>
      <c r="B21" s="773" t="e">
        <f>R22</f>
        <v>#DIV/0!</v>
      </c>
      <c r="C21" s="1990"/>
      <c r="D21" s="1990"/>
      <c r="E21" s="1990"/>
      <c r="F21" s="1990"/>
      <c r="G21" s="1990"/>
      <c r="H21" s="1990"/>
      <c r="I21" s="1990"/>
      <c r="J21" s="1990"/>
      <c r="K21" s="1990"/>
      <c r="L21" s="1990"/>
      <c r="M21" s="1990"/>
      <c r="N21" s="1990"/>
      <c r="O21" s="1990"/>
      <c r="P21" s="1990"/>
      <c r="Q21" s="1990"/>
      <c r="R21" s="2225"/>
      <c r="S21" s="2028"/>
    </row>
    <row r="22" spans="1:45">
      <c r="A22" s="797" t="s">
        <v>830</v>
      </c>
      <c r="B22" s="51">
        <f>SUM(B24:B10000)</f>
        <v>0</v>
      </c>
      <c r="C22" s="3620" t="s">
        <v>20</v>
      </c>
      <c r="D22" s="3621"/>
      <c r="E22" s="3621"/>
      <c r="F22" s="3621"/>
      <c r="G22" s="3621"/>
      <c r="H22" s="3621"/>
      <c r="I22" s="3621"/>
      <c r="J22" s="3621"/>
      <c r="K22" s="3621"/>
      <c r="L22" s="3621"/>
      <c r="M22" s="3621"/>
      <c r="N22" s="3621"/>
      <c r="O22" s="3621"/>
      <c r="P22" s="3621"/>
      <c r="Q22" s="3622"/>
      <c r="R22" s="488" t="e">
        <f>ROUND(S22*10000/B22,0)</f>
        <v>#DIV/0!</v>
      </c>
      <c r="S22" s="51">
        <f>SUM(S24:S10000)</f>
        <v>0</v>
      </c>
    </row>
    <row r="23" spans="1:45" s="16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489" t="s">
        <v>834</v>
      </c>
      <c r="S23" s="16" t="s">
        <v>835</v>
      </c>
      <c r="T23" s="17"/>
      <c r="U23" s="17"/>
      <c r="V23" s="17"/>
      <c r="W23" s="17"/>
      <c r="X23" s="17"/>
      <c r="Y23" s="17"/>
      <c r="Z23" s="17"/>
      <c r="AA23" s="17"/>
      <c r="AB23" s="17"/>
      <c r="AC23" s="17"/>
      <c r="AD23" s="17"/>
      <c r="AE23" s="17"/>
      <c r="AF23" s="17"/>
      <c r="AG23" s="17"/>
      <c r="AH23" s="17"/>
      <c r="AI23" s="17"/>
    </row>
    <row r="24" spans="1:45" s="1614" customFormat="1">
      <c r="A24" s="959" t="s">
        <v>836</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5"/>
      <c r="C25" s="51">
        <f>IF(B25="",1,(LOOKUP(B25,$3:$3,$4:$4)-LOOKUP($B$24,$3:$3,$4:$4)+100)/100)</f>
        <v>1</v>
      </c>
      <c r="D25" s="961"/>
      <c r="E25" s="51">
        <f>(SUMIF($5:$5,D25,$6:$6)-SUMIF($5:$5,$D$24,$6:$6)+100)/100</f>
        <v>1</v>
      </c>
      <c r="F25" s="961"/>
      <c r="G25" s="51">
        <f>(SUMIF($7:$7,F25,$8:$8)-SUMIF($7:$7,$F$24,$8:$8)+100)/100</f>
        <v>1</v>
      </c>
      <c r="H25" s="961"/>
      <c r="I25" s="51">
        <f>(SUMIF($9:$9,H25,$10:$10)-SUMIF($9:$9,$H$24,$10:$10)+100)/100</f>
        <v>1</v>
      </c>
      <c r="J25" s="961"/>
      <c r="K25" s="51">
        <f>(SUMIF($11:$11,J25,$12:$12)-SUMIF($11:$11,$J$24,$12:$12)+100)/100</f>
        <v>1</v>
      </c>
      <c r="L25" s="961"/>
      <c r="M25" s="51">
        <f>(SUMIF($13:$13,L25,$14:$14)-SUMIF($13:$13,$L$24,$14:$14)+100)/100</f>
        <v>1</v>
      </c>
      <c r="N25" s="961"/>
      <c r="O25" s="51">
        <f>(SUMIF($15:$15,N25,$16:$16)-SUMIF($15:$15,$N$24,$16:$16)+100)/100</f>
        <v>1</v>
      </c>
      <c r="P25" s="961"/>
      <c r="Q25" s="51">
        <f>(SUMIF($17:$17,P25,$18:$18)-SUMIF($17:$17,$P$24,$18:$18)+100)/100</f>
        <v>1</v>
      </c>
      <c r="R25" s="488">
        <f>IF(B25="",0,ROUND($R$24*C25*E25*G25*I25*K25*M25*O25*Q25,0))</f>
        <v>0</v>
      </c>
      <c r="S25" s="797">
        <f t="shared" si="11"/>
        <v>0</v>
      </c>
    </row>
    <row r="26" spans="1:45">
      <c r="A26" s="963"/>
      <c r="B26" s="135"/>
      <c r="C26" s="51">
        <f t="shared" ref="C26:C89" si="12">IF(B26="",1,(LOOKUP(B26,$3:$3,$4:$4)-LOOKUP($B$24,$3:$3,$4:$4)+100)/100)</f>
        <v>1</v>
      </c>
      <c r="D26" s="961"/>
      <c r="E26" s="51">
        <f t="shared" ref="E26:E89" si="13">(SUMIF($5:$5,D26,$6:$6)-SUMIF($5:$5,$D$24,$6:$6)+100)/100</f>
        <v>1</v>
      </c>
      <c r="F26" s="961"/>
      <c r="G26" s="51">
        <f t="shared" ref="G26:G89" si="14">(SUMIF($7:$7,F26,$8:$8)-SUMIF($7:$7,$F$24,$8:$8)+100)/100</f>
        <v>1</v>
      </c>
      <c r="H26" s="961"/>
      <c r="I26" s="51">
        <f t="shared" ref="I26:I89" si="15">(SUMIF($9:$9,H26,$10:$10)-SUMIF($9:$9,$H$24,$10:$10)+100)/100</f>
        <v>1</v>
      </c>
      <c r="J26" s="961"/>
      <c r="K26" s="51">
        <f t="shared" ref="K26:K89" si="16">(SUMIF($11:$11,J26,$12:$12)-SUMIF($11:$11,$J$24,$12:$12)+100)/100</f>
        <v>1</v>
      </c>
      <c r="L26" s="961"/>
      <c r="M26" s="51">
        <f t="shared" ref="M26:M89" si="17">(SUMIF($13:$13,L26,$14:$14)-SUMIF($13:$13,$L$24,$14:$14)+100)/100</f>
        <v>1</v>
      </c>
      <c r="N26" s="961"/>
      <c r="O26" s="51">
        <f t="shared" ref="O26:O89" si="18">(SUMIF($15:$15,N26,$16:$16)-SUMIF($15:$15,$N$24,$16:$16)+100)/100</f>
        <v>1</v>
      </c>
      <c r="P26" s="961"/>
      <c r="Q26" s="51">
        <f t="shared" ref="Q26:Q89" si="19">(SUMIF($17:$17,P26,$18:$18)-SUMIF($17:$17,$P$24,$18:$18)+100)/100</f>
        <v>1</v>
      </c>
      <c r="R26" s="488">
        <f t="shared" ref="R26:R89" si="20">IF(B26="",0,ROUND($R$24*C26*E26*G26*I26*K26*M26*O26*Q26,0))</f>
        <v>0</v>
      </c>
      <c r="S26" s="797">
        <f t="shared" si="11"/>
        <v>0</v>
      </c>
    </row>
    <row r="27" spans="1:45">
      <c r="A27" s="963"/>
      <c r="B27" s="135"/>
      <c r="C27" s="51">
        <f t="shared" si="12"/>
        <v>1</v>
      </c>
      <c r="D27" s="961"/>
      <c r="E27" s="51">
        <f t="shared" si="13"/>
        <v>1</v>
      </c>
      <c r="F27" s="961"/>
      <c r="G27" s="51">
        <f t="shared" si="14"/>
        <v>1</v>
      </c>
      <c r="H27" s="961"/>
      <c r="I27" s="51">
        <f t="shared" si="15"/>
        <v>1</v>
      </c>
      <c r="J27" s="961"/>
      <c r="K27" s="51">
        <f t="shared" si="16"/>
        <v>1</v>
      </c>
      <c r="L27" s="961"/>
      <c r="M27" s="51">
        <f t="shared" si="17"/>
        <v>1</v>
      </c>
      <c r="N27" s="961"/>
      <c r="O27" s="51">
        <f t="shared" si="18"/>
        <v>1</v>
      </c>
      <c r="P27" s="961"/>
      <c r="Q27" s="51">
        <f t="shared" si="19"/>
        <v>1</v>
      </c>
      <c r="R27" s="488">
        <f t="shared" si="20"/>
        <v>0</v>
      </c>
      <c r="S27" s="797">
        <f t="shared" si="11"/>
        <v>0</v>
      </c>
    </row>
    <row r="28" spans="1:45">
      <c r="A28" s="963"/>
      <c r="B28" s="135"/>
      <c r="C28" s="51">
        <f t="shared" si="12"/>
        <v>1</v>
      </c>
      <c r="D28" s="961"/>
      <c r="E28" s="51">
        <f t="shared" si="13"/>
        <v>1</v>
      </c>
      <c r="F28" s="961"/>
      <c r="G28" s="51">
        <f t="shared" si="14"/>
        <v>1</v>
      </c>
      <c r="H28" s="961"/>
      <c r="I28" s="51">
        <f t="shared" si="15"/>
        <v>1</v>
      </c>
      <c r="J28" s="961"/>
      <c r="K28" s="51">
        <f t="shared" si="16"/>
        <v>1</v>
      </c>
      <c r="L28" s="961"/>
      <c r="M28" s="51">
        <f t="shared" si="17"/>
        <v>1</v>
      </c>
      <c r="N28" s="961"/>
      <c r="O28" s="51">
        <f t="shared" si="18"/>
        <v>1</v>
      </c>
      <c r="P28" s="961"/>
      <c r="Q28" s="51">
        <f t="shared" si="19"/>
        <v>1</v>
      </c>
      <c r="R28" s="488">
        <f t="shared" si="20"/>
        <v>0</v>
      </c>
      <c r="S28" s="797">
        <f t="shared" si="11"/>
        <v>0</v>
      </c>
    </row>
    <row r="29" spans="1:45">
      <c r="A29" s="963"/>
      <c r="B29" s="135"/>
      <c r="C29" s="51">
        <f t="shared" si="12"/>
        <v>1</v>
      </c>
      <c r="D29" s="961"/>
      <c r="E29" s="51">
        <f t="shared" si="13"/>
        <v>1</v>
      </c>
      <c r="F29" s="961"/>
      <c r="G29" s="51">
        <f t="shared" si="14"/>
        <v>1</v>
      </c>
      <c r="H29" s="961"/>
      <c r="I29" s="51">
        <f t="shared" si="15"/>
        <v>1</v>
      </c>
      <c r="J29" s="961"/>
      <c r="K29" s="51">
        <f t="shared" si="16"/>
        <v>1</v>
      </c>
      <c r="L29" s="961"/>
      <c r="M29" s="51">
        <f t="shared" si="17"/>
        <v>1</v>
      </c>
      <c r="N29" s="961"/>
      <c r="O29" s="51">
        <f t="shared" si="18"/>
        <v>1</v>
      </c>
      <c r="P29" s="961"/>
      <c r="Q29" s="51">
        <f t="shared" si="19"/>
        <v>1</v>
      </c>
      <c r="R29" s="488">
        <f t="shared" si="20"/>
        <v>0</v>
      </c>
      <c r="S29" s="797">
        <f t="shared" si="11"/>
        <v>0</v>
      </c>
    </row>
    <row r="30" spans="1:45">
      <c r="A30" s="963"/>
      <c r="B30" s="135"/>
      <c r="C30" s="51">
        <f t="shared" si="12"/>
        <v>1</v>
      </c>
      <c r="D30" s="961"/>
      <c r="E30" s="51">
        <f t="shared" si="13"/>
        <v>1</v>
      </c>
      <c r="F30" s="961"/>
      <c r="G30" s="51">
        <f t="shared" si="14"/>
        <v>1</v>
      </c>
      <c r="H30" s="961"/>
      <c r="I30" s="51">
        <f t="shared" si="15"/>
        <v>1</v>
      </c>
      <c r="J30" s="961"/>
      <c r="K30" s="51">
        <f t="shared" si="16"/>
        <v>1</v>
      </c>
      <c r="L30" s="961"/>
      <c r="M30" s="51">
        <f t="shared" si="17"/>
        <v>1</v>
      </c>
      <c r="N30" s="961"/>
      <c r="O30" s="51">
        <f t="shared" si="18"/>
        <v>1</v>
      </c>
      <c r="P30" s="961"/>
      <c r="Q30" s="51">
        <f t="shared" si="19"/>
        <v>1</v>
      </c>
      <c r="R30" s="488">
        <f t="shared" si="20"/>
        <v>0</v>
      </c>
      <c r="S30" s="797">
        <f t="shared" si="11"/>
        <v>0</v>
      </c>
    </row>
    <row r="31" spans="1:45">
      <c r="A31" s="963"/>
      <c r="B31" s="135"/>
      <c r="C31" s="51">
        <f t="shared" si="12"/>
        <v>1</v>
      </c>
      <c r="D31" s="961"/>
      <c r="E31" s="51">
        <f t="shared" si="13"/>
        <v>1</v>
      </c>
      <c r="F31" s="961"/>
      <c r="G31" s="51">
        <f t="shared" si="14"/>
        <v>1</v>
      </c>
      <c r="H31" s="961"/>
      <c r="I31" s="51">
        <f t="shared" si="15"/>
        <v>1</v>
      </c>
      <c r="J31" s="961"/>
      <c r="K31" s="51">
        <f t="shared" si="16"/>
        <v>1</v>
      </c>
      <c r="L31" s="961"/>
      <c r="M31" s="51">
        <f t="shared" si="17"/>
        <v>1</v>
      </c>
      <c r="N31" s="961"/>
      <c r="O31" s="51">
        <f t="shared" si="18"/>
        <v>1</v>
      </c>
      <c r="P31" s="961"/>
      <c r="Q31" s="51">
        <f t="shared" si="19"/>
        <v>1</v>
      </c>
      <c r="R31" s="488">
        <f t="shared" si="20"/>
        <v>0</v>
      </c>
      <c r="S31" s="797">
        <f t="shared" si="11"/>
        <v>0</v>
      </c>
    </row>
    <row r="32" spans="1:45">
      <c r="A32" s="963"/>
      <c r="B32" s="135"/>
      <c r="C32" s="51">
        <f t="shared" si="12"/>
        <v>1</v>
      </c>
      <c r="D32" s="961"/>
      <c r="E32" s="51">
        <f t="shared" si="13"/>
        <v>1</v>
      </c>
      <c r="F32" s="961"/>
      <c r="G32" s="51">
        <f t="shared" si="14"/>
        <v>1</v>
      </c>
      <c r="H32" s="961"/>
      <c r="I32" s="51">
        <f t="shared" si="15"/>
        <v>1</v>
      </c>
      <c r="J32" s="961"/>
      <c r="K32" s="51">
        <f t="shared" si="16"/>
        <v>1</v>
      </c>
      <c r="L32" s="961"/>
      <c r="M32" s="51">
        <f t="shared" si="17"/>
        <v>1</v>
      </c>
      <c r="N32" s="961"/>
      <c r="O32" s="51">
        <f t="shared" si="18"/>
        <v>1</v>
      </c>
      <c r="P32" s="961"/>
      <c r="Q32" s="51">
        <f t="shared" si="19"/>
        <v>1</v>
      </c>
      <c r="R32" s="488">
        <f t="shared" si="20"/>
        <v>0</v>
      </c>
      <c r="S32" s="797">
        <f t="shared" si="11"/>
        <v>0</v>
      </c>
    </row>
    <row r="33" spans="1:19">
      <c r="A33" s="963"/>
      <c r="B33" s="135"/>
      <c r="C33" s="51">
        <f t="shared" si="12"/>
        <v>1</v>
      </c>
      <c r="D33" s="961"/>
      <c r="E33" s="51">
        <f t="shared" si="13"/>
        <v>1</v>
      </c>
      <c r="F33" s="961"/>
      <c r="G33" s="51">
        <f t="shared" si="14"/>
        <v>1</v>
      </c>
      <c r="H33" s="961"/>
      <c r="I33" s="51">
        <f t="shared" si="15"/>
        <v>1</v>
      </c>
      <c r="J33" s="961"/>
      <c r="K33" s="51">
        <f t="shared" si="16"/>
        <v>1</v>
      </c>
      <c r="L33" s="961"/>
      <c r="M33" s="51">
        <f t="shared" si="17"/>
        <v>1</v>
      </c>
      <c r="N33" s="961"/>
      <c r="O33" s="51">
        <f t="shared" si="18"/>
        <v>1</v>
      </c>
      <c r="P33" s="961"/>
      <c r="Q33" s="51">
        <f t="shared" si="19"/>
        <v>1</v>
      </c>
      <c r="R33" s="488">
        <f t="shared" si="20"/>
        <v>0</v>
      </c>
      <c r="S33" s="797">
        <f t="shared" si="11"/>
        <v>0</v>
      </c>
    </row>
    <row r="34" spans="1:19">
      <c r="A34" s="963"/>
      <c r="B34" s="135"/>
      <c r="C34" s="51">
        <f t="shared" si="12"/>
        <v>1</v>
      </c>
      <c r="D34" s="961"/>
      <c r="E34" s="51">
        <f t="shared" si="13"/>
        <v>1</v>
      </c>
      <c r="F34" s="961"/>
      <c r="G34" s="51">
        <f t="shared" si="14"/>
        <v>1</v>
      </c>
      <c r="H34" s="961"/>
      <c r="I34" s="51">
        <f t="shared" si="15"/>
        <v>1</v>
      </c>
      <c r="J34" s="961"/>
      <c r="K34" s="51">
        <f t="shared" si="16"/>
        <v>1</v>
      </c>
      <c r="L34" s="961"/>
      <c r="M34" s="51">
        <f t="shared" si="17"/>
        <v>1</v>
      </c>
      <c r="N34" s="961"/>
      <c r="O34" s="51">
        <f t="shared" si="18"/>
        <v>1</v>
      </c>
      <c r="P34" s="961"/>
      <c r="Q34" s="51">
        <f t="shared" si="19"/>
        <v>1</v>
      </c>
      <c r="R34" s="488">
        <f t="shared" si="20"/>
        <v>0</v>
      </c>
      <c r="S34" s="797">
        <f t="shared" si="11"/>
        <v>0</v>
      </c>
    </row>
    <row r="35" spans="1:19">
      <c r="A35" s="963"/>
      <c r="B35" s="135"/>
      <c r="C35" s="51">
        <f t="shared" si="12"/>
        <v>1</v>
      </c>
      <c r="D35" s="961"/>
      <c r="E35" s="51">
        <f t="shared" si="13"/>
        <v>1</v>
      </c>
      <c r="F35" s="961"/>
      <c r="G35" s="51">
        <f t="shared" si="14"/>
        <v>1</v>
      </c>
      <c r="H35" s="961"/>
      <c r="I35" s="51">
        <f t="shared" si="15"/>
        <v>1</v>
      </c>
      <c r="J35" s="961"/>
      <c r="K35" s="51">
        <f t="shared" si="16"/>
        <v>1</v>
      </c>
      <c r="L35" s="961"/>
      <c r="M35" s="51">
        <f t="shared" si="17"/>
        <v>1</v>
      </c>
      <c r="N35" s="961"/>
      <c r="O35" s="51">
        <f t="shared" si="18"/>
        <v>1</v>
      </c>
      <c r="P35" s="961"/>
      <c r="Q35" s="51">
        <f t="shared" si="19"/>
        <v>1</v>
      </c>
      <c r="R35" s="488">
        <f t="shared" si="20"/>
        <v>0</v>
      </c>
      <c r="S35" s="797">
        <f t="shared" si="11"/>
        <v>0</v>
      </c>
    </row>
    <row r="36" spans="1:19">
      <c r="A36" s="963"/>
      <c r="B36" s="135"/>
      <c r="C36" s="51">
        <f t="shared" si="12"/>
        <v>1</v>
      </c>
      <c r="D36" s="961"/>
      <c r="E36" s="51">
        <f t="shared" si="13"/>
        <v>1</v>
      </c>
      <c r="F36" s="961"/>
      <c r="G36" s="51">
        <f t="shared" si="14"/>
        <v>1</v>
      </c>
      <c r="H36" s="961"/>
      <c r="I36" s="51">
        <f t="shared" si="15"/>
        <v>1</v>
      </c>
      <c r="J36" s="961"/>
      <c r="K36" s="51">
        <f t="shared" si="16"/>
        <v>1</v>
      </c>
      <c r="L36" s="961"/>
      <c r="M36" s="51">
        <f t="shared" si="17"/>
        <v>1</v>
      </c>
      <c r="N36" s="961"/>
      <c r="O36" s="51">
        <f t="shared" si="18"/>
        <v>1</v>
      </c>
      <c r="P36" s="961"/>
      <c r="Q36" s="51">
        <f t="shared" si="19"/>
        <v>1</v>
      </c>
      <c r="R36" s="488">
        <f t="shared" si="20"/>
        <v>0</v>
      </c>
      <c r="S36" s="797">
        <f t="shared" si="11"/>
        <v>0</v>
      </c>
    </row>
    <row r="37" spans="1:19">
      <c r="A37" s="963"/>
      <c r="B37" s="135"/>
      <c r="C37" s="51">
        <f t="shared" si="12"/>
        <v>1</v>
      </c>
      <c r="D37" s="961"/>
      <c r="E37" s="51">
        <f t="shared" si="13"/>
        <v>1</v>
      </c>
      <c r="F37" s="961"/>
      <c r="G37" s="51">
        <f t="shared" si="14"/>
        <v>1</v>
      </c>
      <c r="H37" s="961"/>
      <c r="I37" s="51">
        <f t="shared" si="15"/>
        <v>1</v>
      </c>
      <c r="J37" s="961"/>
      <c r="K37" s="51">
        <f t="shared" si="16"/>
        <v>1</v>
      </c>
      <c r="L37" s="961"/>
      <c r="M37" s="51">
        <f t="shared" si="17"/>
        <v>1</v>
      </c>
      <c r="N37" s="961"/>
      <c r="O37" s="51">
        <f t="shared" si="18"/>
        <v>1</v>
      </c>
      <c r="P37" s="961"/>
      <c r="Q37" s="51">
        <f t="shared" si="19"/>
        <v>1</v>
      </c>
      <c r="R37" s="488">
        <f t="shared" si="20"/>
        <v>0</v>
      </c>
      <c r="S37" s="797">
        <f t="shared" si="11"/>
        <v>0</v>
      </c>
    </row>
    <row r="38" spans="1:19">
      <c r="A38" s="963"/>
      <c r="B38" s="135"/>
      <c r="C38" s="51">
        <f t="shared" si="12"/>
        <v>1</v>
      </c>
      <c r="D38" s="961"/>
      <c r="E38" s="51">
        <f t="shared" si="13"/>
        <v>1</v>
      </c>
      <c r="F38" s="961"/>
      <c r="G38" s="51">
        <f t="shared" si="14"/>
        <v>1</v>
      </c>
      <c r="H38" s="961"/>
      <c r="I38" s="51">
        <f t="shared" si="15"/>
        <v>1</v>
      </c>
      <c r="J38" s="961"/>
      <c r="K38" s="51">
        <f t="shared" si="16"/>
        <v>1</v>
      </c>
      <c r="L38" s="961"/>
      <c r="M38" s="51">
        <f t="shared" si="17"/>
        <v>1</v>
      </c>
      <c r="N38" s="961"/>
      <c r="O38" s="51">
        <f t="shared" si="18"/>
        <v>1</v>
      </c>
      <c r="P38" s="961"/>
      <c r="Q38" s="51">
        <f t="shared" si="19"/>
        <v>1</v>
      </c>
      <c r="R38" s="488">
        <f t="shared" si="20"/>
        <v>0</v>
      </c>
      <c r="S38" s="797">
        <f t="shared" si="11"/>
        <v>0</v>
      </c>
    </row>
    <row r="39" spans="1:19">
      <c r="A39" s="963"/>
      <c r="B39" s="135"/>
      <c r="C39" s="51">
        <f t="shared" si="12"/>
        <v>1</v>
      </c>
      <c r="D39" s="961"/>
      <c r="E39" s="51">
        <f t="shared" si="13"/>
        <v>1</v>
      </c>
      <c r="F39" s="961"/>
      <c r="G39" s="51">
        <f t="shared" si="14"/>
        <v>1</v>
      </c>
      <c r="H39" s="961"/>
      <c r="I39" s="51">
        <f t="shared" si="15"/>
        <v>1</v>
      </c>
      <c r="J39" s="961"/>
      <c r="K39" s="51">
        <f t="shared" si="16"/>
        <v>1</v>
      </c>
      <c r="L39" s="961"/>
      <c r="M39" s="51">
        <f t="shared" si="17"/>
        <v>1</v>
      </c>
      <c r="N39" s="961"/>
      <c r="O39" s="51">
        <f t="shared" si="18"/>
        <v>1</v>
      </c>
      <c r="P39" s="961"/>
      <c r="Q39" s="51">
        <f t="shared" si="19"/>
        <v>1</v>
      </c>
      <c r="R39" s="488">
        <f t="shared" si="20"/>
        <v>0</v>
      </c>
      <c r="S39" s="797">
        <f t="shared" si="11"/>
        <v>0</v>
      </c>
    </row>
    <row r="40" spans="1:19">
      <c r="A40" s="963"/>
      <c r="B40" s="135"/>
      <c r="C40" s="51">
        <f t="shared" si="12"/>
        <v>1</v>
      </c>
      <c r="D40" s="961"/>
      <c r="E40" s="51">
        <f t="shared" si="13"/>
        <v>1</v>
      </c>
      <c r="F40" s="961"/>
      <c r="G40" s="51">
        <f t="shared" si="14"/>
        <v>1</v>
      </c>
      <c r="H40" s="961"/>
      <c r="I40" s="51">
        <f t="shared" si="15"/>
        <v>1</v>
      </c>
      <c r="J40" s="961"/>
      <c r="K40" s="51">
        <f t="shared" si="16"/>
        <v>1</v>
      </c>
      <c r="L40" s="961"/>
      <c r="M40" s="51">
        <f t="shared" si="17"/>
        <v>1</v>
      </c>
      <c r="N40" s="961"/>
      <c r="O40" s="51">
        <f t="shared" si="18"/>
        <v>1</v>
      </c>
      <c r="P40" s="961"/>
      <c r="Q40" s="51">
        <f t="shared" si="19"/>
        <v>1</v>
      </c>
      <c r="R40" s="488">
        <f t="shared" si="20"/>
        <v>0</v>
      </c>
      <c r="S40" s="797">
        <f t="shared" si="11"/>
        <v>0</v>
      </c>
    </row>
    <row r="41" spans="1:19">
      <c r="A41" s="963"/>
      <c r="B41" s="135"/>
      <c r="C41" s="51">
        <f t="shared" si="12"/>
        <v>1</v>
      </c>
      <c r="D41" s="961"/>
      <c r="E41" s="51">
        <f t="shared" si="13"/>
        <v>1</v>
      </c>
      <c r="F41" s="961"/>
      <c r="G41" s="51">
        <f t="shared" si="14"/>
        <v>1</v>
      </c>
      <c r="H41" s="961"/>
      <c r="I41" s="51">
        <f t="shared" si="15"/>
        <v>1</v>
      </c>
      <c r="J41" s="961"/>
      <c r="K41" s="51">
        <f t="shared" si="16"/>
        <v>1</v>
      </c>
      <c r="L41" s="961"/>
      <c r="M41" s="51">
        <f t="shared" si="17"/>
        <v>1</v>
      </c>
      <c r="N41" s="961"/>
      <c r="O41" s="51">
        <f t="shared" si="18"/>
        <v>1</v>
      </c>
      <c r="P41" s="961"/>
      <c r="Q41" s="51">
        <f t="shared" si="19"/>
        <v>1</v>
      </c>
      <c r="R41" s="488">
        <f t="shared" si="20"/>
        <v>0</v>
      </c>
      <c r="S41" s="797">
        <f t="shared" si="11"/>
        <v>0</v>
      </c>
    </row>
    <row r="42" spans="1:19">
      <c r="A42" s="963"/>
      <c r="B42" s="135"/>
      <c r="C42" s="51">
        <f t="shared" si="12"/>
        <v>1</v>
      </c>
      <c r="D42" s="961"/>
      <c r="E42" s="51">
        <f t="shared" si="13"/>
        <v>1</v>
      </c>
      <c r="F42" s="961"/>
      <c r="G42" s="51">
        <f t="shared" si="14"/>
        <v>1</v>
      </c>
      <c r="H42" s="961"/>
      <c r="I42" s="51">
        <f t="shared" si="15"/>
        <v>1</v>
      </c>
      <c r="J42" s="961"/>
      <c r="K42" s="51">
        <f t="shared" si="16"/>
        <v>1</v>
      </c>
      <c r="L42" s="961"/>
      <c r="M42" s="51">
        <f t="shared" si="17"/>
        <v>1</v>
      </c>
      <c r="N42" s="961"/>
      <c r="O42" s="51">
        <f t="shared" si="18"/>
        <v>1</v>
      </c>
      <c r="P42" s="961"/>
      <c r="Q42" s="51">
        <f t="shared" si="19"/>
        <v>1</v>
      </c>
      <c r="R42" s="488">
        <f t="shared" si="20"/>
        <v>0</v>
      </c>
      <c r="S42" s="797">
        <f t="shared" si="11"/>
        <v>0</v>
      </c>
    </row>
    <row r="43" spans="1:19">
      <c r="A43" s="963"/>
      <c r="B43" s="135"/>
      <c r="C43" s="51">
        <f t="shared" si="12"/>
        <v>1</v>
      </c>
      <c r="D43" s="961"/>
      <c r="E43" s="51">
        <f t="shared" si="13"/>
        <v>1</v>
      </c>
      <c r="F43" s="961"/>
      <c r="G43" s="51">
        <f t="shared" si="14"/>
        <v>1</v>
      </c>
      <c r="H43" s="961"/>
      <c r="I43" s="51">
        <f t="shared" si="15"/>
        <v>1</v>
      </c>
      <c r="J43" s="961"/>
      <c r="K43" s="51">
        <f t="shared" si="16"/>
        <v>1</v>
      </c>
      <c r="L43" s="961"/>
      <c r="M43" s="51">
        <f t="shared" si="17"/>
        <v>1</v>
      </c>
      <c r="N43" s="961"/>
      <c r="O43" s="51">
        <f t="shared" si="18"/>
        <v>1</v>
      </c>
      <c r="P43" s="961"/>
      <c r="Q43" s="51">
        <f t="shared" si="19"/>
        <v>1</v>
      </c>
      <c r="R43" s="488">
        <f t="shared" si="20"/>
        <v>0</v>
      </c>
      <c r="S43" s="797">
        <f t="shared" si="11"/>
        <v>0</v>
      </c>
    </row>
    <row r="44" spans="1:19">
      <c r="A44" s="963"/>
      <c r="B44" s="135"/>
      <c r="C44" s="51">
        <f t="shared" si="12"/>
        <v>1</v>
      </c>
      <c r="D44" s="961"/>
      <c r="E44" s="51">
        <f t="shared" si="13"/>
        <v>1</v>
      </c>
      <c r="F44" s="961"/>
      <c r="G44" s="51">
        <f t="shared" si="14"/>
        <v>1</v>
      </c>
      <c r="H44" s="961"/>
      <c r="I44" s="51">
        <f t="shared" si="15"/>
        <v>1</v>
      </c>
      <c r="J44" s="961"/>
      <c r="K44" s="51">
        <f t="shared" si="16"/>
        <v>1</v>
      </c>
      <c r="L44" s="961"/>
      <c r="M44" s="51">
        <f t="shared" si="17"/>
        <v>1</v>
      </c>
      <c r="N44" s="961"/>
      <c r="O44" s="51">
        <f t="shared" si="18"/>
        <v>1</v>
      </c>
      <c r="P44" s="961"/>
      <c r="Q44" s="51">
        <f t="shared" si="19"/>
        <v>1</v>
      </c>
      <c r="R44" s="488">
        <f t="shared" si="20"/>
        <v>0</v>
      </c>
      <c r="S44" s="797">
        <f t="shared" si="11"/>
        <v>0</v>
      </c>
    </row>
    <row r="45" spans="1:19">
      <c r="A45" s="963"/>
      <c r="B45" s="135"/>
      <c r="C45" s="51">
        <f t="shared" si="12"/>
        <v>1</v>
      </c>
      <c r="D45" s="961"/>
      <c r="E45" s="51">
        <f t="shared" si="13"/>
        <v>1</v>
      </c>
      <c r="F45" s="961"/>
      <c r="G45" s="51">
        <f t="shared" si="14"/>
        <v>1</v>
      </c>
      <c r="H45" s="961"/>
      <c r="I45" s="51">
        <f t="shared" si="15"/>
        <v>1</v>
      </c>
      <c r="J45" s="961"/>
      <c r="K45" s="51">
        <f t="shared" si="16"/>
        <v>1</v>
      </c>
      <c r="L45" s="961"/>
      <c r="M45" s="51">
        <f t="shared" si="17"/>
        <v>1</v>
      </c>
      <c r="N45" s="961"/>
      <c r="O45" s="51">
        <f t="shared" si="18"/>
        <v>1</v>
      </c>
      <c r="P45" s="961"/>
      <c r="Q45" s="51">
        <f t="shared" si="19"/>
        <v>1</v>
      </c>
      <c r="R45" s="488">
        <f t="shared" si="20"/>
        <v>0</v>
      </c>
      <c r="S45" s="797">
        <f t="shared" si="11"/>
        <v>0</v>
      </c>
    </row>
    <row r="46" spans="1:19">
      <c r="A46" s="963"/>
      <c r="B46" s="135"/>
      <c r="C46" s="51">
        <f t="shared" si="12"/>
        <v>1</v>
      </c>
      <c r="D46" s="961"/>
      <c r="E46" s="51">
        <f t="shared" si="13"/>
        <v>1</v>
      </c>
      <c r="F46" s="961"/>
      <c r="G46" s="51">
        <f t="shared" si="14"/>
        <v>1</v>
      </c>
      <c r="H46" s="961"/>
      <c r="I46" s="51">
        <f t="shared" si="15"/>
        <v>1</v>
      </c>
      <c r="J46" s="961"/>
      <c r="K46" s="51">
        <f t="shared" si="16"/>
        <v>1</v>
      </c>
      <c r="L46" s="961"/>
      <c r="M46" s="51">
        <f t="shared" si="17"/>
        <v>1</v>
      </c>
      <c r="N46" s="961"/>
      <c r="O46" s="51">
        <f t="shared" si="18"/>
        <v>1</v>
      </c>
      <c r="P46" s="961"/>
      <c r="Q46" s="51">
        <f t="shared" si="19"/>
        <v>1</v>
      </c>
      <c r="R46" s="488">
        <f t="shared" si="20"/>
        <v>0</v>
      </c>
      <c r="S46" s="797">
        <f t="shared" si="11"/>
        <v>0</v>
      </c>
    </row>
    <row r="47" spans="1:19">
      <c r="A47" s="963"/>
      <c r="B47" s="135"/>
      <c r="C47" s="51">
        <f t="shared" si="12"/>
        <v>1</v>
      </c>
      <c r="D47" s="961"/>
      <c r="E47" s="51">
        <f t="shared" si="13"/>
        <v>1</v>
      </c>
      <c r="F47" s="961"/>
      <c r="G47" s="51">
        <f t="shared" si="14"/>
        <v>1</v>
      </c>
      <c r="H47" s="961"/>
      <c r="I47" s="51">
        <f t="shared" si="15"/>
        <v>1</v>
      </c>
      <c r="J47" s="961"/>
      <c r="K47" s="51">
        <f t="shared" si="16"/>
        <v>1</v>
      </c>
      <c r="L47" s="961"/>
      <c r="M47" s="51">
        <f t="shared" si="17"/>
        <v>1</v>
      </c>
      <c r="N47" s="961"/>
      <c r="O47" s="51">
        <f t="shared" si="18"/>
        <v>1</v>
      </c>
      <c r="P47" s="961"/>
      <c r="Q47" s="51">
        <f t="shared" si="19"/>
        <v>1</v>
      </c>
      <c r="R47" s="488">
        <f t="shared" si="20"/>
        <v>0</v>
      </c>
      <c r="S47" s="797">
        <f t="shared" si="11"/>
        <v>0</v>
      </c>
    </row>
    <row r="48" spans="1:19">
      <c r="A48" s="963"/>
      <c r="B48" s="135"/>
      <c r="C48" s="51">
        <f t="shared" si="12"/>
        <v>1</v>
      </c>
      <c r="D48" s="961"/>
      <c r="E48" s="51">
        <f t="shared" si="13"/>
        <v>1</v>
      </c>
      <c r="F48" s="961"/>
      <c r="G48" s="51">
        <f t="shared" si="14"/>
        <v>1</v>
      </c>
      <c r="H48" s="961"/>
      <c r="I48" s="51">
        <f t="shared" si="15"/>
        <v>1</v>
      </c>
      <c r="J48" s="961"/>
      <c r="K48" s="51">
        <f t="shared" si="16"/>
        <v>1</v>
      </c>
      <c r="L48" s="961"/>
      <c r="M48" s="51">
        <f t="shared" si="17"/>
        <v>1</v>
      </c>
      <c r="N48" s="961"/>
      <c r="O48" s="51">
        <f t="shared" si="18"/>
        <v>1</v>
      </c>
      <c r="P48" s="961"/>
      <c r="Q48" s="51">
        <f t="shared" si="19"/>
        <v>1</v>
      </c>
      <c r="R48" s="488">
        <f t="shared" si="20"/>
        <v>0</v>
      </c>
      <c r="S48" s="797">
        <f t="shared" si="11"/>
        <v>0</v>
      </c>
    </row>
    <row r="49" spans="1:19">
      <c r="A49" s="963"/>
      <c r="B49" s="135"/>
      <c r="C49" s="51">
        <f t="shared" si="12"/>
        <v>1</v>
      </c>
      <c r="D49" s="961"/>
      <c r="E49" s="51">
        <f t="shared" si="13"/>
        <v>1</v>
      </c>
      <c r="F49" s="961"/>
      <c r="G49" s="51">
        <f t="shared" si="14"/>
        <v>1</v>
      </c>
      <c r="H49" s="961"/>
      <c r="I49" s="51">
        <f t="shared" si="15"/>
        <v>1</v>
      </c>
      <c r="J49" s="961"/>
      <c r="K49" s="51">
        <f t="shared" si="16"/>
        <v>1</v>
      </c>
      <c r="L49" s="961"/>
      <c r="M49" s="51">
        <f t="shared" si="17"/>
        <v>1</v>
      </c>
      <c r="N49" s="961"/>
      <c r="O49" s="51">
        <f t="shared" si="18"/>
        <v>1</v>
      </c>
      <c r="P49" s="961"/>
      <c r="Q49" s="51">
        <f t="shared" si="19"/>
        <v>1</v>
      </c>
      <c r="R49" s="488">
        <f t="shared" si="20"/>
        <v>0</v>
      </c>
      <c r="S49" s="797">
        <f t="shared" si="11"/>
        <v>0</v>
      </c>
    </row>
    <row r="50" spans="1:19">
      <c r="A50" s="963"/>
      <c r="B50" s="135"/>
      <c r="C50" s="51">
        <f t="shared" si="12"/>
        <v>1</v>
      </c>
      <c r="D50" s="961"/>
      <c r="E50" s="51">
        <f t="shared" si="13"/>
        <v>1</v>
      </c>
      <c r="F50" s="961"/>
      <c r="G50" s="51">
        <f t="shared" si="14"/>
        <v>1</v>
      </c>
      <c r="H50" s="961"/>
      <c r="I50" s="51">
        <f t="shared" si="15"/>
        <v>1</v>
      </c>
      <c r="J50" s="961"/>
      <c r="K50" s="51">
        <f t="shared" si="16"/>
        <v>1</v>
      </c>
      <c r="L50" s="961"/>
      <c r="M50" s="51">
        <f t="shared" si="17"/>
        <v>1</v>
      </c>
      <c r="N50" s="961"/>
      <c r="O50" s="51">
        <f t="shared" si="18"/>
        <v>1</v>
      </c>
      <c r="P50" s="961"/>
      <c r="Q50" s="51">
        <f t="shared" si="19"/>
        <v>1</v>
      </c>
      <c r="R50" s="488">
        <f t="shared" si="20"/>
        <v>0</v>
      </c>
      <c r="S50" s="797">
        <f t="shared" si="11"/>
        <v>0</v>
      </c>
    </row>
    <row r="51" spans="1:19">
      <c r="A51" s="963"/>
      <c r="B51" s="135"/>
      <c r="C51" s="51">
        <f t="shared" si="12"/>
        <v>1</v>
      </c>
      <c r="D51" s="961"/>
      <c r="E51" s="51">
        <f t="shared" si="13"/>
        <v>1</v>
      </c>
      <c r="F51" s="961"/>
      <c r="G51" s="51">
        <f t="shared" si="14"/>
        <v>1</v>
      </c>
      <c r="H51" s="961"/>
      <c r="I51" s="51">
        <f t="shared" si="15"/>
        <v>1</v>
      </c>
      <c r="J51" s="961"/>
      <c r="K51" s="51">
        <f t="shared" si="16"/>
        <v>1</v>
      </c>
      <c r="L51" s="961"/>
      <c r="M51" s="51">
        <f t="shared" si="17"/>
        <v>1</v>
      </c>
      <c r="N51" s="961"/>
      <c r="O51" s="51">
        <f t="shared" si="18"/>
        <v>1</v>
      </c>
      <c r="P51" s="961"/>
      <c r="Q51" s="51">
        <f t="shared" si="19"/>
        <v>1</v>
      </c>
      <c r="R51" s="488">
        <f t="shared" si="20"/>
        <v>0</v>
      </c>
      <c r="S51" s="797">
        <f t="shared" si="11"/>
        <v>0</v>
      </c>
    </row>
    <row r="52" spans="1:19">
      <c r="A52" s="963"/>
      <c r="B52" s="135"/>
      <c r="C52" s="51">
        <f t="shared" si="12"/>
        <v>1</v>
      </c>
      <c r="D52" s="961"/>
      <c r="E52" s="51">
        <f t="shared" si="13"/>
        <v>1</v>
      </c>
      <c r="F52" s="961"/>
      <c r="G52" s="51">
        <f t="shared" si="14"/>
        <v>1</v>
      </c>
      <c r="H52" s="961"/>
      <c r="I52" s="51">
        <f t="shared" si="15"/>
        <v>1</v>
      </c>
      <c r="J52" s="961"/>
      <c r="K52" s="51">
        <f t="shared" si="16"/>
        <v>1</v>
      </c>
      <c r="L52" s="961"/>
      <c r="M52" s="51">
        <f t="shared" si="17"/>
        <v>1</v>
      </c>
      <c r="N52" s="961"/>
      <c r="O52" s="51">
        <f t="shared" si="18"/>
        <v>1</v>
      </c>
      <c r="P52" s="961"/>
      <c r="Q52" s="51">
        <f t="shared" si="19"/>
        <v>1</v>
      </c>
      <c r="R52" s="488">
        <f t="shared" si="20"/>
        <v>0</v>
      </c>
      <c r="S52" s="797">
        <f t="shared" si="11"/>
        <v>0</v>
      </c>
    </row>
    <row r="53" spans="1:19">
      <c r="A53" s="963"/>
      <c r="B53" s="135"/>
      <c r="C53" s="51">
        <f t="shared" si="12"/>
        <v>1</v>
      </c>
      <c r="D53" s="961"/>
      <c r="E53" s="51">
        <f t="shared" si="13"/>
        <v>1</v>
      </c>
      <c r="F53" s="961"/>
      <c r="G53" s="51">
        <f t="shared" si="14"/>
        <v>1</v>
      </c>
      <c r="H53" s="961"/>
      <c r="I53" s="51">
        <f t="shared" si="15"/>
        <v>1</v>
      </c>
      <c r="J53" s="961"/>
      <c r="K53" s="51">
        <f t="shared" si="16"/>
        <v>1</v>
      </c>
      <c r="L53" s="961"/>
      <c r="M53" s="51">
        <f t="shared" si="17"/>
        <v>1</v>
      </c>
      <c r="N53" s="961"/>
      <c r="O53" s="51">
        <f t="shared" si="18"/>
        <v>1</v>
      </c>
      <c r="P53" s="961"/>
      <c r="Q53" s="51">
        <f t="shared" si="19"/>
        <v>1</v>
      </c>
      <c r="R53" s="488">
        <f t="shared" si="20"/>
        <v>0</v>
      </c>
      <c r="S53" s="797">
        <f t="shared" si="11"/>
        <v>0</v>
      </c>
    </row>
    <row r="54" spans="1:19">
      <c r="A54" s="963"/>
      <c r="B54" s="135"/>
      <c r="C54" s="51">
        <f t="shared" si="12"/>
        <v>1</v>
      </c>
      <c r="D54" s="961"/>
      <c r="E54" s="51">
        <f t="shared" si="13"/>
        <v>1</v>
      </c>
      <c r="F54" s="961"/>
      <c r="G54" s="51">
        <f t="shared" si="14"/>
        <v>1</v>
      </c>
      <c r="H54" s="961"/>
      <c r="I54" s="51">
        <f t="shared" si="15"/>
        <v>1</v>
      </c>
      <c r="J54" s="961"/>
      <c r="K54" s="51">
        <f t="shared" si="16"/>
        <v>1</v>
      </c>
      <c r="L54" s="961"/>
      <c r="M54" s="51">
        <f t="shared" si="17"/>
        <v>1</v>
      </c>
      <c r="N54" s="961"/>
      <c r="O54" s="51">
        <f t="shared" si="18"/>
        <v>1</v>
      </c>
      <c r="P54" s="961"/>
      <c r="Q54" s="51">
        <f t="shared" si="19"/>
        <v>1</v>
      </c>
      <c r="R54" s="488">
        <f t="shared" si="20"/>
        <v>0</v>
      </c>
      <c r="S54" s="797">
        <f t="shared" si="11"/>
        <v>0</v>
      </c>
    </row>
    <row r="55" spans="1:19">
      <c r="A55" s="963"/>
      <c r="B55" s="135"/>
      <c r="C55" s="51">
        <f t="shared" si="12"/>
        <v>1</v>
      </c>
      <c r="D55" s="961"/>
      <c r="E55" s="51">
        <f t="shared" si="13"/>
        <v>1</v>
      </c>
      <c r="F55" s="961"/>
      <c r="G55" s="51">
        <f t="shared" si="14"/>
        <v>1</v>
      </c>
      <c r="H55" s="961"/>
      <c r="I55" s="51">
        <f t="shared" si="15"/>
        <v>1</v>
      </c>
      <c r="J55" s="961"/>
      <c r="K55" s="51">
        <f t="shared" si="16"/>
        <v>1</v>
      </c>
      <c r="L55" s="961"/>
      <c r="M55" s="51">
        <f t="shared" si="17"/>
        <v>1</v>
      </c>
      <c r="N55" s="961"/>
      <c r="O55" s="51">
        <f t="shared" si="18"/>
        <v>1</v>
      </c>
      <c r="P55" s="961"/>
      <c r="Q55" s="51">
        <f t="shared" si="19"/>
        <v>1</v>
      </c>
      <c r="R55" s="488">
        <f t="shared" si="20"/>
        <v>0</v>
      </c>
      <c r="S55" s="797">
        <f t="shared" ref="S55:S77" si="21">ROUND(R55*B55/10000,0)</f>
        <v>0</v>
      </c>
    </row>
    <row r="56" spans="1:19">
      <c r="A56" s="963"/>
      <c r="B56" s="135"/>
      <c r="C56" s="51">
        <f t="shared" si="12"/>
        <v>1</v>
      </c>
      <c r="D56" s="961"/>
      <c r="E56" s="51">
        <f t="shared" si="13"/>
        <v>1</v>
      </c>
      <c r="F56" s="961"/>
      <c r="G56" s="51">
        <f t="shared" si="14"/>
        <v>1</v>
      </c>
      <c r="H56" s="961"/>
      <c r="I56" s="51">
        <f t="shared" si="15"/>
        <v>1</v>
      </c>
      <c r="J56" s="961"/>
      <c r="K56" s="51">
        <f t="shared" si="16"/>
        <v>1</v>
      </c>
      <c r="L56" s="961"/>
      <c r="M56" s="51">
        <f t="shared" si="17"/>
        <v>1</v>
      </c>
      <c r="N56" s="961"/>
      <c r="O56" s="51">
        <f t="shared" si="18"/>
        <v>1</v>
      </c>
      <c r="P56" s="961"/>
      <c r="Q56" s="51">
        <f t="shared" si="19"/>
        <v>1</v>
      </c>
      <c r="R56" s="488">
        <f t="shared" si="20"/>
        <v>0</v>
      </c>
      <c r="S56" s="797">
        <f t="shared" si="21"/>
        <v>0</v>
      </c>
    </row>
    <row r="57" spans="1:19">
      <c r="A57" s="963"/>
      <c r="B57" s="135"/>
      <c r="C57" s="51">
        <f t="shared" si="12"/>
        <v>1</v>
      </c>
      <c r="D57" s="961"/>
      <c r="E57" s="51">
        <f t="shared" si="13"/>
        <v>1</v>
      </c>
      <c r="F57" s="961"/>
      <c r="G57" s="51">
        <f t="shared" si="14"/>
        <v>1</v>
      </c>
      <c r="H57" s="961"/>
      <c r="I57" s="51">
        <f t="shared" si="15"/>
        <v>1</v>
      </c>
      <c r="J57" s="961"/>
      <c r="K57" s="51">
        <f t="shared" si="16"/>
        <v>1</v>
      </c>
      <c r="L57" s="961"/>
      <c r="M57" s="51">
        <f t="shared" si="17"/>
        <v>1</v>
      </c>
      <c r="N57" s="961"/>
      <c r="O57" s="51">
        <f t="shared" si="18"/>
        <v>1</v>
      </c>
      <c r="P57" s="961"/>
      <c r="Q57" s="51">
        <f t="shared" si="19"/>
        <v>1</v>
      </c>
      <c r="R57" s="488">
        <f t="shared" si="20"/>
        <v>0</v>
      </c>
      <c r="S57" s="797">
        <f t="shared" si="21"/>
        <v>0</v>
      </c>
    </row>
    <row r="58" spans="1:19">
      <c r="A58" s="963"/>
      <c r="B58" s="135"/>
      <c r="C58" s="51">
        <f t="shared" si="12"/>
        <v>1</v>
      </c>
      <c r="D58" s="961"/>
      <c r="E58" s="51">
        <f t="shared" si="13"/>
        <v>1</v>
      </c>
      <c r="F58" s="961"/>
      <c r="G58" s="51">
        <f t="shared" si="14"/>
        <v>1</v>
      </c>
      <c r="H58" s="961"/>
      <c r="I58" s="51">
        <f t="shared" si="15"/>
        <v>1</v>
      </c>
      <c r="J58" s="961"/>
      <c r="K58" s="51">
        <f t="shared" si="16"/>
        <v>1</v>
      </c>
      <c r="L58" s="961"/>
      <c r="M58" s="51">
        <f t="shared" si="17"/>
        <v>1</v>
      </c>
      <c r="N58" s="961"/>
      <c r="O58" s="51">
        <f t="shared" si="18"/>
        <v>1</v>
      </c>
      <c r="P58" s="961"/>
      <c r="Q58" s="51">
        <f t="shared" si="19"/>
        <v>1</v>
      </c>
      <c r="R58" s="488">
        <f t="shared" si="20"/>
        <v>0</v>
      </c>
      <c r="S58" s="797">
        <f t="shared" si="21"/>
        <v>0</v>
      </c>
    </row>
    <row r="59" spans="1:19">
      <c r="A59" s="963"/>
      <c r="B59" s="135"/>
      <c r="C59" s="51">
        <f t="shared" si="12"/>
        <v>1</v>
      </c>
      <c r="D59" s="961"/>
      <c r="E59" s="51">
        <f t="shared" si="13"/>
        <v>1</v>
      </c>
      <c r="F59" s="961"/>
      <c r="G59" s="51">
        <f t="shared" si="14"/>
        <v>1</v>
      </c>
      <c r="H59" s="961"/>
      <c r="I59" s="51">
        <f t="shared" si="15"/>
        <v>1</v>
      </c>
      <c r="J59" s="961"/>
      <c r="K59" s="51">
        <f t="shared" si="16"/>
        <v>1</v>
      </c>
      <c r="L59" s="961"/>
      <c r="M59" s="51">
        <f t="shared" si="17"/>
        <v>1</v>
      </c>
      <c r="N59" s="961"/>
      <c r="O59" s="51">
        <f t="shared" si="18"/>
        <v>1</v>
      </c>
      <c r="P59" s="961"/>
      <c r="Q59" s="51">
        <f t="shared" si="19"/>
        <v>1</v>
      </c>
      <c r="R59" s="488">
        <f t="shared" si="20"/>
        <v>0</v>
      </c>
      <c r="S59" s="797">
        <f t="shared" si="21"/>
        <v>0</v>
      </c>
    </row>
    <row r="60" spans="1:19">
      <c r="A60" s="963"/>
      <c r="B60" s="135"/>
      <c r="C60" s="51">
        <f t="shared" si="12"/>
        <v>1</v>
      </c>
      <c r="D60" s="961"/>
      <c r="E60" s="51">
        <f t="shared" si="13"/>
        <v>1</v>
      </c>
      <c r="F60" s="961"/>
      <c r="G60" s="51">
        <f t="shared" si="14"/>
        <v>1</v>
      </c>
      <c r="H60" s="961"/>
      <c r="I60" s="51">
        <f t="shared" si="15"/>
        <v>1</v>
      </c>
      <c r="J60" s="961"/>
      <c r="K60" s="51">
        <f t="shared" si="16"/>
        <v>1</v>
      </c>
      <c r="L60" s="961"/>
      <c r="M60" s="51">
        <f t="shared" si="17"/>
        <v>1</v>
      </c>
      <c r="N60" s="961"/>
      <c r="O60" s="51">
        <f t="shared" si="18"/>
        <v>1</v>
      </c>
      <c r="P60" s="961"/>
      <c r="Q60" s="51">
        <f t="shared" si="19"/>
        <v>1</v>
      </c>
      <c r="R60" s="488">
        <f t="shared" si="20"/>
        <v>0</v>
      </c>
      <c r="S60" s="797">
        <f t="shared" si="21"/>
        <v>0</v>
      </c>
    </row>
    <row r="61" spans="1:19">
      <c r="A61" s="963"/>
      <c r="B61" s="135"/>
      <c r="C61" s="51">
        <f t="shared" si="12"/>
        <v>1</v>
      </c>
      <c r="D61" s="961"/>
      <c r="E61" s="51">
        <f t="shared" si="13"/>
        <v>1</v>
      </c>
      <c r="F61" s="961"/>
      <c r="G61" s="51">
        <f t="shared" si="14"/>
        <v>1</v>
      </c>
      <c r="H61" s="961"/>
      <c r="I61" s="51">
        <f t="shared" si="15"/>
        <v>1</v>
      </c>
      <c r="J61" s="961"/>
      <c r="K61" s="51">
        <f t="shared" si="16"/>
        <v>1</v>
      </c>
      <c r="L61" s="961"/>
      <c r="M61" s="51">
        <f t="shared" si="17"/>
        <v>1</v>
      </c>
      <c r="N61" s="961"/>
      <c r="O61" s="51">
        <f t="shared" si="18"/>
        <v>1</v>
      </c>
      <c r="P61" s="961"/>
      <c r="Q61" s="51">
        <f t="shared" si="19"/>
        <v>1</v>
      </c>
      <c r="R61" s="488">
        <f t="shared" si="20"/>
        <v>0</v>
      </c>
      <c r="S61" s="797">
        <f t="shared" si="21"/>
        <v>0</v>
      </c>
    </row>
    <row r="62" spans="1:19">
      <c r="A62" s="963"/>
      <c r="B62" s="135"/>
      <c r="C62" s="51">
        <f t="shared" si="12"/>
        <v>1</v>
      </c>
      <c r="D62" s="961"/>
      <c r="E62" s="51">
        <f t="shared" si="13"/>
        <v>1</v>
      </c>
      <c r="F62" s="961"/>
      <c r="G62" s="51">
        <f t="shared" si="14"/>
        <v>1</v>
      </c>
      <c r="H62" s="961"/>
      <c r="I62" s="51">
        <f t="shared" si="15"/>
        <v>1</v>
      </c>
      <c r="J62" s="961"/>
      <c r="K62" s="51">
        <f t="shared" si="16"/>
        <v>1</v>
      </c>
      <c r="L62" s="961"/>
      <c r="M62" s="51">
        <f t="shared" si="17"/>
        <v>1</v>
      </c>
      <c r="N62" s="961"/>
      <c r="O62" s="51">
        <f t="shared" si="18"/>
        <v>1</v>
      </c>
      <c r="P62" s="961"/>
      <c r="Q62" s="51">
        <f t="shared" si="19"/>
        <v>1</v>
      </c>
      <c r="R62" s="488">
        <f t="shared" si="20"/>
        <v>0</v>
      </c>
      <c r="S62" s="797">
        <f t="shared" si="21"/>
        <v>0</v>
      </c>
    </row>
    <row r="63" spans="1:19">
      <c r="A63" s="963"/>
      <c r="B63" s="135"/>
      <c r="C63" s="51">
        <f t="shared" si="12"/>
        <v>1</v>
      </c>
      <c r="D63" s="961"/>
      <c r="E63" s="51">
        <f t="shared" si="13"/>
        <v>1</v>
      </c>
      <c r="F63" s="961"/>
      <c r="G63" s="51">
        <f t="shared" si="14"/>
        <v>1</v>
      </c>
      <c r="H63" s="961"/>
      <c r="I63" s="51">
        <f t="shared" si="15"/>
        <v>1</v>
      </c>
      <c r="J63" s="961"/>
      <c r="K63" s="51">
        <f t="shared" si="16"/>
        <v>1</v>
      </c>
      <c r="L63" s="961"/>
      <c r="M63" s="51">
        <f t="shared" si="17"/>
        <v>1</v>
      </c>
      <c r="N63" s="961"/>
      <c r="O63" s="51">
        <f t="shared" si="18"/>
        <v>1</v>
      </c>
      <c r="P63" s="961"/>
      <c r="Q63" s="51">
        <f t="shared" si="19"/>
        <v>1</v>
      </c>
      <c r="R63" s="488">
        <f t="shared" si="20"/>
        <v>0</v>
      </c>
      <c r="S63" s="797">
        <f t="shared" si="21"/>
        <v>0</v>
      </c>
    </row>
    <row r="64" spans="1:19">
      <c r="A64" s="963"/>
      <c r="B64" s="135"/>
      <c r="C64" s="51">
        <f t="shared" si="12"/>
        <v>1</v>
      </c>
      <c r="D64" s="961"/>
      <c r="E64" s="51">
        <f t="shared" si="13"/>
        <v>1</v>
      </c>
      <c r="F64" s="961"/>
      <c r="G64" s="51">
        <f t="shared" si="14"/>
        <v>1</v>
      </c>
      <c r="H64" s="961"/>
      <c r="I64" s="51">
        <f t="shared" si="15"/>
        <v>1</v>
      </c>
      <c r="J64" s="961"/>
      <c r="K64" s="51">
        <f t="shared" si="16"/>
        <v>1</v>
      </c>
      <c r="L64" s="961"/>
      <c r="M64" s="51">
        <f t="shared" si="17"/>
        <v>1</v>
      </c>
      <c r="N64" s="961"/>
      <c r="O64" s="51">
        <f t="shared" si="18"/>
        <v>1</v>
      </c>
      <c r="P64" s="961"/>
      <c r="Q64" s="51">
        <f t="shared" si="19"/>
        <v>1</v>
      </c>
      <c r="R64" s="488">
        <f t="shared" si="20"/>
        <v>0</v>
      </c>
      <c r="S64" s="797">
        <f t="shared" si="21"/>
        <v>0</v>
      </c>
    </row>
    <row r="65" spans="1:19">
      <c r="A65" s="963"/>
      <c r="B65" s="135"/>
      <c r="C65" s="51">
        <f t="shared" si="12"/>
        <v>1</v>
      </c>
      <c r="D65" s="961"/>
      <c r="E65" s="51">
        <f t="shared" si="13"/>
        <v>1</v>
      </c>
      <c r="F65" s="961"/>
      <c r="G65" s="51">
        <f t="shared" si="14"/>
        <v>1</v>
      </c>
      <c r="H65" s="961"/>
      <c r="I65" s="51">
        <f t="shared" si="15"/>
        <v>1</v>
      </c>
      <c r="J65" s="961"/>
      <c r="K65" s="51">
        <f t="shared" si="16"/>
        <v>1</v>
      </c>
      <c r="L65" s="961"/>
      <c r="M65" s="51">
        <f t="shared" si="17"/>
        <v>1</v>
      </c>
      <c r="N65" s="961"/>
      <c r="O65" s="51">
        <f t="shared" si="18"/>
        <v>1</v>
      </c>
      <c r="P65" s="961"/>
      <c r="Q65" s="51">
        <f t="shared" si="19"/>
        <v>1</v>
      </c>
      <c r="R65" s="488">
        <f t="shared" si="20"/>
        <v>0</v>
      </c>
      <c r="S65" s="797">
        <f t="shared" si="21"/>
        <v>0</v>
      </c>
    </row>
    <row r="66" spans="1:19">
      <c r="A66" s="963"/>
      <c r="B66" s="135"/>
      <c r="C66" s="51">
        <f t="shared" si="12"/>
        <v>1</v>
      </c>
      <c r="D66" s="961"/>
      <c r="E66" s="51">
        <f t="shared" si="13"/>
        <v>1</v>
      </c>
      <c r="F66" s="961"/>
      <c r="G66" s="51">
        <f t="shared" si="14"/>
        <v>1</v>
      </c>
      <c r="H66" s="961"/>
      <c r="I66" s="51">
        <f t="shared" si="15"/>
        <v>1</v>
      </c>
      <c r="J66" s="961"/>
      <c r="K66" s="51">
        <f t="shared" si="16"/>
        <v>1</v>
      </c>
      <c r="L66" s="961"/>
      <c r="M66" s="51">
        <f t="shared" si="17"/>
        <v>1</v>
      </c>
      <c r="N66" s="961"/>
      <c r="O66" s="51">
        <f t="shared" si="18"/>
        <v>1</v>
      </c>
      <c r="P66" s="961"/>
      <c r="Q66" s="51">
        <f t="shared" si="19"/>
        <v>1</v>
      </c>
      <c r="R66" s="488">
        <f t="shared" si="20"/>
        <v>0</v>
      </c>
      <c r="S66" s="797">
        <f t="shared" si="21"/>
        <v>0</v>
      </c>
    </row>
    <row r="67" spans="1:19">
      <c r="A67" s="963"/>
      <c r="B67" s="135"/>
      <c r="C67" s="51">
        <f t="shared" si="12"/>
        <v>1</v>
      </c>
      <c r="D67" s="961"/>
      <c r="E67" s="51">
        <f t="shared" si="13"/>
        <v>1</v>
      </c>
      <c r="F67" s="961"/>
      <c r="G67" s="51">
        <f t="shared" si="14"/>
        <v>1</v>
      </c>
      <c r="H67" s="961"/>
      <c r="I67" s="51">
        <f t="shared" si="15"/>
        <v>1</v>
      </c>
      <c r="J67" s="961"/>
      <c r="K67" s="51">
        <f t="shared" si="16"/>
        <v>1</v>
      </c>
      <c r="L67" s="961"/>
      <c r="M67" s="51">
        <f t="shared" si="17"/>
        <v>1</v>
      </c>
      <c r="N67" s="961"/>
      <c r="O67" s="51">
        <f t="shared" si="18"/>
        <v>1</v>
      </c>
      <c r="P67" s="961"/>
      <c r="Q67" s="51">
        <f t="shared" si="19"/>
        <v>1</v>
      </c>
      <c r="R67" s="488">
        <f t="shared" si="20"/>
        <v>0</v>
      </c>
      <c r="S67" s="797">
        <f t="shared" si="21"/>
        <v>0</v>
      </c>
    </row>
    <row r="68" spans="1:19">
      <c r="A68" s="963"/>
      <c r="B68" s="135"/>
      <c r="C68" s="51">
        <f t="shared" si="12"/>
        <v>1</v>
      </c>
      <c r="D68" s="961"/>
      <c r="E68" s="51">
        <f t="shared" si="13"/>
        <v>1</v>
      </c>
      <c r="F68" s="961"/>
      <c r="G68" s="51">
        <f t="shared" si="14"/>
        <v>1</v>
      </c>
      <c r="H68" s="961"/>
      <c r="I68" s="51">
        <f t="shared" si="15"/>
        <v>1</v>
      </c>
      <c r="J68" s="961"/>
      <c r="K68" s="51">
        <f t="shared" si="16"/>
        <v>1</v>
      </c>
      <c r="L68" s="961"/>
      <c r="M68" s="51">
        <f t="shared" si="17"/>
        <v>1</v>
      </c>
      <c r="N68" s="961"/>
      <c r="O68" s="51">
        <f t="shared" si="18"/>
        <v>1</v>
      </c>
      <c r="P68" s="961"/>
      <c r="Q68" s="51">
        <f t="shared" si="19"/>
        <v>1</v>
      </c>
      <c r="R68" s="488">
        <f t="shared" si="20"/>
        <v>0</v>
      </c>
      <c r="S68" s="797">
        <f t="shared" si="21"/>
        <v>0</v>
      </c>
    </row>
    <row r="69" spans="1:19">
      <c r="A69" s="963"/>
      <c r="B69" s="135"/>
      <c r="C69" s="51">
        <f t="shared" si="12"/>
        <v>1</v>
      </c>
      <c r="D69" s="961"/>
      <c r="E69" s="51">
        <f t="shared" si="13"/>
        <v>1</v>
      </c>
      <c r="F69" s="961"/>
      <c r="G69" s="51">
        <f t="shared" si="14"/>
        <v>1</v>
      </c>
      <c r="H69" s="961"/>
      <c r="I69" s="51">
        <f t="shared" si="15"/>
        <v>1</v>
      </c>
      <c r="J69" s="961"/>
      <c r="K69" s="51">
        <f t="shared" si="16"/>
        <v>1</v>
      </c>
      <c r="L69" s="961"/>
      <c r="M69" s="51">
        <f t="shared" si="17"/>
        <v>1</v>
      </c>
      <c r="N69" s="961"/>
      <c r="O69" s="51">
        <f t="shared" si="18"/>
        <v>1</v>
      </c>
      <c r="P69" s="961"/>
      <c r="Q69" s="51">
        <f t="shared" si="19"/>
        <v>1</v>
      </c>
      <c r="R69" s="488">
        <f t="shared" si="20"/>
        <v>0</v>
      </c>
      <c r="S69" s="797">
        <f t="shared" si="21"/>
        <v>0</v>
      </c>
    </row>
    <row r="70" spans="1:19">
      <c r="A70" s="963"/>
      <c r="B70" s="135"/>
      <c r="C70" s="51">
        <f t="shared" si="12"/>
        <v>1</v>
      </c>
      <c r="D70" s="961"/>
      <c r="E70" s="51">
        <f t="shared" si="13"/>
        <v>1</v>
      </c>
      <c r="F70" s="961"/>
      <c r="G70" s="51">
        <f t="shared" si="14"/>
        <v>1</v>
      </c>
      <c r="H70" s="961"/>
      <c r="I70" s="51">
        <f t="shared" si="15"/>
        <v>1</v>
      </c>
      <c r="J70" s="961"/>
      <c r="K70" s="51">
        <f t="shared" si="16"/>
        <v>1</v>
      </c>
      <c r="L70" s="961"/>
      <c r="M70" s="51">
        <f t="shared" si="17"/>
        <v>1</v>
      </c>
      <c r="N70" s="961"/>
      <c r="O70" s="51">
        <f t="shared" si="18"/>
        <v>1</v>
      </c>
      <c r="P70" s="961"/>
      <c r="Q70" s="51">
        <f t="shared" si="19"/>
        <v>1</v>
      </c>
      <c r="R70" s="488">
        <f t="shared" si="20"/>
        <v>0</v>
      </c>
      <c r="S70" s="797">
        <f t="shared" si="21"/>
        <v>0</v>
      </c>
    </row>
    <row r="71" spans="1:19">
      <c r="A71" s="963"/>
      <c r="B71" s="135"/>
      <c r="C71" s="51">
        <f t="shared" si="12"/>
        <v>1</v>
      </c>
      <c r="D71" s="961"/>
      <c r="E71" s="51">
        <f t="shared" si="13"/>
        <v>1</v>
      </c>
      <c r="F71" s="961"/>
      <c r="G71" s="51">
        <f t="shared" si="14"/>
        <v>1</v>
      </c>
      <c r="H71" s="961"/>
      <c r="I71" s="51">
        <f t="shared" si="15"/>
        <v>1</v>
      </c>
      <c r="J71" s="961"/>
      <c r="K71" s="51">
        <f t="shared" si="16"/>
        <v>1</v>
      </c>
      <c r="L71" s="961"/>
      <c r="M71" s="51">
        <f t="shared" si="17"/>
        <v>1</v>
      </c>
      <c r="N71" s="961"/>
      <c r="O71" s="51">
        <f t="shared" si="18"/>
        <v>1</v>
      </c>
      <c r="P71" s="961"/>
      <c r="Q71" s="51">
        <f t="shared" si="19"/>
        <v>1</v>
      </c>
      <c r="R71" s="488">
        <f t="shared" si="20"/>
        <v>0</v>
      </c>
      <c r="S71" s="797">
        <f t="shared" si="21"/>
        <v>0</v>
      </c>
    </row>
    <row r="72" spans="1:19">
      <c r="A72" s="963"/>
      <c r="B72" s="135"/>
      <c r="C72" s="51">
        <f t="shared" si="12"/>
        <v>1</v>
      </c>
      <c r="D72" s="961"/>
      <c r="E72" s="51">
        <f t="shared" si="13"/>
        <v>1</v>
      </c>
      <c r="F72" s="961"/>
      <c r="G72" s="51">
        <f t="shared" si="14"/>
        <v>1</v>
      </c>
      <c r="H72" s="961"/>
      <c r="I72" s="51">
        <f t="shared" si="15"/>
        <v>1</v>
      </c>
      <c r="J72" s="961"/>
      <c r="K72" s="51">
        <f t="shared" si="16"/>
        <v>1</v>
      </c>
      <c r="L72" s="961"/>
      <c r="M72" s="51">
        <f t="shared" si="17"/>
        <v>1</v>
      </c>
      <c r="N72" s="961"/>
      <c r="O72" s="51">
        <f t="shared" si="18"/>
        <v>1</v>
      </c>
      <c r="P72" s="961"/>
      <c r="Q72" s="51">
        <f t="shared" si="19"/>
        <v>1</v>
      </c>
      <c r="R72" s="488">
        <f t="shared" si="20"/>
        <v>0</v>
      </c>
      <c r="S72" s="797">
        <f t="shared" si="21"/>
        <v>0</v>
      </c>
    </row>
    <row r="73" spans="1:19">
      <c r="A73" s="963"/>
      <c r="B73" s="135"/>
      <c r="C73" s="51">
        <f t="shared" si="12"/>
        <v>1</v>
      </c>
      <c r="D73" s="961"/>
      <c r="E73" s="51">
        <f t="shared" si="13"/>
        <v>1</v>
      </c>
      <c r="F73" s="961"/>
      <c r="G73" s="51">
        <f t="shared" si="14"/>
        <v>1</v>
      </c>
      <c r="H73" s="961"/>
      <c r="I73" s="51">
        <f t="shared" si="15"/>
        <v>1</v>
      </c>
      <c r="J73" s="961"/>
      <c r="K73" s="51">
        <f t="shared" si="16"/>
        <v>1</v>
      </c>
      <c r="L73" s="961"/>
      <c r="M73" s="51">
        <f t="shared" si="17"/>
        <v>1</v>
      </c>
      <c r="N73" s="961"/>
      <c r="O73" s="51">
        <f t="shared" si="18"/>
        <v>1</v>
      </c>
      <c r="P73" s="961"/>
      <c r="Q73" s="51">
        <f t="shared" si="19"/>
        <v>1</v>
      </c>
      <c r="R73" s="488">
        <f t="shared" si="20"/>
        <v>0</v>
      </c>
      <c r="S73" s="797">
        <f t="shared" si="21"/>
        <v>0</v>
      </c>
    </row>
    <row r="74" spans="1:19">
      <c r="A74" s="963"/>
      <c r="B74" s="135"/>
      <c r="C74" s="51">
        <f t="shared" si="12"/>
        <v>1</v>
      </c>
      <c r="D74" s="961"/>
      <c r="E74" s="51">
        <f t="shared" si="13"/>
        <v>1</v>
      </c>
      <c r="F74" s="961"/>
      <c r="G74" s="51">
        <f t="shared" si="14"/>
        <v>1</v>
      </c>
      <c r="H74" s="961"/>
      <c r="I74" s="51">
        <f t="shared" si="15"/>
        <v>1</v>
      </c>
      <c r="J74" s="961"/>
      <c r="K74" s="51">
        <f t="shared" si="16"/>
        <v>1</v>
      </c>
      <c r="L74" s="961"/>
      <c r="M74" s="51">
        <f t="shared" si="17"/>
        <v>1</v>
      </c>
      <c r="N74" s="961"/>
      <c r="O74" s="51">
        <f t="shared" si="18"/>
        <v>1</v>
      </c>
      <c r="P74" s="961"/>
      <c r="Q74" s="51">
        <f t="shared" si="19"/>
        <v>1</v>
      </c>
      <c r="R74" s="488">
        <f t="shared" si="20"/>
        <v>0</v>
      </c>
      <c r="S74" s="797">
        <f t="shared" si="21"/>
        <v>0</v>
      </c>
    </row>
    <row r="75" spans="1:19">
      <c r="A75" s="963"/>
      <c r="B75" s="135"/>
      <c r="C75" s="51">
        <f t="shared" si="12"/>
        <v>1</v>
      </c>
      <c r="D75" s="961"/>
      <c r="E75" s="51">
        <f t="shared" si="13"/>
        <v>1</v>
      </c>
      <c r="F75" s="961"/>
      <c r="G75" s="51">
        <f t="shared" si="14"/>
        <v>1</v>
      </c>
      <c r="H75" s="961"/>
      <c r="I75" s="51">
        <f t="shared" si="15"/>
        <v>1</v>
      </c>
      <c r="J75" s="961"/>
      <c r="K75" s="51">
        <f t="shared" si="16"/>
        <v>1</v>
      </c>
      <c r="L75" s="961"/>
      <c r="M75" s="51">
        <f t="shared" si="17"/>
        <v>1</v>
      </c>
      <c r="N75" s="961"/>
      <c r="O75" s="51">
        <f t="shared" si="18"/>
        <v>1</v>
      </c>
      <c r="P75" s="961"/>
      <c r="Q75" s="51">
        <f t="shared" si="19"/>
        <v>1</v>
      </c>
      <c r="R75" s="488">
        <f t="shared" si="20"/>
        <v>0</v>
      </c>
      <c r="S75" s="797">
        <f t="shared" si="21"/>
        <v>0</v>
      </c>
    </row>
    <row r="76" spans="1:19">
      <c r="A76" s="963"/>
      <c r="B76" s="135"/>
      <c r="C76" s="51">
        <f t="shared" si="12"/>
        <v>1</v>
      </c>
      <c r="D76" s="961"/>
      <c r="E76" s="51">
        <f t="shared" si="13"/>
        <v>1</v>
      </c>
      <c r="F76" s="961"/>
      <c r="G76" s="51">
        <f t="shared" si="14"/>
        <v>1</v>
      </c>
      <c r="H76" s="961"/>
      <c r="I76" s="51">
        <f t="shared" si="15"/>
        <v>1</v>
      </c>
      <c r="J76" s="961"/>
      <c r="K76" s="51">
        <f t="shared" si="16"/>
        <v>1</v>
      </c>
      <c r="L76" s="961"/>
      <c r="M76" s="51">
        <f t="shared" si="17"/>
        <v>1</v>
      </c>
      <c r="N76" s="961"/>
      <c r="O76" s="51">
        <f t="shared" si="18"/>
        <v>1</v>
      </c>
      <c r="P76" s="961"/>
      <c r="Q76" s="51">
        <f t="shared" si="19"/>
        <v>1</v>
      </c>
      <c r="R76" s="488">
        <f t="shared" si="20"/>
        <v>0</v>
      </c>
      <c r="S76" s="797">
        <f t="shared" si="21"/>
        <v>0</v>
      </c>
    </row>
    <row r="77" spans="1:19">
      <c r="A77" s="963"/>
      <c r="B77" s="135"/>
      <c r="C77" s="51">
        <f t="shared" si="12"/>
        <v>1</v>
      </c>
      <c r="D77" s="961"/>
      <c r="E77" s="51">
        <f t="shared" si="13"/>
        <v>1</v>
      </c>
      <c r="F77" s="961"/>
      <c r="G77" s="51">
        <f t="shared" si="14"/>
        <v>1</v>
      </c>
      <c r="H77" s="961"/>
      <c r="I77" s="51">
        <f t="shared" si="15"/>
        <v>1</v>
      </c>
      <c r="J77" s="961"/>
      <c r="K77" s="51">
        <f t="shared" si="16"/>
        <v>1</v>
      </c>
      <c r="L77" s="961"/>
      <c r="M77" s="51">
        <f t="shared" si="17"/>
        <v>1</v>
      </c>
      <c r="N77" s="961"/>
      <c r="O77" s="51">
        <f t="shared" si="18"/>
        <v>1</v>
      </c>
      <c r="P77" s="961"/>
      <c r="Q77" s="51">
        <f t="shared" si="19"/>
        <v>1</v>
      </c>
      <c r="R77" s="488">
        <f t="shared" si="20"/>
        <v>0</v>
      </c>
      <c r="S77" s="797">
        <f t="shared" si="21"/>
        <v>0</v>
      </c>
    </row>
    <row r="78" spans="1:19">
      <c r="A78" s="963"/>
      <c r="B78" s="135"/>
      <c r="C78" s="51">
        <f t="shared" si="12"/>
        <v>1</v>
      </c>
      <c r="D78" s="961"/>
      <c r="E78" s="51">
        <f t="shared" si="13"/>
        <v>1</v>
      </c>
      <c r="F78" s="961"/>
      <c r="G78" s="51">
        <f t="shared" si="14"/>
        <v>1</v>
      </c>
      <c r="H78" s="961"/>
      <c r="I78" s="51">
        <f t="shared" si="15"/>
        <v>1</v>
      </c>
      <c r="J78" s="961"/>
      <c r="K78" s="51">
        <f t="shared" si="16"/>
        <v>1</v>
      </c>
      <c r="L78" s="961"/>
      <c r="M78" s="51">
        <f t="shared" si="17"/>
        <v>1</v>
      </c>
      <c r="N78" s="961"/>
      <c r="O78" s="51">
        <f t="shared" si="18"/>
        <v>1</v>
      </c>
      <c r="P78" s="961"/>
      <c r="Q78" s="51">
        <f t="shared" si="19"/>
        <v>1</v>
      </c>
      <c r="R78" s="488">
        <f t="shared" si="20"/>
        <v>0</v>
      </c>
      <c r="S78" s="797">
        <f t="shared" ref="S78:S122" si="22">ROUND(R78*B78/10000,0)</f>
        <v>0</v>
      </c>
    </row>
    <row r="79" spans="1:19">
      <c r="A79" s="963"/>
      <c r="B79" s="135"/>
      <c r="C79" s="51">
        <f t="shared" si="12"/>
        <v>1</v>
      </c>
      <c r="D79" s="961"/>
      <c r="E79" s="51">
        <f t="shared" si="13"/>
        <v>1</v>
      </c>
      <c r="F79" s="961"/>
      <c r="G79" s="51">
        <f t="shared" si="14"/>
        <v>1</v>
      </c>
      <c r="H79" s="961"/>
      <c r="I79" s="51">
        <f t="shared" si="15"/>
        <v>1</v>
      </c>
      <c r="J79" s="961"/>
      <c r="K79" s="51">
        <f t="shared" si="16"/>
        <v>1</v>
      </c>
      <c r="L79" s="961"/>
      <c r="M79" s="51">
        <f t="shared" si="17"/>
        <v>1</v>
      </c>
      <c r="N79" s="961"/>
      <c r="O79" s="51">
        <f t="shared" si="18"/>
        <v>1</v>
      </c>
      <c r="P79" s="961"/>
      <c r="Q79" s="51">
        <f t="shared" si="19"/>
        <v>1</v>
      </c>
      <c r="R79" s="488">
        <f t="shared" si="20"/>
        <v>0</v>
      </c>
      <c r="S79" s="797">
        <f t="shared" si="22"/>
        <v>0</v>
      </c>
    </row>
    <row r="80" spans="1:19">
      <c r="A80" s="963"/>
      <c r="B80" s="135"/>
      <c r="C80" s="51">
        <f t="shared" si="12"/>
        <v>1</v>
      </c>
      <c r="D80" s="961"/>
      <c r="E80" s="51">
        <f t="shared" si="13"/>
        <v>1</v>
      </c>
      <c r="F80" s="961"/>
      <c r="G80" s="51">
        <f t="shared" si="14"/>
        <v>1</v>
      </c>
      <c r="H80" s="961"/>
      <c r="I80" s="51">
        <f t="shared" si="15"/>
        <v>1</v>
      </c>
      <c r="J80" s="961"/>
      <c r="K80" s="51">
        <f t="shared" si="16"/>
        <v>1</v>
      </c>
      <c r="L80" s="961"/>
      <c r="M80" s="51">
        <f t="shared" si="17"/>
        <v>1</v>
      </c>
      <c r="N80" s="961"/>
      <c r="O80" s="51">
        <f t="shared" si="18"/>
        <v>1</v>
      </c>
      <c r="P80" s="961"/>
      <c r="Q80" s="51">
        <f t="shared" si="19"/>
        <v>1</v>
      </c>
      <c r="R80" s="488">
        <f t="shared" si="20"/>
        <v>0</v>
      </c>
      <c r="S80" s="797">
        <f t="shared" si="22"/>
        <v>0</v>
      </c>
    </row>
    <row r="81" spans="1:19">
      <c r="A81" s="963"/>
      <c r="B81" s="135"/>
      <c r="C81" s="51">
        <f t="shared" si="12"/>
        <v>1</v>
      </c>
      <c r="D81" s="961"/>
      <c r="E81" s="51">
        <f t="shared" si="13"/>
        <v>1</v>
      </c>
      <c r="F81" s="961"/>
      <c r="G81" s="51">
        <f t="shared" si="14"/>
        <v>1</v>
      </c>
      <c r="H81" s="961"/>
      <c r="I81" s="51">
        <f t="shared" si="15"/>
        <v>1</v>
      </c>
      <c r="J81" s="961"/>
      <c r="K81" s="51">
        <f t="shared" si="16"/>
        <v>1</v>
      </c>
      <c r="L81" s="961"/>
      <c r="M81" s="51">
        <f t="shared" si="17"/>
        <v>1</v>
      </c>
      <c r="N81" s="961"/>
      <c r="O81" s="51">
        <f t="shared" si="18"/>
        <v>1</v>
      </c>
      <c r="P81" s="961"/>
      <c r="Q81" s="51">
        <f t="shared" si="19"/>
        <v>1</v>
      </c>
      <c r="R81" s="488">
        <f t="shared" si="20"/>
        <v>0</v>
      </c>
      <c r="S81" s="797">
        <f t="shared" si="22"/>
        <v>0</v>
      </c>
    </row>
    <row r="82" spans="1:19">
      <c r="A82" s="963"/>
      <c r="B82" s="135"/>
      <c r="C82" s="51">
        <f t="shared" si="12"/>
        <v>1</v>
      </c>
      <c r="D82" s="961"/>
      <c r="E82" s="51">
        <f t="shared" si="13"/>
        <v>1</v>
      </c>
      <c r="F82" s="961"/>
      <c r="G82" s="51">
        <f t="shared" si="14"/>
        <v>1</v>
      </c>
      <c r="H82" s="961"/>
      <c r="I82" s="51">
        <f t="shared" si="15"/>
        <v>1</v>
      </c>
      <c r="J82" s="961"/>
      <c r="K82" s="51">
        <f t="shared" si="16"/>
        <v>1</v>
      </c>
      <c r="L82" s="961"/>
      <c r="M82" s="51">
        <f t="shared" si="17"/>
        <v>1</v>
      </c>
      <c r="N82" s="961"/>
      <c r="O82" s="51">
        <f t="shared" si="18"/>
        <v>1</v>
      </c>
      <c r="P82" s="961"/>
      <c r="Q82" s="51">
        <f t="shared" si="19"/>
        <v>1</v>
      </c>
      <c r="R82" s="488">
        <f t="shared" si="20"/>
        <v>0</v>
      </c>
      <c r="S82" s="797">
        <f t="shared" si="22"/>
        <v>0</v>
      </c>
    </row>
    <row r="83" spans="1:19">
      <c r="A83" s="963"/>
      <c r="B83" s="135"/>
      <c r="C83" s="51">
        <f t="shared" si="12"/>
        <v>1</v>
      </c>
      <c r="D83" s="961"/>
      <c r="E83" s="51">
        <f t="shared" si="13"/>
        <v>1</v>
      </c>
      <c r="F83" s="961"/>
      <c r="G83" s="51">
        <f t="shared" si="14"/>
        <v>1</v>
      </c>
      <c r="H83" s="961"/>
      <c r="I83" s="51">
        <f t="shared" si="15"/>
        <v>1</v>
      </c>
      <c r="J83" s="961"/>
      <c r="K83" s="51">
        <f t="shared" si="16"/>
        <v>1</v>
      </c>
      <c r="L83" s="961"/>
      <c r="M83" s="51">
        <f t="shared" si="17"/>
        <v>1</v>
      </c>
      <c r="N83" s="961"/>
      <c r="O83" s="51">
        <f t="shared" si="18"/>
        <v>1</v>
      </c>
      <c r="P83" s="961"/>
      <c r="Q83" s="51">
        <f t="shared" si="19"/>
        <v>1</v>
      </c>
      <c r="R83" s="488">
        <f t="shared" si="20"/>
        <v>0</v>
      </c>
      <c r="S83" s="797">
        <f t="shared" si="22"/>
        <v>0</v>
      </c>
    </row>
    <row r="84" spans="1:19">
      <c r="A84" s="963"/>
      <c r="B84" s="135"/>
      <c r="C84" s="51">
        <f t="shared" si="12"/>
        <v>1</v>
      </c>
      <c r="D84" s="961"/>
      <c r="E84" s="51">
        <f t="shared" si="13"/>
        <v>1</v>
      </c>
      <c r="F84" s="961"/>
      <c r="G84" s="51">
        <f t="shared" si="14"/>
        <v>1</v>
      </c>
      <c r="H84" s="961"/>
      <c r="I84" s="51">
        <f t="shared" si="15"/>
        <v>1</v>
      </c>
      <c r="J84" s="961"/>
      <c r="K84" s="51">
        <f t="shared" si="16"/>
        <v>1</v>
      </c>
      <c r="L84" s="961"/>
      <c r="M84" s="51">
        <f t="shared" si="17"/>
        <v>1</v>
      </c>
      <c r="N84" s="961"/>
      <c r="O84" s="51">
        <f t="shared" si="18"/>
        <v>1</v>
      </c>
      <c r="P84" s="961"/>
      <c r="Q84" s="51">
        <f t="shared" si="19"/>
        <v>1</v>
      </c>
      <c r="R84" s="488">
        <f t="shared" si="20"/>
        <v>0</v>
      </c>
      <c r="S84" s="797">
        <f t="shared" si="22"/>
        <v>0</v>
      </c>
    </row>
    <row r="85" spans="1:19">
      <c r="A85" s="963"/>
      <c r="B85" s="135"/>
      <c r="C85" s="51">
        <f t="shared" si="12"/>
        <v>1</v>
      </c>
      <c r="D85" s="961"/>
      <c r="E85" s="51">
        <f t="shared" si="13"/>
        <v>1</v>
      </c>
      <c r="F85" s="961"/>
      <c r="G85" s="51">
        <f t="shared" si="14"/>
        <v>1</v>
      </c>
      <c r="H85" s="961"/>
      <c r="I85" s="51">
        <f t="shared" si="15"/>
        <v>1</v>
      </c>
      <c r="J85" s="961"/>
      <c r="K85" s="51">
        <f t="shared" si="16"/>
        <v>1</v>
      </c>
      <c r="L85" s="961"/>
      <c r="M85" s="51">
        <f t="shared" si="17"/>
        <v>1</v>
      </c>
      <c r="N85" s="961"/>
      <c r="O85" s="51">
        <f t="shared" si="18"/>
        <v>1</v>
      </c>
      <c r="P85" s="961"/>
      <c r="Q85" s="51">
        <f t="shared" si="19"/>
        <v>1</v>
      </c>
      <c r="R85" s="488">
        <f t="shared" si="20"/>
        <v>0</v>
      </c>
      <c r="S85" s="797">
        <f t="shared" si="22"/>
        <v>0</v>
      </c>
    </row>
    <row r="86" spans="1:19">
      <c r="A86" s="963"/>
      <c r="B86" s="135"/>
      <c r="C86" s="51">
        <f t="shared" si="12"/>
        <v>1</v>
      </c>
      <c r="D86" s="961"/>
      <c r="E86" s="51">
        <f t="shared" si="13"/>
        <v>1</v>
      </c>
      <c r="F86" s="961"/>
      <c r="G86" s="51">
        <f t="shared" si="14"/>
        <v>1</v>
      </c>
      <c r="H86" s="961"/>
      <c r="I86" s="51">
        <f t="shared" si="15"/>
        <v>1</v>
      </c>
      <c r="J86" s="961"/>
      <c r="K86" s="51">
        <f t="shared" si="16"/>
        <v>1</v>
      </c>
      <c r="L86" s="961"/>
      <c r="M86" s="51">
        <f t="shared" si="17"/>
        <v>1</v>
      </c>
      <c r="N86" s="961"/>
      <c r="O86" s="51">
        <f t="shared" si="18"/>
        <v>1</v>
      </c>
      <c r="P86" s="961"/>
      <c r="Q86" s="51">
        <f t="shared" si="19"/>
        <v>1</v>
      </c>
      <c r="R86" s="488">
        <f t="shared" si="20"/>
        <v>0</v>
      </c>
      <c r="S86" s="797">
        <f t="shared" si="22"/>
        <v>0</v>
      </c>
    </row>
    <row r="87" spans="1:19">
      <c r="A87" s="963"/>
      <c r="B87" s="135"/>
      <c r="C87" s="51">
        <f t="shared" si="12"/>
        <v>1</v>
      </c>
      <c r="D87" s="961"/>
      <c r="E87" s="51">
        <f t="shared" si="13"/>
        <v>1</v>
      </c>
      <c r="F87" s="961"/>
      <c r="G87" s="51">
        <f t="shared" si="14"/>
        <v>1</v>
      </c>
      <c r="H87" s="961"/>
      <c r="I87" s="51">
        <f t="shared" si="15"/>
        <v>1</v>
      </c>
      <c r="J87" s="961"/>
      <c r="K87" s="51">
        <f t="shared" si="16"/>
        <v>1</v>
      </c>
      <c r="L87" s="961"/>
      <c r="M87" s="51">
        <f t="shared" si="17"/>
        <v>1</v>
      </c>
      <c r="N87" s="961"/>
      <c r="O87" s="51">
        <f t="shared" si="18"/>
        <v>1</v>
      </c>
      <c r="P87" s="961"/>
      <c r="Q87" s="51">
        <f t="shared" si="19"/>
        <v>1</v>
      </c>
      <c r="R87" s="488">
        <f t="shared" si="20"/>
        <v>0</v>
      </c>
      <c r="S87" s="797">
        <f t="shared" si="22"/>
        <v>0</v>
      </c>
    </row>
    <row r="88" spans="1:19">
      <c r="A88" s="963"/>
      <c r="B88" s="135"/>
      <c r="C88" s="51">
        <f t="shared" si="12"/>
        <v>1</v>
      </c>
      <c r="D88" s="961"/>
      <c r="E88" s="51">
        <f t="shared" si="13"/>
        <v>1</v>
      </c>
      <c r="F88" s="961"/>
      <c r="G88" s="51">
        <f t="shared" si="14"/>
        <v>1</v>
      </c>
      <c r="H88" s="961"/>
      <c r="I88" s="51">
        <f t="shared" si="15"/>
        <v>1</v>
      </c>
      <c r="J88" s="961"/>
      <c r="K88" s="51">
        <f t="shared" si="16"/>
        <v>1</v>
      </c>
      <c r="L88" s="961"/>
      <c r="M88" s="51">
        <f t="shared" si="17"/>
        <v>1</v>
      </c>
      <c r="N88" s="961"/>
      <c r="O88" s="51">
        <f t="shared" si="18"/>
        <v>1</v>
      </c>
      <c r="P88" s="961"/>
      <c r="Q88" s="51">
        <f t="shared" si="19"/>
        <v>1</v>
      </c>
      <c r="R88" s="488">
        <f t="shared" si="20"/>
        <v>0</v>
      </c>
      <c r="S88" s="797">
        <f t="shared" si="22"/>
        <v>0</v>
      </c>
    </row>
    <row r="89" spans="1:19">
      <c r="A89" s="963"/>
      <c r="B89" s="135"/>
      <c r="C89" s="51">
        <f t="shared" si="12"/>
        <v>1</v>
      </c>
      <c r="D89" s="961"/>
      <c r="E89" s="51">
        <f t="shared" si="13"/>
        <v>1</v>
      </c>
      <c r="F89" s="961"/>
      <c r="G89" s="51">
        <f t="shared" si="14"/>
        <v>1</v>
      </c>
      <c r="H89" s="961"/>
      <c r="I89" s="51">
        <f t="shared" si="15"/>
        <v>1</v>
      </c>
      <c r="J89" s="961"/>
      <c r="K89" s="51">
        <f t="shared" si="16"/>
        <v>1</v>
      </c>
      <c r="L89" s="961"/>
      <c r="M89" s="51">
        <f t="shared" si="17"/>
        <v>1</v>
      </c>
      <c r="N89" s="961"/>
      <c r="O89" s="51">
        <f t="shared" si="18"/>
        <v>1</v>
      </c>
      <c r="P89" s="961"/>
      <c r="Q89" s="51">
        <f t="shared" si="19"/>
        <v>1</v>
      </c>
      <c r="R89" s="488">
        <f t="shared" si="20"/>
        <v>0</v>
      </c>
      <c r="S89" s="797">
        <f t="shared" si="22"/>
        <v>0</v>
      </c>
    </row>
    <row r="90" spans="1:19">
      <c r="A90" s="963"/>
      <c r="B90" s="135"/>
      <c r="C90" s="51">
        <f t="shared" ref="C90:C153" si="23">IF(B90="",1,(LOOKUP(B90,$3:$3,$4:$4)-LOOKUP($B$24,$3:$3,$4:$4)+100)/100)</f>
        <v>1</v>
      </c>
      <c r="D90" s="961"/>
      <c r="E90" s="51">
        <f t="shared" ref="E90:E153" si="24">(SUMIF($5:$5,D90,$6:$6)-SUMIF($5:$5,$D$24,$6:$6)+100)/100</f>
        <v>1</v>
      </c>
      <c r="F90" s="961"/>
      <c r="G90" s="51">
        <f t="shared" ref="G90:G153" si="25">(SUMIF($7:$7,F90,$8:$8)-SUMIF($7:$7,$F$24,$8:$8)+100)/100</f>
        <v>1</v>
      </c>
      <c r="H90" s="961"/>
      <c r="I90" s="51">
        <f t="shared" ref="I90:I153" si="26">(SUMIF($9:$9,H90,$10:$10)-SUMIF($9:$9,$H$24,$10:$10)+100)/100</f>
        <v>1</v>
      </c>
      <c r="J90" s="961"/>
      <c r="K90" s="51">
        <f t="shared" ref="K90:K153" si="27">(SUMIF($11:$11,J90,$12:$12)-SUMIF($11:$11,$J$24,$12:$12)+100)/100</f>
        <v>1</v>
      </c>
      <c r="L90" s="961"/>
      <c r="M90" s="51">
        <f t="shared" ref="M90:M153" si="28">(SUMIF($13:$13,L90,$14:$14)-SUMIF($13:$13,$L$24,$14:$14)+100)/100</f>
        <v>1</v>
      </c>
      <c r="N90" s="961"/>
      <c r="O90" s="51">
        <f t="shared" ref="O90:O153" si="29">(SUMIF($15:$15,N90,$16:$16)-SUMIF($15:$15,$N$24,$16:$16)+100)/100</f>
        <v>1</v>
      </c>
      <c r="P90" s="961"/>
      <c r="Q90" s="51">
        <f t="shared" ref="Q90:Q153" si="30">(SUMIF($17:$17,P90,$18:$18)-SUMIF($17:$17,$P$24,$18:$18)+100)/100</f>
        <v>1</v>
      </c>
      <c r="R90" s="488">
        <f t="shared" ref="R90:R153" si="31">IF(B90="",0,ROUND($R$24*C90*E90*G90*I90*K90*M90*O90*Q90,0))</f>
        <v>0</v>
      </c>
      <c r="S90" s="797">
        <f t="shared" si="22"/>
        <v>0</v>
      </c>
    </row>
    <row r="91" spans="1:19">
      <c r="A91" s="963"/>
      <c r="B91" s="135"/>
      <c r="C91" s="51">
        <f t="shared" si="23"/>
        <v>1</v>
      </c>
      <c r="D91" s="961"/>
      <c r="E91" s="51">
        <f t="shared" si="24"/>
        <v>1</v>
      </c>
      <c r="F91" s="961"/>
      <c r="G91" s="51">
        <f t="shared" si="25"/>
        <v>1</v>
      </c>
      <c r="H91" s="961"/>
      <c r="I91" s="51">
        <f t="shared" si="26"/>
        <v>1</v>
      </c>
      <c r="J91" s="961"/>
      <c r="K91" s="51">
        <f t="shared" si="27"/>
        <v>1</v>
      </c>
      <c r="L91" s="961"/>
      <c r="M91" s="51">
        <f t="shared" si="28"/>
        <v>1</v>
      </c>
      <c r="N91" s="961"/>
      <c r="O91" s="51">
        <f t="shared" si="29"/>
        <v>1</v>
      </c>
      <c r="P91" s="961"/>
      <c r="Q91" s="51">
        <f t="shared" si="30"/>
        <v>1</v>
      </c>
      <c r="R91" s="488">
        <f t="shared" si="31"/>
        <v>0</v>
      </c>
      <c r="S91" s="797">
        <f t="shared" si="22"/>
        <v>0</v>
      </c>
    </row>
    <row r="92" spans="1:19">
      <c r="A92" s="963"/>
      <c r="B92" s="135"/>
      <c r="C92" s="51">
        <f t="shared" si="23"/>
        <v>1</v>
      </c>
      <c r="D92" s="961"/>
      <c r="E92" s="51">
        <f t="shared" si="24"/>
        <v>1</v>
      </c>
      <c r="F92" s="961"/>
      <c r="G92" s="51">
        <f t="shared" si="25"/>
        <v>1</v>
      </c>
      <c r="H92" s="961"/>
      <c r="I92" s="51">
        <f t="shared" si="26"/>
        <v>1</v>
      </c>
      <c r="J92" s="961"/>
      <c r="K92" s="51">
        <f t="shared" si="27"/>
        <v>1</v>
      </c>
      <c r="L92" s="961"/>
      <c r="M92" s="51">
        <f t="shared" si="28"/>
        <v>1</v>
      </c>
      <c r="N92" s="961"/>
      <c r="O92" s="51">
        <f t="shared" si="29"/>
        <v>1</v>
      </c>
      <c r="P92" s="961"/>
      <c r="Q92" s="51">
        <f t="shared" si="30"/>
        <v>1</v>
      </c>
      <c r="R92" s="488">
        <f t="shared" si="31"/>
        <v>0</v>
      </c>
      <c r="S92" s="797">
        <f t="shared" si="22"/>
        <v>0</v>
      </c>
    </row>
    <row r="93" spans="1:19">
      <c r="A93" s="963"/>
      <c r="B93" s="135"/>
      <c r="C93" s="51">
        <f t="shared" si="23"/>
        <v>1</v>
      </c>
      <c r="D93" s="961"/>
      <c r="E93" s="51">
        <f t="shared" si="24"/>
        <v>1</v>
      </c>
      <c r="F93" s="961"/>
      <c r="G93" s="51">
        <f t="shared" si="25"/>
        <v>1</v>
      </c>
      <c r="H93" s="961"/>
      <c r="I93" s="51">
        <f t="shared" si="26"/>
        <v>1</v>
      </c>
      <c r="J93" s="961"/>
      <c r="K93" s="51">
        <f t="shared" si="27"/>
        <v>1</v>
      </c>
      <c r="L93" s="961"/>
      <c r="M93" s="51">
        <f t="shared" si="28"/>
        <v>1</v>
      </c>
      <c r="N93" s="961"/>
      <c r="O93" s="51">
        <f t="shared" si="29"/>
        <v>1</v>
      </c>
      <c r="P93" s="961"/>
      <c r="Q93" s="51">
        <f t="shared" si="30"/>
        <v>1</v>
      </c>
      <c r="R93" s="488">
        <f t="shared" si="31"/>
        <v>0</v>
      </c>
      <c r="S93" s="797">
        <f t="shared" si="22"/>
        <v>0</v>
      </c>
    </row>
    <row r="94" spans="1:19">
      <c r="A94" s="963"/>
      <c r="B94" s="135"/>
      <c r="C94" s="51">
        <f t="shared" si="23"/>
        <v>1</v>
      </c>
      <c r="D94" s="961"/>
      <c r="E94" s="51">
        <f t="shared" si="24"/>
        <v>1</v>
      </c>
      <c r="F94" s="961"/>
      <c r="G94" s="51">
        <f t="shared" si="25"/>
        <v>1</v>
      </c>
      <c r="H94" s="961"/>
      <c r="I94" s="51">
        <f t="shared" si="26"/>
        <v>1</v>
      </c>
      <c r="J94" s="961"/>
      <c r="K94" s="51">
        <f t="shared" si="27"/>
        <v>1</v>
      </c>
      <c r="L94" s="961"/>
      <c r="M94" s="51">
        <f t="shared" si="28"/>
        <v>1</v>
      </c>
      <c r="N94" s="961"/>
      <c r="O94" s="51">
        <f t="shared" si="29"/>
        <v>1</v>
      </c>
      <c r="P94" s="961"/>
      <c r="Q94" s="51">
        <f t="shared" si="30"/>
        <v>1</v>
      </c>
      <c r="R94" s="488">
        <f t="shared" si="31"/>
        <v>0</v>
      </c>
      <c r="S94" s="797">
        <f t="shared" si="22"/>
        <v>0</v>
      </c>
    </row>
    <row r="95" spans="1:19">
      <c r="A95" s="963"/>
      <c r="B95" s="135"/>
      <c r="C95" s="51">
        <f t="shared" si="23"/>
        <v>1</v>
      </c>
      <c r="D95" s="961"/>
      <c r="E95" s="51">
        <f t="shared" si="24"/>
        <v>1</v>
      </c>
      <c r="F95" s="961"/>
      <c r="G95" s="51">
        <f t="shared" si="25"/>
        <v>1</v>
      </c>
      <c r="H95" s="961"/>
      <c r="I95" s="51">
        <f t="shared" si="26"/>
        <v>1</v>
      </c>
      <c r="J95" s="961"/>
      <c r="K95" s="51">
        <f t="shared" si="27"/>
        <v>1</v>
      </c>
      <c r="L95" s="961"/>
      <c r="M95" s="51">
        <f t="shared" si="28"/>
        <v>1</v>
      </c>
      <c r="N95" s="961"/>
      <c r="O95" s="51">
        <f t="shared" si="29"/>
        <v>1</v>
      </c>
      <c r="P95" s="961"/>
      <c r="Q95" s="51">
        <f t="shared" si="30"/>
        <v>1</v>
      </c>
      <c r="R95" s="488">
        <f t="shared" si="31"/>
        <v>0</v>
      </c>
      <c r="S95" s="797">
        <f t="shared" si="22"/>
        <v>0</v>
      </c>
    </row>
    <row r="96" spans="1:19">
      <c r="A96" s="963"/>
      <c r="B96" s="135"/>
      <c r="C96" s="51">
        <f t="shared" si="23"/>
        <v>1</v>
      </c>
      <c r="D96" s="961"/>
      <c r="E96" s="51">
        <f t="shared" si="24"/>
        <v>1</v>
      </c>
      <c r="F96" s="961"/>
      <c r="G96" s="51">
        <f t="shared" si="25"/>
        <v>1</v>
      </c>
      <c r="H96" s="961"/>
      <c r="I96" s="51">
        <f t="shared" si="26"/>
        <v>1</v>
      </c>
      <c r="J96" s="961"/>
      <c r="K96" s="51">
        <f t="shared" si="27"/>
        <v>1</v>
      </c>
      <c r="L96" s="961"/>
      <c r="M96" s="51">
        <f t="shared" si="28"/>
        <v>1</v>
      </c>
      <c r="N96" s="961"/>
      <c r="O96" s="51">
        <f t="shared" si="29"/>
        <v>1</v>
      </c>
      <c r="P96" s="961"/>
      <c r="Q96" s="51">
        <f t="shared" si="30"/>
        <v>1</v>
      </c>
      <c r="R96" s="488">
        <f t="shared" si="31"/>
        <v>0</v>
      </c>
      <c r="S96" s="797">
        <f t="shared" si="22"/>
        <v>0</v>
      </c>
    </row>
    <row r="97" spans="1:19">
      <c r="A97" s="963"/>
      <c r="B97" s="135"/>
      <c r="C97" s="51">
        <f t="shared" si="23"/>
        <v>1</v>
      </c>
      <c r="D97" s="961"/>
      <c r="E97" s="51">
        <f t="shared" si="24"/>
        <v>1</v>
      </c>
      <c r="F97" s="961"/>
      <c r="G97" s="51">
        <f t="shared" si="25"/>
        <v>1</v>
      </c>
      <c r="H97" s="961"/>
      <c r="I97" s="51">
        <f t="shared" si="26"/>
        <v>1</v>
      </c>
      <c r="J97" s="961"/>
      <c r="K97" s="51">
        <f t="shared" si="27"/>
        <v>1</v>
      </c>
      <c r="L97" s="961"/>
      <c r="M97" s="51">
        <f t="shared" si="28"/>
        <v>1</v>
      </c>
      <c r="N97" s="961"/>
      <c r="O97" s="51">
        <f t="shared" si="29"/>
        <v>1</v>
      </c>
      <c r="P97" s="961"/>
      <c r="Q97" s="51">
        <f t="shared" si="30"/>
        <v>1</v>
      </c>
      <c r="R97" s="488">
        <f t="shared" si="31"/>
        <v>0</v>
      </c>
      <c r="S97" s="797">
        <f t="shared" si="22"/>
        <v>0</v>
      </c>
    </row>
    <row r="98" spans="1:19">
      <c r="A98" s="963"/>
      <c r="B98" s="135"/>
      <c r="C98" s="51">
        <f t="shared" si="23"/>
        <v>1</v>
      </c>
      <c r="D98" s="961"/>
      <c r="E98" s="51">
        <f t="shared" si="24"/>
        <v>1</v>
      </c>
      <c r="F98" s="961"/>
      <c r="G98" s="51">
        <f t="shared" si="25"/>
        <v>1</v>
      </c>
      <c r="H98" s="961"/>
      <c r="I98" s="51">
        <f t="shared" si="26"/>
        <v>1</v>
      </c>
      <c r="J98" s="961"/>
      <c r="K98" s="51">
        <f t="shared" si="27"/>
        <v>1</v>
      </c>
      <c r="L98" s="961"/>
      <c r="M98" s="51">
        <f t="shared" si="28"/>
        <v>1</v>
      </c>
      <c r="N98" s="961"/>
      <c r="O98" s="51">
        <f t="shared" si="29"/>
        <v>1</v>
      </c>
      <c r="P98" s="961"/>
      <c r="Q98" s="51">
        <f t="shared" si="30"/>
        <v>1</v>
      </c>
      <c r="R98" s="488">
        <f t="shared" si="31"/>
        <v>0</v>
      </c>
      <c r="S98" s="797">
        <f t="shared" si="22"/>
        <v>0</v>
      </c>
    </row>
    <row r="99" spans="1:19">
      <c r="A99" s="963"/>
      <c r="B99" s="135"/>
      <c r="C99" s="51">
        <f t="shared" si="23"/>
        <v>1</v>
      </c>
      <c r="D99" s="961"/>
      <c r="E99" s="51">
        <f t="shared" si="24"/>
        <v>1</v>
      </c>
      <c r="F99" s="961"/>
      <c r="G99" s="51">
        <f t="shared" si="25"/>
        <v>1</v>
      </c>
      <c r="H99" s="961"/>
      <c r="I99" s="51">
        <f t="shared" si="26"/>
        <v>1</v>
      </c>
      <c r="J99" s="961"/>
      <c r="K99" s="51">
        <f t="shared" si="27"/>
        <v>1</v>
      </c>
      <c r="L99" s="961"/>
      <c r="M99" s="51">
        <f t="shared" si="28"/>
        <v>1</v>
      </c>
      <c r="N99" s="961"/>
      <c r="O99" s="51">
        <f t="shared" si="29"/>
        <v>1</v>
      </c>
      <c r="P99" s="961"/>
      <c r="Q99" s="51">
        <f t="shared" si="30"/>
        <v>1</v>
      </c>
      <c r="R99" s="488">
        <f t="shared" si="31"/>
        <v>0</v>
      </c>
      <c r="S99" s="797">
        <f t="shared" si="22"/>
        <v>0</v>
      </c>
    </row>
    <row r="100" spans="1:19">
      <c r="A100" s="963"/>
      <c r="B100" s="135"/>
      <c r="C100" s="51">
        <f t="shared" si="23"/>
        <v>1</v>
      </c>
      <c r="D100" s="961"/>
      <c r="E100" s="51">
        <f t="shared" si="24"/>
        <v>1</v>
      </c>
      <c r="F100" s="961"/>
      <c r="G100" s="51">
        <f t="shared" si="25"/>
        <v>1</v>
      </c>
      <c r="H100" s="961"/>
      <c r="I100" s="51">
        <f t="shared" si="26"/>
        <v>1</v>
      </c>
      <c r="J100" s="961"/>
      <c r="K100" s="51">
        <f t="shared" si="27"/>
        <v>1</v>
      </c>
      <c r="L100" s="961"/>
      <c r="M100" s="51">
        <f t="shared" si="28"/>
        <v>1</v>
      </c>
      <c r="N100" s="961"/>
      <c r="O100" s="51">
        <f t="shared" si="29"/>
        <v>1</v>
      </c>
      <c r="P100" s="961"/>
      <c r="Q100" s="51">
        <f t="shared" si="30"/>
        <v>1</v>
      </c>
      <c r="R100" s="488">
        <f t="shared" si="31"/>
        <v>0</v>
      </c>
      <c r="S100" s="797">
        <f t="shared" si="22"/>
        <v>0</v>
      </c>
    </row>
    <row r="101" spans="1:19">
      <c r="A101" s="963"/>
      <c r="B101" s="135"/>
      <c r="C101" s="51">
        <f t="shared" si="23"/>
        <v>1</v>
      </c>
      <c r="D101" s="961"/>
      <c r="E101" s="51">
        <f t="shared" si="24"/>
        <v>1</v>
      </c>
      <c r="F101" s="961"/>
      <c r="G101" s="51">
        <f t="shared" si="25"/>
        <v>1</v>
      </c>
      <c r="H101" s="961"/>
      <c r="I101" s="51">
        <f t="shared" si="26"/>
        <v>1</v>
      </c>
      <c r="J101" s="961"/>
      <c r="K101" s="51">
        <f t="shared" si="27"/>
        <v>1</v>
      </c>
      <c r="L101" s="961"/>
      <c r="M101" s="51">
        <f t="shared" si="28"/>
        <v>1</v>
      </c>
      <c r="N101" s="961"/>
      <c r="O101" s="51">
        <f t="shared" si="29"/>
        <v>1</v>
      </c>
      <c r="P101" s="961"/>
      <c r="Q101" s="51">
        <f t="shared" si="30"/>
        <v>1</v>
      </c>
      <c r="R101" s="488">
        <f t="shared" si="31"/>
        <v>0</v>
      </c>
      <c r="S101" s="797">
        <f t="shared" si="22"/>
        <v>0</v>
      </c>
    </row>
    <row r="102" spans="1:19">
      <c r="A102" s="963"/>
      <c r="B102" s="135"/>
      <c r="C102" s="51">
        <f t="shared" si="23"/>
        <v>1</v>
      </c>
      <c r="D102" s="961"/>
      <c r="E102" s="51">
        <f t="shared" si="24"/>
        <v>1</v>
      </c>
      <c r="F102" s="961"/>
      <c r="G102" s="51">
        <f t="shared" si="25"/>
        <v>1</v>
      </c>
      <c r="H102" s="961"/>
      <c r="I102" s="51">
        <f t="shared" si="26"/>
        <v>1</v>
      </c>
      <c r="J102" s="961"/>
      <c r="K102" s="51">
        <f t="shared" si="27"/>
        <v>1</v>
      </c>
      <c r="L102" s="961"/>
      <c r="M102" s="51">
        <f t="shared" si="28"/>
        <v>1</v>
      </c>
      <c r="N102" s="961"/>
      <c r="O102" s="51">
        <f t="shared" si="29"/>
        <v>1</v>
      </c>
      <c r="P102" s="961"/>
      <c r="Q102" s="51">
        <f t="shared" si="30"/>
        <v>1</v>
      </c>
      <c r="R102" s="488">
        <f t="shared" si="31"/>
        <v>0</v>
      </c>
      <c r="S102" s="797">
        <f t="shared" si="22"/>
        <v>0</v>
      </c>
    </row>
    <row r="103" spans="1:19">
      <c r="A103" s="963"/>
      <c r="B103" s="135"/>
      <c r="C103" s="51">
        <f t="shared" si="23"/>
        <v>1</v>
      </c>
      <c r="D103" s="961"/>
      <c r="E103" s="51">
        <f t="shared" si="24"/>
        <v>1</v>
      </c>
      <c r="F103" s="961"/>
      <c r="G103" s="51">
        <f t="shared" si="25"/>
        <v>1</v>
      </c>
      <c r="H103" s="961"/>
      <c r="I103" s="51">
        <f t="shared" si="26"/>
        <v>1</v>
      </c>
      <c r="J103" s="961"/>
      <c r="K103" s="51">
        <f t="shared" si="27"/>
        <v>1</v>
      </c>
      <c r="L103" s="961"/>
      <c r="M103" s="51">
        <f t="shared" si="28"/>
        <v>1</v>
      </c>
      <c r="N103" s="961"/>
      <c r="O103" s="51">
        <f t="shared" si="29"/>
        <v>1</v>
      </c>
      <c r="P103" s="961"/>
      <c r="Q103" s="51">
        <f t="shared" si="30"/>
        <v>1</v>
      </c>
      <c r="R103" s="488">
        <f t="shared" si="31"/>
        <v>0</v>
      </c>
      <c r="S103" s="797">
        <f t="shared" si="22"/>
        <v>0</v>
      </c>
    </row>
    <row r="104" spans="1:19">
      <c r="A104" s="963"/>
      <c r="B104" s="135"/>
      <c r="C104" s="51">
        <f t="shared" si="23"/>
        <v>1</v>
      </c>
      <c r="D104" s="961"/>
      <c r="E104" s="51">
        <f t="shared" si="24"/>
        <v>1</v>
      </c>
      <c r="F104" s="961"/>
      <c r="G104" s="51">
        <f t="shared" si="25"/>
        <v>1</v>
      </c>
      <c r="H104" s="961"/>
      <c r="I104" s="51">
        <f t="shared" si="26"/>
        <v>1</v>
      </c>
      <c r="J104" s="961"/>
      <c r="K104" s="51">
        <f t="shared" si="27"/>
        <v>1</v>
      </c>
      <c r="L104" s="961"/>
      <c r="M104" s="51">
        <f t="shared" si="28"/>
        <v>1</v>
      </c>
      <c r="N104" s="961"/>
      <c r="O104" s="51">
        <f t="shared" si="29"/>
        <v>1</v>
      </c>
      <c r="P104" s="961"/>
      <c r="Q104" s="51">
        <f t="shared" si="30"/>
        <v>1</v>
      </c>
      <c r="R104" s="488">
        <f t="shared" si="31"/>
        <v>0</v>
      </c>
      <c r="S104" s="797">
        <f t="shared" si="22"/>
        <v>0</v>
      </c>
    </row>
    <row r="105" spans="1:19">
      <c r="A105" s="963"/>
      <c r="B105" s="135"/>
      <c r="C105" s="51">
        <f t="shared" si="23"/>
        <v>1</v>
      </c>
      <c r="D105" s="961"/>
      <c r="E105" s="51">
        <f t="shared" si="24"/>
        <v>1</v>
      </c>
      <c r="F105" s="961"/>
      <c r="G105" s="51">
        <f t="shared" si="25"/>
        <v>1</v>
      </c>
      <c r="H105" s="961"/>
      <c r="I105" s="51">
        <f t="shared" si="26"/>
        <v>1</v>
      </c>
      <c r="J105" s="961"/>
      <c r="K105" s="51">
        <f t="shared" si="27"/>
        <v>1</v>
      </c>
      <c r="L105" s="961"/>
      <c r="M105" s="51">
        <f t="shared" si="28"/>
        <v>1</v>
      </c>
      <c r="N105" s="961"/>
      <c r="O105" s="51">
        <f t="shared" si="29"/>
        <v>1</v>
      </c>
      <c r="P105" s="961"/>
      <c r="Q105" s="51">
        <f t="shared" si="30"/>
        <v>1</v>
      </c>
      <c r="R105" s="488">
        <f t="shared" si="31"/>
        <v>0</v>
      </c>
      <c r="S105" s="797">
        <f t="shared" si="22"/>
        <v>0</v>
      </c>
    </row>
    <row r="106" spans="1:19">
      <c r="A106" s="963"/>
      <c r="B106" s="135"/>
      <c r="C106" s="51">
        <f t="shared" si="23"/>
        <v>1</v>
      </c>
      <c r="D106" s="961"/>
      <c r="E106" s="51">
        <f t="shared" si="24"/>
        <v>1</v>
      </c>
      <c r="F106" s="961"/>
      <c r="G106" s="51">
        <f t="shared" si="25"/>
        <v>1</v>
      </c>
      <c r="H106" s="961"/>
      <c r="I106" s="51">
        <f t="shared" si="26"/>
        <v>1</v>
      </c>
      <c r="J106" s="961"/>
      <c r="K106" s="51">
        <f t="shared" si="27"/>
        <v>1</v>
      </c>
      <c r="L106" s="961"/>
      <c r="M106" s="51">
        <f t="shared" si="28"/>
        <v>1</v>
      </c>
      <c r="N106" s="961"/>
      <c r="O106" s="51">
        <f t="shared" si="29"/>
        <v>1</v>
      </c>
      <c r="P106" s="961"/>
      <c r="Q106" s="51">
        <f t="shared" si="30"/>
        <v>1</v>
      </c>
      <c r="R106" s="488">
        <f t="shared" si="31"/>
        <v>0</v>
      </c>
      <c r="S106" s="797">
        <f t="shared" si="22"/>
        <v>0</v>
      </c>
    </row>
    <row r="107" spans="1:19">
      <c r="A107" s="963"/>
      <c r="B107" s="135"/>
      <c r="C107" s="51">
        <f t="shared" si="23"/>
        <v>1</v>
      </c>
      <c r="D107" s="961"/>
      <c r="E107" s="51">
        <f t="shared" si="24"/>
        <v>1</v>
      </c>
      <c r="F107" s="961"/>
      <c r="G107" s="51">
        <f t="shared" si="25"/>
        <v>1</v>
      </c>
      <c r="H107" s="961"/>
      <c r="I107" s="51">
        <f t="shared" si="26"/>
        <v>1</v>
      </c>
      <c r="J107" s="961"/>
      <c r="K107" s="51">
        <f t="shared" si="27"/>
        <v>1</v>
      </c>
      <c r="L107" s="961"/>
      <c r="M107" s="51">
        <f t="shared" si="28"/>
        <v>1</v>
      </c>
      <c r="N107" s="961"/>
      <c r="O107" s="51">
        <f t="shared" si="29"/>
        <v>1</v>
      </c>
      <c r="P107" s="961"/>
      <c r="Q107" s="51">
        <f t="shared" si="30"/>
        <v>1</v>
      </c>
      <c r="R107" s="488">
        <f t="shared" si="31"/>
        <v>0</v>
      </c>
      <c r="S107" s="797">
        <f t="shared" si="22"/>
        <v>0</v>
      </c>
    </row>
    <row r="108" spans="1:19">
      <c r="A108" s="963"/>
      <c r="B108" s="135"/>
      <c r="C108" s="51">
        <f t="shared" si="23"/>
        <v>1</v>
      </c>
      <c r="D108" s="961"/>
      <c r="E108" s="51">
        <f t="shared" si="24"/>
        <v>1</v>
      </c>
      <c r="F108" s="961"/>
      <c r="G108" s="51">
        <f t="shared" si="25"/>
        <v>1</v>
      </c>
      <c r="H108" s="961"/>
      <c r="I108" s="51">
        <f t="shared" si="26"/>
        <v>1</v>
      </c>
      <c r="J108" s="961"/>
      <c r="K108" s="51">
        <f t="shared" si="27"/>
        <v>1</v>
      </c>
      <c r="L108" s="961"/>
      <c r="M108" s="51">
        <f t="shared" si="28"/>
        <v>1</v>
      </c>
      <c r="N108" s="961"/>
      <c r="O108" s="51">
        <f t="shared" si="29"/>
        <v>1</v>
      </c>
      <c r="P108" s="961"/>
      <c r="Q108" s="51">
        <f t="shared" si="30"/>
        <v>1</v>
      </c>
      <c r="R108" s="488">
        <f t="shared" si="31"/>
        <v>0</v>
      </c>
      <c r="S108" s="797">
        <f t="shared" si="22"/>
        <v>0</v>
      </c>
    </row>
    <row r="109" spans="1:19">
      <c r="A109" s="963"/>
      <c r="B109" s="135"/>
      <c r="C109" s="51">
        <f t="shared" si="23"/>
        <v>1</v>
      </c>
      <c r="D109" s="961"/>
      <c r="E109" s="51">
        <f t="shared" si="24"/>
        <v>1</v>
      </c>
      <c r="F109" s="961"/>
      <c r="G109" s="51">
        <f t="shared" si="25"/>
        <v>1</v>
      </c>
      <c r="H109" s="961"/>
      <c r="I109" s="51">
        <f t="shared" si="26"/>
        <v>1</v>
      </c>
      <c r="J109" s="961"/>
      <c r="K109" s="51">
        <f t="shared" si="27"/>
        <v>1</v>
      </c>
      <c r="L109" s="961"/>
      <c r="M109" s="51">
        <f t="shared" si="28"/>
        <v>1</v>
      </c>
      <c r="N109" s="961"/>
      <c r="O109" s="51">
        <f t="shared" si="29"/>
        <v>1</v>
      </c>
      <c r="P109" s="961"/>
      <c r="Q109" s="51">
        <f t="shared" si="30"/>
        <v>1</v>
      </c>
      <c r="R109" s="488">
        <f t="shared" si="31"/>
        <v>0</v>
      </c>
      <c r="S109" s="797">
        <f t="shared" si="22"/>
        <v>0</v>
      </c>
    </row>
    <row r="110" spans="1:19">
      <c r="A110" s="963"/>
      <c r="B110" s="135"/>
      <c r="C110" s="51">
        <f t="shared" si="23"/>
        <v>1</v>
      </c>
      <c r="D110" s="961"/>
      <c r="E110" s="51">
        <f t="shared" si="24"/>
        <v>1</v>
      </c>
      <c r="F110" s="961"/>
      <c r="G110" s="51">
        <f t="shared" si="25"/>
        <v>1</v>
      </c>
      <c r="H110" s="961"/>
      <c r="I110" s="51">
        <f t="shared" si="26"/>
        <v>1</v>
      </c>
      <c r="J110" s="961"/>
      <c r="K110" s="51">
        <f t="shared" si="27"/>
        <v>1</v>
      </c>
      <c r="L110" s="961"/>
      <c r="M110" s="51">
        <f t="shared" si="28"/>
        <v>1</v>
      </c>
      <c r="N110" s="961"/>
      <c r="O110" s="51">
        <f t="shared" si="29"/>
        <v>1</v>
      </c>
      <c r="P110" s="961"/>
      <c r="Q110" s="51">
        <f t="shared" si="30"/>
        <v>1</v>
      </c>
      <c r="R110" s="488">
        <f t="shared" si="31"/>
        <v>0</v>
      </c>
      <c r="S110" s="797">
        <f t="shared" si="22"/>
        <v>0</v>
      </c>
    </row>
    <row r="111" spans="1:19">
      <c r="A111" s="963"/>
      <c r="B111" s="135"/>
      <c r="C111" s="51">
        <f t="shared" si="23"/>
        <v>1</v>
      </c>
      <c r="D111" s="961"/>
      <c r="E111" s="51">
        <f t="shared" si="24"/>
        <v>1</v>
      </c>
      <c r="F111" s="961"/>
      <c r="G111" s="51">
        <f t="shared" si="25"/>
        <v>1</v>
      </c>
      <c r="H111" s="961"/>
      <c r="I111" s="51">
        <f t="shared" si="26"/>
        <v>1</v>
      </c>
      <c r="J111" s="961"/>
      <c r="K111" s="51">
        <f t="shared" si="27"/>
        <v>1</v>
      </c>
      <c r="L111" s="961"/>
      <c r="M111" s="51">
        <f t="shared" si="28"/>
        <v>1</v>
      </c>
      <c r="N111" s="961"/>
      <c r="O111" s="51">
        <f t="shared" si="29"/>
        <v>1</v>
      </c>
      <c r="P111" s="961"/>
      <c r="Q111" s="51">
        <f t="shared" si="30"/>
        <v>1</v>
      </c>
      <c r="R111" s="488">
        <f t="shared" si="31"/>
        <v>0</v>
      </c>
      <c r="S111" s="797">
        <f t="shared" si="22"/>
        <v>0</v>
      </c>
    </row>
    <row r="112" spans="1:19">
      <c r="A112" s="963"/>
      <c r="B112" s="135"/>
      <c r="C112" s="51">
        <f t="shared" si="23"/>
        <v>1</v>
      </c>
      <c r="D112" s="961"/>
      <c r="E112" s="51">
        <f t="shared" si="24"/>
        <v>1</v>
      </c>
      <c r="F112" s="961"/>
      <c r="G112" s="51">
        <f t="shared" si="25"/>
        <v>1</v>
      </c>
      <c r="H112" s="961"/>
      <c r="I112" s="51">
        <f t="shared" si="26"/>
        <v>1</v>
      </c>
      <c r="J112" s="961"/>
      <c r="K112" s="51">
        <f t="shared" si="27"/>
        <v>1</v>
      </c>
      <c r="L112" s="961"/>
      <c r="M112" s="51">
        <f t="shared" si="28"/>
        <v>1</v>
      </c>
      <c r="N112" s="961"/>
      <c r="O112" s="51">
        <f t="shared" si="29"/>
        <v>1</v>
      </c>
      <c r="P112" s="961"/>
      <c r="Q112" s="51">
        <f t="shared" si="30"/>
        <v>1</v>
      </c>
      <c r="R112" s="488">
        <f t="shared" si="31"/>
        <v>0</v>
      </c>
      <c r="S112" s="797">
        <f t="shared" si="22"/>
        <v>0</v>
      </c>
    </row>
    <row r="113" spans="1:19">
      <c r="A113" s="963"/>
      <c r="B113" s="135"/>
      <c r="C113" s="51">
        <f t="shared" si="23"/>
        <v>1</v>
      </c>
      <c r="D113" s="961"/>
      <c r="E113" s="51">
        <f t="shared" si="24"/>
        <v>1</v>
      </c>
      <c r="F113" s="961"/>
      <c r="G113" s="51">
        <f t="shared" si="25"/>
        <v>1</v>
      </c>
      <c r="H113" s="961"/>
      <c r="I113" s="51">
        <f t="shared" si="26"/>
        <v>1</v>
      </c>
      <c r="J113" s="961"/>
      <c r="K113" s="51">
        <f t="shared" si="27"/>
        <v>1</v>
      </c>
      <c r="L113" s="961"/>
      <c r="M113" s="51">
        <f t="shared" si="28"/>
        <v>1</v>
      </c>
      <c r="N113" s="961"/>
      <c r="O113" s="51">
        <f t="shared" si="29"/>
        <v>1</v>
      </c>
      <c r="P113" s="961"/>
      <c r="Q113" s="51">
        <f t="shared" si="30"/>
        <v>1</v>
      </c>
      <c r="R113" s="488">
        <f t="shared" si="31"/>
        <v>0</v>
      </c>
      <c r="S113" s="797">
        <f t="shared" si="22"/>
        <v>0</v>
      </c>
    </row>
    <row r="114" spans="1:19">
      <c r="A114" s="963"/>
      <c r="B114" s="135"/>
      <c r="C114" s="51">
        <f t="shared" si="23"/>
        <v>1</v>
      </c>
      <c r="D114" s="961"/>
      <c r="E114" s="51">
        <f t="shared" si="24"/>
        <v>1</v>
      </c>
      <c r="F114" s="961"/>
      <c r="G114" s="51">
        <f t="shared" si="25"/>
        <v>1</v>
      </c>
      <c r="H114" s="961"/>
      <c r="I114" s="51">
        <f t="shared" si="26"/>
        <v>1</v>
      </c>
      <c r="J114" s="961"/>
      <c r="K114" s="51">
        <f t="shared" si="27"/>
        <v>1</v>
      </c>
      <c r="L114" s="961"/>
      <c r="M114" s="51">
        <f t="shared" si="28"/>
        <v>1</v>
      </c>
      <c r="N114" s="961"/>
      <c r="O114" s="51">
        <f t="shared" si="29"/>
        <v>1</v>
      </c>
      <c r="P114" s="961"/>
      <c r="Q114" s="51">
        <f t="shared" si="30"/>
        <v>1</v>
      </c>
      <c r="R114" s="488">
        <f t="shared" si="31"/>
        <v>0</v>
      </c>
      <c r="S114" s="797">
        <f t="shared" si="22"/>
        <v>0</v>
      </c>
    </row>
    <row r="115" spans="1:19">
      <c r="A115" s="963"/>
      <c r="B115" s="135"/>
      <c r="C115" s="51">
        <f t="shared" si="23"/>
        <v>1</v>
      </c>
      <c r="D115" s="961"/>
      <c r="E115" s="51">
        <f t="shared" si="24"/>
        <v>1</v>
      </c>
      <c r="F115" s="961"/>
      <c r="G115" s="51">
        <f t="shared" si="25"/>
        <v>1</v>
      </c>
      <c r="H115" s="961"/>
      <c r="I115" s="51">
        <f t="shared" si="26"/>
        <v>1</v>
      </c>
      <c r="J115" s="961"/>
      <c r="K115" s="51">
        <f t="shared" si="27"/>
        <v>1</v>
      </c>
      <c r="L115" s="961"/>
      <c r="M115" s="51">
        <f t="shared" si="28"/>
        <v>1</v>
      </c>
      <c r="N115" s="961"/>
      <c r="O115" s="51">
        <f t="shared" si="29"/>
        <v>1</v>
      </c>
      <c r="P115" s="961"/>
      <c r="Q115" s="51">
        <f t="shared" si="30"/>
        <v>1</v>
      </c>
      <c r="R115" s="488">
        <f t="shared" si="31"/>
        <v>0</v>
      </c>
      <c r="S115" s="797">
        <f t="shared" si="22"/>
        <v>0</v>
      </c>
    </row>
    <row r="116" spans="1:19">
      <c r="A116" s="963"/>
      <c r="B116" s="135"/>
      <c r="C116" s="51">
        <f t="shared" si="23"/>
        <v>1</v>
      </c>
      <c r="D116" s="961"/>
      <c r="E116" s="51">
        <f t="shared" si="24"/>
        <v>1</v>
      </c>
      <c r="F116" s="961"/>
      <c r="G116" s="51">
        <f t="shared" si="25"/>
        <v>1</v>
      </c>
      <c r="H116" s="961"/>
      <c r="I116" s="51">
        <f t="shared" si="26"/>
        <v>1</v>
      </c>
      <c r="J116" s="961"/>
      <c r="K116" s="51">
        <f t="shared" si="27"/>
        <v>1</v>
      </c>
      <c r="L116" s="961"/>
      <c r="M116" s="51">
        <f t="shared" si="28"/>
        <v>1</v>
      </c>
      <c r="N116" s="961"/>
      <c r="O116" s="51">
        <f t="shared" si="29"/>
        <v>1</v>
      </c>
      <c r="P116" s="961"/>
      <c r="Q116" s="51">
        <f t="shared" si="30"/>
        <v>1</v>
      </c>
      <c r="R116" s="488">
        <f t="shared" si="31"/>
        <v>0</v>
      </c>
      <c r="S116" s="797">
        <f t="shared" si="22"/>
        <v>0</v>
      </c>
    </row>
    <row r="117" spans="1:19">
      <c r="A117" s="963"/>
      <c r="B117" s="135"/>
      <c r="C117" s="51">
        <f t="shared" si="23"/>
        <v>1</v>
      </c>
      <c r="D117" s="961"/>
      <c r="E117" s="51">
        <f t="shared" si="24"/>
        <v>1</v>
      </c>
      <c r="F117" s="961"/>
      <c r="G117" s="51">
        <f t="shared" si="25"/>
        <v>1</v>
      </c>
      <c r="H117" s="961"/>
      <c r="I117" s="51">
        <f t="shared" si="26"/>
        <v>1</v>
      </c>
      <c r="J117" s="961"/>
      <c r="K117" s="51">
        <f t="shared" si="27"/>
        <v>1</v>
      </c>
      <c r="L117" s="961"/>
      <c r="M117" s="51">
        <f t="shared" si="28"/>
        <v>1</v>
      </c>
      <c r="N117" s="961"/>
      <c r="O117" s="51">
        <f t="shared" si="29"/>
        <v>1</v>
      </c>
      <c r="P117" s="961"/>
      <c r="Q117" s="51">
        <f t="shared" si="30"/>
        <v>1</v>
      </c>
      <c r="R117" s="488">
        <f t="shared" si="31"/>
        <v>0</v>
      </c>
      <c r="S117" s="797">
        <f t="shared" si="22"/>
        <v>0</v>
      </c>
    </row>
    <row r="118" spans="1:19">
      <c r="A118" s="963"/>
      <c r="B118" s="135"/>
      <c r="C118" s="51">
        <f t="shared" si="23"/>
        <v>1</v>
      </c>
      <c r="D118" s="961"/>
      <c r="E118" s="51">
        <f t="shared" si="24"/>
        <v>1</v>
      </c>
      <c r="F118" s="961"/>
      <c r="G118" s="51">
        <f t="shared" si="25"/>
        <v>1</v>
      </c>
      <c r="H118" s="961"/>
      <c r="I118" s="51">
        <f t="shared" si="26"/>
        <v>1</v>
      </c>
      <c r="J118" s="961"/>
      <c r="K118" s="51">
        <f t="shared" si="27"/>
        <v>1</v>
      </c>
      <c r="L118" s="961"/>
      <c r="M118" s="51">
        <f t="shared" si="28"/>
        <v>1</v>
      </c>
      <c r="N118" s="961"/>
      <c r="O118" s="51">
        <f t="shared" si="29"/>
        <v>1</v>
      </c>
      <c r="P118" s="961"/>
      <c r="Q118" s="51">
        <f t="shared" si="30"/>
        <v>1</v>
      </c>
      <c r="R118" s="488">
        <f t="shared" si="31"/>
        <v>0</v>
      </c>
      <c r="S118" s="797">
        <f t="shared" si="22"/>
        <v>0</v>
      </c>
    </row>
    <row r="119" spans="1:19">
      <c r="A119" s="963"/>
      <c r="B119" s="135"/>
      <c r="C119" s="51">
        <f t="shared" si="23"/>
        <v>1</v>
      </c>
      <c r="D119" s="961"/>
      <c r="E119" s="51">
        <f t="shared" si="24"/>
        <v>1</v>
      </c>
      <c r="F119" s="961"/>
      <c r="G119" s="51">
        <f t="shared" si="25"/>
        <v>1</v>
      </c>
      <c r="H119" s="961"/>
      <c r="I119" s="51">
        <f t="shared" si="26"/>
        <v>1</v>
      </c>
      <c r="J119" s="961"/>
      <c r="K119" s="51">
        <f t="shared" si="27"/>
        <v>1</v>
      </c>
      <c r="L119" s="961"/>
      <c r="M119" s="51">
        <f t="shared" si="28"/>
        <v>1</v>
      </c>
      <c r="N119" s="961"/>
      <c r="O119" s="51">
        <f t="shared" si="29"/>
        <v>1</v>
      </c>
      <c r="P119" s="961"/>
      <c r="Q119" s="51">
        <f t="shared" si="30"/>
        <v>1</v>
      </c>
      <c r="R119" s="488">
        <f t="shared" si="31"/>
        <v>0</v>
      </c>
      <c r="S119" s="797">
        <f t="shared" si="22"/>
        <v>0</v>
      </c>
    </row>
    <row r="120" spans="1:19">
      <c r="A120" s="963"/>
      <c r="B120" s="135"/>
      <c r="C120" s="51">
        <f t="shared" si="23"/>
        <v>1</v>
      </c>
      <c r="D120" s="961"/>
      <c r="E120" s="51">
        <f t="shared" si="24"/>
        <v>1</v>
      </c>
      <c r="F120" s="961"/>
      <c r="G120" s="51">
        <f t="shared" si="25"/>
        <v>1</v>
      </c>
      <c r="H120" s="961"/>
      <c r="I120" s="51">
        <f t="shared" si="26"/>
        <v>1</v>
      </c>
      <c r="J120" s="961"/>
      <c r="K120" s="51">
        <f t="shared" si="27"/>
        <v>1</v>
      </c>
      <c r="L120" s="961"/>
      <c r="M120" s="51">
        <f t="shared" si="28"/>
        <v>1</v>
      </c>
      <c r="N120" s="961"/>
      <c r="O120" s="51">
        <f t="shared" si="29"/>
        <v>1</v>
      </c>
      <c r="P120" s="961"/>
      <c r="Q120" s="51">
        <f t="shared" si="30"/>
        <v>1</v>
      </c>
      <c r="R120" s="488">
        <f t="shared" si="31"/>
        <v>0</v>
      </c>
      <c r="S120" s="797">
        <f t="shared" si="22"/>
        <v>0</v>
      </c>
    </row>
    <row r="121" spans="1:19">
      <c r="A121" s="963"/>
      <c r="B121" s="135"/>
      <c r="C121" s="51">
        <f t="shared" si="23"/>
        <v>1</v>
      </c>
      <c r="D121" s="961"/>
      <c r="E121" s="51">
        <f t="shared" si="24"/>
        <v>1</v>
      </c>
      <c r="F121" s="961"/>
      <c r="G121" s="51">
        <f t="shared" si="25"/>
        <v>1</v>
      </c>
      <c r="H121" s="961"/>
      <c r="I121" s="51">
        <f t="shared" si="26"/>
        <v>1</v>
      </c>
      <c r="J121" s="961"/>
      <c r="K121" s="51">
        <f t="shared" si="27"/>
        <v>1</v>
      </c>
      <c r="L121" s="961"/>
      <c r="M121" s="51">
        <f t="shared" si="28"/>
        <v>1</v>
      </c>
      <c r="N121" s="961"/>
      <c r="O121" s="51">
        <f t="shared" si="29"/>
        <v>1</v>
      </c>
      <c r="P121" s="961"/>
      <c r="Q121" s="51">
        <f t="shared" si="30"/>
        <v>1</v>
      </c>
      <c r="R121" s="488">
        <f t="shared" si="31"/>
        <v>0</v>
      </c>
      <c r="S121" s="797">
        <f t="shared" si="22"/>
        <v>0</v>
      </c>
    </row>
    <row r="122" spans="1:19">
      <c r="A122" s="963"/>
      <c r="B122" s="135"/>
      <c r="C122" s="51">
        <f t="shared" si="23"/>
        <v>1</v>
      </c>
      <c r="D122" s="961"/>
      <c r="E122" s="51">
        <f t="shared" si="24"/>
        <v>1</v>
      </c>
      <c r="F122" s="961"/>
      <c r="G122" s="51">
        <f t="shared" si="25"/>
        <v>1</v>
      </c>
      <c r="H122" s="961"/>
      <c r="I122" s="51">
        <f t="shared" si="26"/>
        <v>1</v>
      </c>
      <c r="J122" s="961"/>
      <c r="K122" s="51">
        <f t="shared" si="27"/>
        <v>1</v>
      </c>
      <c r="L122" s="961"/>
      <c r="M122" s="51">
        <f t="shared" si="28"/>
        <v>1</v>
      </c>
      <c r="N122" s="961"/>
      <c r="O122" s="51">
        <f t="shared" si="29"/>
        <v>1</v>
      </c>
      <c r="P122" s="961"/>
      <c r="Q122" s="51">
        <f t="shared" si="30"/>
        <v>1</v>
      </c>
      <c r="R122" s="488">
        <f t="shared" si="31"/>
        <v>0</v>
      </c>
      <c r="S122" s="797">
        <f t="shared" si="22"/>
        <v>0</v>
      </c>
    </row>
    <row r="123" spans="1:19">
      <c r="A123" s="963"/>
      <c r="B123" s="135"/>
      <c r="C123" s="51">
        <f t="shared" si="23"/>
        <v>1</v>
      </c>
      <c r="D123" s="961"/>
      <c r="E123" s="51">
        <f t="shared" si="24"/>
        <v>1</v>
      </c>
      <c r="F123" s="961"/>
      <c r="G123" s="51">
        <f t="shared" si="25"/>
        <v>1</v>
      </c>
      <c r="H123" s="961"/>
      <c r="I123" s="51">
        <f t="shared" si="26"/>
        <v>1</v>
      </c>
      <c r="J123" s="961"/>
      <c r="K123" s="51">
        <f t="shared" si="27"/>
        <v>1</v>
      </c>
      <c r="L123" s="961"/>
      <c r="M123" s="51">
        <f t="shared" si="28"/>
        <v>1</v>
      </c>
      <c r="N123" s="961"/>
      <c r="O123" s="51">
        <f t="shared" si="29"/>
        <v>1</v>
      </c>
      <c r="P123" s="961"/>
      <c r="Q123" s="51">
        <f t="shared" si="30"/>
        <v>1</v>
      </c>
      <c r="R123" s="488">
        <f t="shared" si="31"/>
        <v>0</v>
      </c>
      <c r="S123" s="797">
        <f t="shared" ref="S123:S186" si="32">ROUND(R123*B123/10000,0)</f>
        <v>0</v>
      </c>
    </row>
    <row r="124" spans="1:19">
      <c r="A124" s="963"/>
      <c r="B124" s="135"/>
      <c r="C124" s="51">
        <f t="shared" si="23"/>
        <v>1</v>
      </c>
      <c r="D124" s="961"/>
      <c r="E124" s="51">
        <f t="shared" si="24"/>
        <v>1</v>
      </c>
      <c r="F124" s="961"/>
      <c r="G124" s="51">
        <f t="shared" si="25"/>
        <v>1</v>
      </c>
      <c r="H124" s="961"/>
      <c r="I124" s="51">
        <f t="shared" si="26"/>
        <v>1</v>
      </c>
      <c r="J124" s="961"/>
      <c r="K124" s="51">
        <f t="shared" si="27"/>
        <v>1</v>
      </c>
      <c r="L124" s="961"/>
      <c r="M124" s="51">
        <f t="shared" si="28"/>
        <v>1</v>
      </c>
      <c r="N124" s="961"/>
      <c r="O124" s="51">
        <f t="shared" si="29"/>
        <v>1</v>
      </c>
      <c r="P124" s="961"/>
      <c r="Q124" s="51">
        <f t="shared" si="30"/>
        <v>1</v>
      </c>
      <c r="R124" s="488">
        <f t="shared" si="31"/>
        <v>0</v>
      </c>
      <c r="S124" s="797">
        <f t="shared" si="32"/>
        <v>0</v>
      </c>
    </row>
    <row r="125" spans="1:19">
      <c r="A125" s="963"/>
      <c r="B125" s="135"/>
      <c r="C125" s="51">
        <f t="shared" si="23"/>
        <v>1</v>
      </c>
      <c r="D125" s="961"/>
      <c r="E125" s="51">
        <f t="shared" si="24"/>
        <v>1</v>
      </c>
      <c r="F125" s="961"/>
      <c r="G125" s="51">
        <f t="shared" si="25"/>
        <v>1</v>
      </c>
      <c r="H125" s="961"/>
      <c r="I125" s="51">
        <f t="shared" si="26"/>
        <v>1</v>
      </c>
      <c r="J125" s="961"/>
      <c r="K125" s="51">
        <f t="shared" si="27"/>
        <v>1</v>
      </c>
      <c r="L125" s="961"/>
      <c r="M125" s="51">
        <f t="shared" si="28"/>
        <v>1</v>
      </c>
      <c r="N125" s="961"/>
      <c r="O125" s="51">
        <f t="shared" si="29"/>
        <v>1</v>
      </c>
      <c r="P125" s="961"/>
      <c r="Q125" s="51">
        <f t="shared" si="30"/>
        <v>1</v>
      </c>
      <c r="R125" s="488">
        <f t="shared" si="31"/>
        <v>0</v>
      </c>
      <c r="S125" s="797">
        <f t="shared" si="32"/>
        <v>0</v>
      </c>
    </row>
    <row r="126" spans="1:19">
      <c r="A126" s="963"/>
      <c r="B126" s="135"/>
      <c r="C126" s="51">
        <f t="shared" si="23"/>
        <v>1</v>
      </c>
      <c r="D126" s="961"/>
      <c r="E126" s="51">
        <f t="shared" si="24"/>
        <v>1</v>
      </c>
      <c r="F126" s="961"/>
      <c r="G126" s="51">
        <f t="shared" si="25"/>
        <v>1</v>
      </c>
      <c r="H126" s="961"/>
      <c r="I126" s="51">
        <f t="shared" si="26"/>
        <v>1</v>
      </c>
      <c r="J126" s="961"/>
      <c r="K126" s="51">
        <f t="shared" si="27"/>
        <v>1</v>
      </c>
      <c r="L126" s="961"/>
      <c r="M126" s="51">
        <f t="shared" si="28"/>
        <v>1</v>
      </c>
      <c r="N126" s="961"/>
      <c r="O126" s="51">
        <f t="shared" si="29"/>
        <v>1</v>
      </c>
      <c r="P126" s="961"/>
      <c r="Q126" s="51">
        <f t="shared" si="30"/>
        <v>1</v>
      </c>
      <c r="R126" s="488">
        <f t="shared" si="31"/>
        <v>0</v>
      </c>
      <c r="S126" s="797">
        <f t="shared" si="32"/>
        <v>0</v>
      </c>
    </row>
    <row r="127" spans="1:19">
      <c r="A127" s="963"/>
      <c r="B127" s="135"/>
      <c r="C127" s="51">
        <f t="shared" si="23"/>
        <v>1</v>
      </c>
      <c r="D127" s="961"/>
      <c r="E127" s="51">
        <f t="shared" si="24"/>
        <v>1</v>
      </c>
      <c r="F127" s="961"/>
      <c r="G127" s="51">
        <f t="shared" si="25"/>
        <v>1</v>
      </c>
      <c r="H127" s="961"/>
      <c r="I127" s="51">
        <f t="shared" si="26"/>
        <v>1</v>
      </c>
      <c r="J127" s="961"/>
      <c r="K127" s="51">
        <f t="shared" si="27"/>
        <v>1</v>
      </c>
      <c r="L127" s="961"/>
      <c r="M127" s="51">
        <f t="shared" si="28"/>
        <v>1</v>
      </c>
      <c r="N127" s="961"/>
      <c r="O127" s="51">
        <f t="shared" si="29"/>
        <v>1</v>
      </c>
      <c r="P127" s="961"/>
      <c r="Q127" s="51">
        <f t="shared" si="30"/>
        <v>1</v>
      </c>
      <c r="R127" s="488">
        <f t="shared" si="31"/>
        <v>0</v>
      </c>
      <c r="S127" s="797">
        <f t="shared" si="32"/>
        <v>0</v>
      </c>
    </row>
    <row r="128" spans="1:19">
      <c r="A128" s="963"/>
      <c r="B128" s="135"/>
      <c r="C128" s="51">
        <f t="shared" si="23"/>
        <v>1</v>
      </c>
      <c r="D128" s="961"/>
      <c r="E128" s="51">
        <f t="shared" si="24"/>
        <v>1</v>
      </c>
      <c r="F128" s="961"/>
      <c r="G128" s="51">
        <f t="shared" si="25"/>
        <v>1</v>
      </c>
      <c r="H128" s="961"/>
      <c r="I128" s="51">
        <f t="shared" si="26"/>
        <v>1</v>
      </c>
      <c r="J128" s="961"/>
      <c r="K128" s="51">
        <f t="shared" si="27"/>
        <v>1</v>
      </c>
      <c r="L128" s="961"/>
      <c r="M128" s="51">
        <f t="shared" si="28"/>
        <v>1</v>
      </c>
      <c r="N128" s="961"/>
      <c r="O128" s="51">
        <f t="shared" si="29"/>
        <v>1</v>
      </c>
      <c r="P128" s="961"/>
      <c r="Q128" s="51">
        <f t="shared" si="30"/>
        <v>1</v>
      </c>
      <c r="R128" s="488">
        <f t="shared" si="31"/>
        <v>0</v>
      </c>
      <c r="S128" s="797">
        <f t="shared" si="32"/>
        <v>0</v>
      </c>
    </row>
    <row r="129" spans="1:19">
      <c r="A129" s="963"/>
      <c r="B129" s="135"/>
      <c r="C129" s="51">
        <f t="shared" si="23"/>
        <v>1</v>
      </c>
      <c r="D129" s="961"/>
      <c r="E129" s="51">
        <f t="shared" si="24"/>
        <v>1</v>
      </c>
      <c r="F129" s="961"/>
      <c r="G129" s="51">
        <f t="shared" si="25"/>
        <v>1</v>
      </c>
      <c r="H129" s="961"/>
      <c r="I129" s="51">
        <f t="shared" si="26"/>
        <v>1</v>
      </c>
      <c r="J129" s="961"/>
      <c r="K129" s="51">
        <f t="shared" si="27"/>
        <v>1</v>
      </c>
      <c r="L129" s="961"/>
      <c r="M129" s="51">
        <f t="shared" si="28"/>
        <v>1</v>
      </c>
      <c r="N129" s="961"/>
      <c r="O129" s="51">
        <f t="shared" si="29"/>
        <v>1</v>
      </c>
      <c r="P129" s="961"/>
      <c r="Q129" s="51">
        <f t="shared" si="30"/>
        <v>1</v>
      </c>
      <c r="R129" s="488">
        <f t="shared" si="31"/>
        <v>0</v>
      </c>
      <c r="S129" s="797">
        <f t="shared" si="32"/>
        <v>0</v>
      </c>
    </row>
    <row r="130" spans="1:19">
      <c r="A130" s="963"/>
      <c r="B130" s="135"/>
      <c r="C130" s="51">
        <f t="shared" si="23"/>
        <v>1</v>
      </c>
      <c r="D130" s="961"/>
      <c r="E130" s="51">
        <f t="shared" si="24"/>
        <v>1</v>
      </c>
      <c r="F130" s="961"/>
      <c r="G130" s="51">
        <f t="shared" si="25"/>
        <v>1</v>
      </c>
      <c r="H130" s="961"/>
      <c r="I130" s="51">
        <f t="shared" si="26"/>
        <v>1</v>
      </c>
      <c r="J130" s="961"/>
      <c r="K130" s="51">
        <f t="shared" si="27"/>
        <v>1</v>
      </c>
      <c r="L130" s="961"/>
      <c r="M130" s="51">
        <f t="shared" si="28"/>
        <v>1</v>
      </c>
      <c r="N130" s="961"/>
      <c r="O130" s="51">
        <f t="shared" si="29"/>
        <v>1</v>
      </c>
      <c r="P130" s="961"/>
      <c r="Q130" s="51">
        <f t="shared" si="30"/>
        <v>1</v>
      </c>
      <c r="R130" s="488">
        <f t="shared" si="31"/>
        <v>0</v>
      </c>
      <c r="S130" s="797">
        <f t="shared" si="32"/>
        <v>0</v>
      </c>
    </row>
    <row r="131" spans="1:19">
      <c r="A131" s="963"/>
      <c r="B131" s="135"/>
      <c r="C131" s="51">
        <f t="shared" si="23"/>
        <v>1</v>
      </c>
      <c r="D131" s="961"/>
      <c r="E131" s="51">
        <f t="shared" si="24"/>
        <v>1</v>
      </c>
      <c r="F131" s="961"/>
      <c r="G131" s="51">
        <f t="shared" si="25"/>
        <v>1</v>
      </c>
      <c r="H131" s="961"/>
      <c r="I131" s="51">
        <f t="shared" si="26"/>
        <v>1</v>
      </c>
      <c r="J131" s="961"/>
      <c r="K131" s="51">
        <f t="shared" si="27"/>
        <v>1</v>
      </c>
      <c r="L131" s="961"/>
      <c r="M131" s="51">
        <f t="shared" si="28"/>
        <v>1</v>
      </c>
      <c r="N131" s="961"/>
      <c r="O131" s="51">
        <f t="shared" si="29"/>
        <v>1</v>
      </c>
      <c r="P131" s="961"/>
      <c r="Q131" s="51">
        <f t="shared" si="30"/>
        <v>1</v>
      </c>
      <c r="R131" s="488">
        <f t="shared" si="31"/>
        <v>0</v>
      </c>
      <c r="S131" s="797">
        <f t="shared" si="32"/>
        <v>0</v>
      </c>
    </row>
    <row r="132" spans="1:19">
      <c r="A132" s="963"/>
      <c r="B132" s="135"/>
      <c r="C132" s="51">
        <f t="shared" si="23"/>
        <v>1</v>
      </c>
      <c r="D132" s="961"/>
      <c r="E132" s="51">
        <f t="shared" si="24"/>
        <v>1</v>
      </c>
      <c r="F132" s="961"/>
      <c r="G132" s="51">
        <f t="shared" si="25"/>
        <v>1</v>
      </c>
      <c r="H132" s="961"/>
      <c r="I132" s="51">
        <f t="shared" si="26"/>
        <v>1</v>
      </c>
      <c r="J132" s="961"/>
      <c r="K132" s="51">
        <f t="shared" si="27"/>
        <v>1</v>
      </c>
      <c r="L132" s="961"/>
      <c r="M132" s="51">
        <f t="shared" si="28"/>
        <v>1</v>
      </c>
      <c r="N132" s="961"/>
      <c r="O132" s="51">
        <f t="shared" si="29"/>
        <v>1</v>
      </c>
      <c r="P132" s="961"/>
      <c r="Q132" s="51">
        <f t="shared" si="30"/>
        <v>1</v>
      </c>
      <c r="R132" s="488">
        <f t="shared" si="31"/>
        <v>0</v>
      </c>
      <c r="S132" s="797">
        <f t="shared" si="32"/>
        <v>0</v>
      </c>
    </row>
    <row r="133" spans="1:19">
      <c r="A133" s="963"/>
      <c r="B133" s="135"/>
      <c r="C133" s="51">
        <f t="shared" si="23"/>
        <v>1</v>
      </c>
      <c r="D133" s="961"/>
      <c r="E133" s="51">
        <f t="shared" si="24"/>
        <v>1</v>
      </c>
      <c r="F133" s="961"/>
      <c r="G133" s="51">
        <f t="shared" si="25"/>
        <v>1</v>
      </c>
      <c r="H133" s="961"/>
      <c r="I133" s="51">
        <f t="shared" si="26"/>
        <v>1</v>
      </c>
      <c r="J133" s="961"/>
      <c r="K133" s="51">
        <f t="shared" si="27"/>
        <v>1</v>
      </c>
      <c r="L133" s="961"/>
      <c r="M133" s="51">
        <f t="shared" si="28"/>
        <v>1</v>
      </c>
      <c r="N133" s="961"/>
      <c r="O133" s="51">
        <f t="shared" si="29"/>
        <v>1</v>
      </c>
      <c r="P133" s="961"/>
      <c r="Q133" s="51">
        <f t="shared" si="30"/>
        <v>1</v>
      </c>
      <c r="R133" s="488">
        <f t="shared" si="31"/>
        <v>0</v>
      </c>
      <c r="S133" s="797">
        <f t="shared" si="32"/>
        <v>0</v>
      </c>
    </row>
    <row r="134" spans="1:19">
      <c r="A134" s="963"/>
      <c r="B134" s="135"/>
      <c r="C134" s="51">
        <f t="shared" si="23"/>
        <v>1</v>
      </c>
      <c r="D134" s="961"/>
      <c r="E134" s="51">
        <f t="shared" si="24"/>
        <v>1</v>
      </c>
      <c r="F134" s="961"/>
      <c r="G134" s="51">
        <f t="shared" si="25"/>
        <v>1</v>
      </c>
      <c r="H134" s="961"/>
      <c r="I134" s="51">
        <f t="shared" si="26"/>
        <v>1</v>
      </c>
      <c r="J134" s="961"/>
      <c r="K134" s="51">
        <f t="shared" si="27"/>
        <v>1</v>
      </c>
      <c r="L134" s="961"/>
      <c r="M134" s="51">
        <f t="shared" si="28"/>
        <v>1</v>
      </c>
      <c r="N134" s="961"/>
      <c r="O134" s="51">
        <f t="shared" si="29"/>
        <v>1</v>
      </c>
      <c r="P134" s="961"/>
      <c r="Q134" s="51">
        <f t="shared" si="30"/>
        <v>1</v>
      </c>
      <c r="R134" s="488">
        <f t="shared" si="31"/>
        <v>0</v>
      </c>
      <c r="S134" s="797">
        <f t="shared" si="32"/>
        <v>0</v>
      </c>
    </row>
    <row r="135" spans="1:19">
      <c r="A135" s="963"/>
      <c r="B135" s="135"/>
      <c r="C135" s="51">
        <f t="shared" si="23"/>
        <v>1</v>
      </c>
      <c r="D135" s="961"/>
      <c r="E135" s="51">
        <f t="shared" si="24"/>
        <v>1</v>
      </c>
      <c r="F135" s="961"/>
      <c r="G135" s="51">
        <f t="shared" si="25"/>
        <v>1</v>
      </c>
      <c r="H135" s="961"/>
      <c r="I135" s="51">
        <f t="shared" si="26"/>
        <v>1</v>
      </c>
      <c r="J135" s="961"/>
      <c r="K135" s="51">
        <f t="shared" si="27"/>
        <v>1</v>
      </c>
      <c r="L135" s="961"/>
      <c r="M135" s="51">
        <f t="shared" si="28"/>
        <v>1</v>
      </c>
      <c r="N135" s="961"/>
      <c r="O135" s="51">
        <f t="shared" si="29"/>
        <v>1</v>
      </c>
      <c r="P135" s="961"/>
      <c r="Q135" s="51">
        <f t="shared" si="30"/>
        <v>1</v>
      </c>
      <c r="R135" s="488">
        <f t="shared" si="31"/>
        <v>0</v>
      </c>
      <c r="S135" s="797">
        <f t="shared" si="32"/>
        <v>0</v>
      </c>
    </row>
    <row r="136" spans="1:19">
      <c r="A136" s="963"/>
      <c r="B136" s="135"/>
      <c r="C136" s="51">
        <f t="shared" si="23"/>
        <v>1</v>
      </c>
      <c r="D136" s="961"/>
      <c r="E136" s="51">
        <f t="shared" si="24"/>
        <v>1</v>
      </c>
      <c r="F136" s="961"/>
      <c r="G136" s="51">
        <f t="shared" si="25"/>
        <v>1</v>
      </c>
      <c r="H136" s="961"/>
      <c r="I136" s="51">
        <f t="shared" si="26"/>
        <v>1</v>
      </c>
      <c r="J136" s="961"/>
      <c r="K136" s="51">
        <f t="shared" si="27"/>
        <v>1</v>
      </c>
      <c r="L136" s="961"/>
      <c r="M136" s="51">
        <f t="shared" si="28"/>
        <v>1</v>
      </c>
      <c r="N136" s="961"/>
      <c r="O136" s="51">
        <f t="shared" si="29"/>
        <v>1</v>
      </c>
      <c r="P136" s="961"/>
      <c r="Q136" s="51">
        <f t="shared" si="30"/>
        <v>1</v>
      </c>
      <c r="R136" s="488">
        <f t="shared" si="31"/>
        <v>0</v>
      </c>
      <c r="S136" s="797">
        <f t="shared" si="32"/>
        <v>0</v>
      </c>
    </row>
    <row r="137" spans="1:19">
      <c r="A137" s="963"/>
      <c r="B137" s="135"/>
      <c r="C137" s="51">
        <f t="shared" si="23"/>
        <v>1</v>
      </c>
      <c r="D137" s="961"/>
      <c r="E137" s="51">
        <f t="shared" si="24"/>
        <v>1</v>
      </c>
      <c r="F137" s="961"/>
      <c r="G137" s="51">
        <f t="shared" si="25"/>
        <v>1</v>
      </c>
      <c r="H137" s="961"/>
      <c r="I137" s="51">
        <f t="shared" si="26"/>
        <v>1</v>
      </c>
      <c r="J137" s="961"/>
      <c r="K137" s="51">
        <f t="shared" si="27"/>
        <v>1</v>
      </c>
      <c r="L137" s="961"/>
      <c r="M137" s="51">
        <f t="shared" si="28"/>
        <v>1</v>
      </c>
      <c r="N137" s="961"/>
      <c r="O137" s="51">
        <f t="shared" si="29"/>
        <v>1</v>
      </c>
      <c r="P137" s="961"/>
      <c r="Q137" s="51">
        <f t="shared" si="30"/>
        <v>1</v>
      </c>
      <c r="R137" s="488">
        <f t="shared" si="31"/>
        <v>0</v>
      </c>
      <c r="S137" s="797">
        <f t="shared" si="32"/>
        <v>0</v>
      </c>
    </row>
    <row r="138" spans="1:19">
      <c r="A138" s="963"/>
      <c r="B138" s="135"/>
      <c r="C138" s="51">
        <f t="shared" si="23"/>
        <v>1</v>
      </c>
      <c r="D138" s="961"/>
      <c r="E138" s="51">
        <f t="shared" si="24"/>
        <v>1</v>
      </c>
      <c r="F138" s="961"/>
      <c r="G138" s="51">
        <f t="shared" si="25"/>
        <v>1</v>
      </c>
      <c r="H138" s="961"/>
      <c r="I138" s="51">
        <f t="shared" si="26"/>
        <v>1</v>
      </c>
      <c r="J138" s="961"/>
      <c r="K138" s="51">
        <f t="shared" si="27"/>
        <v>1</v>
      </c>
      <c r="L138" s="961"/>
      <c r="M138" s="51">
        <f t="shared" si="28"/>
        <v>1</v>
      </c>
      <c r="N138" s="961"/>
      <c r="O138" s="51">
        <f t="shared" si="29"/>
        <v>1</v>
      </c>
      <c r="P138" s="961"/>
      <c r="Q138" s="51">
        <f t="shared" si="30"/>
        <v>1</v>
      </c>
      <c r="R138" s="488">
        <f t="shared" si="31"/>
        <v>0</v>
      </c>
      <c r="S138" s="797">
        <f t="shared" si="32"/>
        <v>0</v>
      </c>
    </row>
    <row r="139" spans="1:19">
      <c r="A139" s="963"/>
      <c r="B139" s="135"/>
      <c r="C139" s="51">
        <f t="shared" si="23"/>
        <v>1</v>
      </c>
      <c r="D139" s="961"/>
      <c r="E139" s="51">
        <f t="shared" si="24"/>
        <v>1</v>
      </c>
      <c r="F139" s="961"/>
      <c r="G139" s="51">
        <f t="shared" si="25"/>
        <v>1</v>
      </c>
      <c r="H139" s="961"/>
      <c r="I139" s="51">
        <f t="shared" si="26"/>
        <v>1</v>
      </c>
      <c r="J139" s="961"/>
      <c r="K139" s="51">
        <f t="shared" si="27"/>
        <v>1</v>
      </c>
      <c r="L139" s="961"/>
      <c r="M139" s="51">
        <f t="shared" si="28"/>
        <v>1</v>
      </c>
      <c r="N139" s="961"/>
      <c r="O139" s="51">
        <f t="shared" si="29"/>
        <v>1</v>
      </c>
      <c r="P139" s="961"/>
      <c r="Q139" s="51">
        <f t="shared" si="30"/>
        <v>1</v>
      </c>
      <c r="R139" s="488">
        <f t="shared" si="31"/>
        <v>0</v>
      </c>
      <c r="S139" s="797">
        <f t="shared" si="32"/>
        <v>0</v>
      </c>
    </row>
    <row r="140" spans="1:19">
      <c r="A140" s="963"/>
      <c r="B140" s="135"/>
      <c r="C140" s="51">
        <f t="shared" si="23"/>
        <v>1</v>
      </c>
      <c r="D140" s="961"/>
      <c r="E140" s="51">
        <f t="shared" si="24"/>
        <v>1</v>
      </c>
      <c r="F140" s="961"/>
      <c r="G140" s="51">
        <f t="shared" si="25"/>
        <v>1</v>
      </c>
      <c r="H140" s="961"/>
      <c r="I140" s="51">
        <f t="shared" si="26"/>
        <v>1</v>
      </c>
      <c r="J140" s="961"/>
      <c r="K140" s="51">
        <f t="shared" si="27"/>
        <v>1</v>
      </c>
      <c r="L140" s="961"/>
      <c r="M140" s="51">
        <f t="shared" si="28"/>
        <v>1</v>
      </c>
      <c r="N140" s="961"/>
      <c r="O140" s="51">
        <f t="shared" si="29"/>
        <v>1</v>
      </c>
      <c r="P140" s="961"/>
      <c r="Q140" s="51">
        <f t="shared" si="30"/>
        <v>1</v>
      </c>
      <c r="R140" s="488">
        <f t="shared" si="31"/>
        <v>0</v>
      </c>
      <c r="S140" s="797">
        <f t="shared" si="32"/>
        <v>0</v>
      </c>
    </row>
    <row r="141" spans="1:19">
      <c r="A141" s="963"/>
      <c r="B141" s="135"/>
      <c r="C141" s="51">
        <f t="shared" si="23"/>
        <v>1</v>
      </c>
      <c r="D141" s="961"/>
      <c r="E141" s="51">
        <f t="shared" si="24"/>
        <v>1</v>
      </c>
      <c r="F141" s="961"/>
      <c r="G141" s="51">
        <f t="shared" si="25"/>
        <v>1</v>
      </c>
      <c r="H141" s="961"/>
      <c r="I141" s="51">
        <f t="shared" si="26"/>
        <v>1</v>
      </c>
      <c r="J141" s="961"/>
      <c r="K141" s="51">
        <f t="shared" si="27"/>
        <v>1</v>
      </c>
      <c r="L141" s="961"/>
      <c r="M141" s="51">
        <f t="shared" si="28"/>
        <v>1</v>
      </c>
      <c r="N141" s="961"/>
      <c r="O141" s="51">
        <f t="shared" si="29"/>
        <v>1</v>
      </c>
      <c r="P141" s="961"/>
      <c r="Q141" s="51">
        <f t="shared" si="30"/>
        <v>1</v>
      </c>
      <c r="R141" s="488">
        <f t="shared" si="31"/>
        <v>0</v>
      </c>
      <c r="S141" s="797">
        <f t="shared" si="32"/>
        <v>0</v>
      </c>
    </row>
    <row r="142" spans="1:19">
      <c r="A142" s="963"/>
      <c r="B142" s="135"/>
      <c r="C142" s="51">
        <f t="shared" si="23"/>
        <v>1</v>
      </c>
      <c r="D142" s="961"/>
      <c r="E142" s="51">
        <f t="shared" si="24"/>
        <v>1</v>
      </c>
      <c r="F142" s="961"/>
      <c r="G142" s="51">
        <f t="shared" si="25"/>
        <v>1</v>
      </c>
      <c r="H142" s="961"/>
      <c r="I142" s="51">
        <f t="shared" si="26"/>
        <v>1</v>
      </c>
      <c r="J142" s="961"/>
      <c r="K142" s="51">
        <f t="shared" si="27"/>
        <v>1</v>
      </c>
      <c r="L142" s="961"/>
      <c r="M142" s="51">
        <f t="shared" si="28"/>
        <v>1</v>
      </c>
      <c r="N142" s="961"/>
      <c r="O142" s="51">
        <f t="shared" si="29"/>
        <v>1</v>
      </c>
      <c r="P142" s="961"/>
      <c r="Q142" s="51">
        <f t="shared" si="30"/>
        <v>1</v>
      </c>
      <c r="R142" s="488">
        <f t="shared" si="31"/>
        <v>0</v>
      </c>
      <c r="S142" s="797">
        <f t="shared" si="32"/>
        <v>0</v>
      </c>
    </row>
    <row r="143" spans="1:19">
      <c r="A143" s="963"/>
      <c r="B143" s="135"/>
      <c r="C143" s="51">
        <f t="shared" si="23"/>
        <v>1</v>
      </c>
      <c r="D143" s="961"/>
      <c r="E143" s="51">
        <f t="shared" si="24"/>
        <v>1</v>
      </c>
      <c r="F143" s="961"/>
      <c r="G143" s="51">
        <f t="shared" si="25"/>
        <v>1</v>
      </c>
      <c r="H143" s="961"/>
      <c r="I143" s="51">
        <f t="shared" si="26"/>
        <v>1</v>
      </c>
      <c r="J143" s="961"/>
      <c r="K143" s="51">
        <f t="shared" si="27"/>
        <v>1</v>
      </c>
      <c r="L143" s="961"/>
      <c r="M143" s="51">
        <f t="shared" si="28"/>
        <v>1</v>
      </c>
      <c r="N143" s="961"/>
      <c r="O143" s="51">
        <f t="shared" si="29"/>
        <v>1</v>
      </c>
      <c r="P143" s="961"/>
      <c r="Q143" s="51">
        <f t="shared" si="30"/>
        <v>1</v>
      </c>
      <c r="R143" s="488">
        <f t="shared" si="31"/>
        <v>0</v>
      </c>
      <c r="S143" s="797">
        <f t="shared" si="32"/>
        <v>0</v>
      </c>
    </row>
    <row r="144" spans="1:19">
      <c r="A144" s="963"/>
      <c r="B144" s="135"/>
      <c r="C144" s="51">
        <f t="shared" si="23"/>
        <v>1</v>
      </c>
      <c r="D144" s="961"/>
      <c r="E144" s="51">
        <f t="shared" si="24"/>
        <v>1</v>
      </c>
      <c r="F144" s="961"/>
      <c r="G144" s="51">
        <f t="shared" si="25"/>
        <v>1</v>
      </c>
      <c r="H144" s="961"/>
      <c r="I144" s="51">
        <f t="shared" si="26"/>
        <v>1</v>
      </c>
      <c r="J144" s="961"/>
      <c r="K144" s="51">
        <f t="shared" si="27"/>
        <v>1</v>
      </c>
      <c r="L144" s="961"/>
      <c r="M144" s="51">
        <f t="shared" si="28"/>
        <v>1</v>
      </c>
      <c r="N144" s="961"/>
      <c r="O144" s="51">
        <f t="shared" si="29"/>
        <v>1</v>
      </c>
      <c r="P144" s="961"/>
      <c r="Q144" s="51">
        <f t="shared" si="30"/>
        <v>1</v>
      </c>
      <c r="R144" s="488">
        <f t="shared" si="31"/>
        <v>0</v>
      </c>
      <c r="S144" s="797">
        <f t="shared" si="32"/>
        <v>0</v>
      </c>
    </row>
    <row r="145" spans="1:19">
      <c r="A145" s="963"/>
      <c r="B145" s="135"/>
      <c r="C145" s="51">
        <f t="shared" si="23"/>
        <v>1</v>
      </c>
      <c r="D145" s="961"/>
      <c r="E145" s="51">
        <f t="shared" si="24"/>
        <v>1</v>
      </c>
      <c r="F145" s="961"/>
      <c r="G145" s="51">
        <f t="shared" si="25"/>
        <v>1</v>
      </c>
      <c r="H145" s="961"/>
      <c r="I145" s="51">
        <f t="shared" si="26"/>
        <v>1</v>
      </c>
      <c r="J145" s="961"/>
      <c r="K145" s="51">
        <f t="shared" si="27"/>
        <v>1</v>
      </c>
      <c r="L145" s="961"/>
      <c r="M145" s="51">
        <f t="shared" si="28"/>
        <v>1</v>
      </c>
      <c r="N145" s="961"/>
      <c r="O145" s="51">
        <f t="shared" si="29"/>
        <v>1</v>
      </c>
      <c r="P145" s="961"/>
      <c r="Q145" s="51">
        <f t="shared" si="30"/>
        <v>1</v>
      </c>
      <c r="R145" s="488">
        <f t="shared" si="31"/>
        <v>0</v>
      </c>
      <c r="S145" s="797">
        <f t="shared" si="32"/>
        <v>0</v>
      </c>
    </row>
    <row r="146" spans="1:19">
      <c r="A146" s="963"/>
      <c r="B146" s="135"/>
      <c r="C146" s="51">
        <f t="shared" si="23"/>
        <v>1</v>
      </c>
      <c r="D146" s="961"/>
      <c r="E146" s="51">
        <f t="shared" si="24"/>
        <v>1</v>
      </c>
      <c r="F146" s="961"/>
      <c r="G146" s="51">
        <f t="shared" si="25"/>
        <v>1</v>
      </c>
      <c r="H146" s="961"/>
      <c r="I146" s="51">
        <f t="shared" si="26"/>
        <v>1</v>
      </c>
      <c r="J146" s="961"/>
      <c r="K146" s="51">
        <f t="shared" si="27"/>
        <v>1</v>
      </c>
      <c r="L146" s="961"/>
      <c r="M146" s="51">
        <f t="shared" si="28"/>
        <v>1</v>
      </c>
      <c r="N146" s="961"/>
      <c r="O146" s="51">
        <f t="shared" si="29"/>
        <v>1</v>
      </c>
      <c r="P146" s="961"/>
      <c r="Q146" s="51">
        <f t="shared" si="30"/>
        <v>1</v>
      </c>
      <c r="R146" s="488">
        <f t="shared" si="31"/>
        <v>0</v>
      </c>
      <c r="S146" s="797">
        <f t="shared" si="32"/>
        <v>0</v>
      </c>
    </row>
    <row r="147" spans="1:19">
      <c r="A147" s="963"/>
      <c r="B147" s="135"/>
      <c r="C147" s="51">
        <f t="shared" si="23"/>
        <v>1</v>
      </c>
      <c r="D147" s="961"/>
      <c r="E147" s="51">
        <f t="shared" si="24"/>
        <v>1</v>
      </c>
      <c r="F147" s="961"/>
      <c r="G147" s="51">
        <f t="shared" si="25"/>
        <v>1</v>
      </c>
      <c r="H147" s="961"/>
      <c r="I147" s="51">
        <f t="shared" si="26"/>
        <v>1</v>
      </c>
      <c r="J147" s="961"/>
      <c r="K147" s="51">
        <f t="shared" si="27"/>
        <v>1</v>
      </c>
      <c r="L147" s="961"/>
      <c r="M147" s="51">
        <f t="shared" si="28"/>
        <v>1</v>
      </c>
      <c r="N147" s="961"/>
      <c r="O147" s="51">
        <f t="shared" si="29"/>
        <v>1</v>
      </c>
      <c r="P147" s="961"/>
      <c r="Q147" s="51">
        <f t="shared" si="30"/>
        <v>1</v>
      </c>
      <c r="R147" s="488">
        <f t="shared" si="31"/>
        <v>0</v>
      </c>
      <c r="S147" s="797">
        <f t="shared" si="32"/>
        <v>0</v>
      </c>
    </row>
    <row r="148" spans="1:19">
      <c r="A148" s="963"/>
      <c r="B148" s="135"/>
      <c r="C148" s="51">
        <f t="shared" si="23"/>
        <v>1</v>
      </c>
      <c r="D148" s="961"/>
      <c r="E148" s="51">
        <f t="shared" si="24"/>
        <v>1</v>
      </c>
      <c r="F148" s="961"/>
      <c r="G148" s="51">
        <f t="shared" si="25"/>
        <v>1</v>
      </c>
      <c r="H148" s="961"/>
      <c r="I148" s="51">
        <f t="shared" si="26"/>
        <v>1</v>
      </c>
      <c r="J148" s="961"/>
      <c r="K148" s="51">
        <f t="shared" si="27"/>
        <v>1</v>
      </c>
      <c r="L148" s="961"/>
      <c r="M148" s="51">
        <f t="shared" si="28"/>
        <v>1</v>
      </c>
      <c r="N148" s="961"/>
      <c r="O148" s="51">
        <f t="shared" si="29"/>
        <v>1</v>
      </c>
      <c r="P148" s="961"/>
      <c r="Q148" s="51">
        <f t="shared" si="30"/>
        <v>1</v>
      </c>
      <c r="R148" s="488">
        <f t="shared" si="31"/>
        <v>0</v>
      </c>
      <c r="S148" s="797">
        <f t="shared" si="32"/>
        <v>0</v>
      </c>
    </row>
    <row r="149" spans="1:19">
      <c r="A149" s="963"/>
      <c r="B149" s="135"/>
      <c r="C149" s="51">
        <f t="shared" si="23"/>
        <v>1</v>
      </c>
      <c r="D149" s="961"/>
      <c r="E149" s="51">
        <f t="shared" si="24"/>
        <v>1</v>
      </c>
      <c r="F149" s="961"/>
      <c r="G149" s="51">
        <f t="shared" si="25"/>
        <v>1</v>
      </c>
      <c r="H149" s="961"/>
      <c r="I149" s="51">
        <f t="shared" si="26"/>
        <v>1</v>
      </c>
      <c r="J149" s="961"/>
      <c r="K149" s="51">
        <f t="shared" si="27"/>
        <v>1</v>
      </c>
      <c r="L149" s="961"/>
      <c r="M149" s="51">
        <f t="shared" si="28"/>
        <v>1</v>
      </c>
      <c r="N149" s="961"/>
      <c r="O149" s="51">
        <f t="shared" si="29"/>
        <v>1</v>
      </c>
      <c r="P149" s="961"/>
      <c r="Q149" s="51">
        <f t="shared" si="30"/>
        <v>1</v>
      </c>
      <c r="R149" s="488">
        <f t="shared" si="31"/>
        <v>0</v>
      </c>
      <c r="S149" s="797">
        <f t="shared" si="32"/>
        <v>0</v>
      </c>
    </row>
    <row r="150" spans="1:19">
      <c r="A150" s="963"/>
      <c r="B150" s="135"/>
      <c r="C150" s="51">
        <f t="shared" si="23"/>
        <v>1</v>
      </c>
      <c r="D150" s="961"/>
      <c r="E150" s="51">
        <f t="shared" si="24"/>
        <v>1</v>
      </c>
      <c r="F150" s="961"/>
      <c r="G150" s="51">
        <f t="shared" si="25"/>
        <v>1</v>
      </c>
      <c r="H150" s="961"/>
      <c r="I150" s="51">
        <f t="shared" si="26"/>
        <v>1</v>
      </c>
      <c r="J150" s="961"/>
      <c r="K150" s="51">
        <f t="shared" si="27"/>
        <v>1</v>
      </c>
      <c r="L150" s="961"/>
      <c r="M150" s="51">
        <f t="shared" si="28"/>
        <v>1</v>
      </c>
      <c r="N150" s="961"/>
      <c r="O150" s="51">
        <f t="shared" si="29"/>
        <v>1</v>
      </c>
      <c r="P150" s="961"/>
      <c r="Q150" s="51">
        <f t="shared" si="30"/>
        <v>1</v>
      </c>
      <c r="R150" s="488">
        <f t="shared" si="31"/>
        <v>0</v>
      </c>
      <c r="S150" s="797">
        <f t="shared" si="32"/>
        <v>0</v>
      </c>
    </row>
    <row r="151" spans="1:19">
      <c r="A151" s="963"/>
      <c r="B151" s="135"/>
      <c r="C151" s="51">
        <f t="shared" si="23"/>
        <v>1</v>
      </c>
      <c r="D151" s="961"/>
      <c r="E151" s="51">
        <f t="shared" si="24"/>
        <v>1</v>
      </c>
      <c r="F151" s="961"/>
      <c r="G151" s="51">
        <f t="shared" si="25"/>
        <v>1</v>
      </c>
      <c r="H151" s="961"/>
      <c r="I151" s="51">
        <f t="shared" si="26"/>
        <v>1</v>
      </c>
      <c r="J151" s="961"/>
      <c r="K151" s="51">
        <f t="shared" si="27"/>
        <v>1</v>
      </c>
      <c r="L151" s="961"/>
      <c r="M151" s="51">
        <f t="shared" si="28"/>
        <v>1</v>
      </c>
      <c r="N151" s="961"/>
      <c r="O151" s="51">
        <f t="shared" si="29"/>
        <v>1</v>
      </c>
      <c r="P151" s="961"/>
      <c r="Q151" s="51">
        <f t="shared" si="30"/>
        <v>1</v>
      </c>
      <c r="R151" s="488">
        <f t="shared" si="31"/>
        <v>0</v>
      </c>
      <c r="S151" s="797">
        <f t="shared" si="32"/>
        <v>0</v>
      </c>
    </row>
    <row r="152" spans="1:19">
      <c r="A152" s="963"/>
      <c r="B152" s="135"/>
      <c r="C152" s="51">
        <f t="shared" si="23"/>
        <v>1</v>
      </c>
      <c r="D152" s="961"/>
      <c r="E152" s="51">
        <f t="shared" si="24"/>
        <v>1</v>
      </c>
      <c r="F152" s="961"/>
      <c r="G152" s="51">
        <f t="shared" si="25"/>
        <v>1</v>
      </c>
      <c r="H152" s="961"/>
      <c r="I152" s="51">
        <f t="shared" si="26"/>
        <v>1</v>
      </c>
      <c r="J152" s="961"/>
      <c r="K152" s="51">
        <f t="shared" si="27"/>
        <v>1</v>
      </c>
      <c r="L152" s="961"/>
      <c r="M152" s="51">
        <f t="shared" si="28"/>
        <v>1</v>
      </c>
      <c r="N152" s="961"/>
      <c r="O152" s="51">
        <f t="shared" si="29"/>
        <v>1</v>
      </c>
      <c r="P152" s="961"/>
      <c r="Q152" s="51">
        <f t="shared" si="30"/>
        <v>1</v>
      </c>
      <c r="R152" s="488">
        <f t="shared" si="31"/>
        <v>0</v>
      </c>
      <c r="S152" s="797">
        <f t="shared" si="32"/>
        <v>0</v>
      </c>
    </row>
    <row r="153" spans="1:19">
      <c r="A153" s="963"/>
      <c r="B153" s="135"/>
      <c r="C153" s="51">
        <f t="shared" si="23"/>
        <v>1</v>
      </c>
      <c r="D153" s="961"/>
      <c r="E153" s="51">
        <f t="shared" si="24"/>
        <v>1</v>
      </c>
      <c r="F153" s="961"/>
      <c r="G153" s="51">
        <f t="shared" si="25"/>
        <v>1</v>
      </c>
      <c r="H153" s="961"/>
      <c r="I153" s="51">
        <f t="shared" si="26"/>
        <v>1</v>
      </c>
      <c r="J153" s="961"/>
      <c r="K153" s="51">
        <f t="shared" si="27"/>
        <v>1</v>
      </c>
      <c r="L153" s="961"/>
      <c r="M153" s="51">
        <f t="shared" si="28"/>
        <v>1</v>
      </c>
      <c r="N153" s="961"/>
      <c r="O153" s="51">
        <f t="shared" si="29"/>
        <v>1</v>
      </c>
      <c r="P153" s="961"/>
      <c r="Q153" s="51">
        <f t="shared" si="30"/>
        <v>1</v>
      </c>
      <c r="R153" s="488">
        <f t="shared" si="31"/>
        <v>0</v>
      </c>
      <c r="S153" s="797">
        <f t="shared" si="32"/>
        <v>0</v>
      </c>
    </row>
    <row r="154" spans="1:19">
      <c r="A154" s="963"/>
      <c r="B154" s="135"/>
      <c r="C154" s="51">
        <f t="shared" ref="C154:C217" si="33">IF(B154="",1,(LOOKUP(B154,$3:$3,$4:$4)-LOOKUP($B$24,$3:$3,$4:$4)+100)/100)</f>
        <v>1</v>
      </c>
      <c r="D154" s="961"/>
      <c r="E154" s="51">
        <f t="shared" ref="E154:E217" si="34">(SUMIF($5:$5,D154,$6:$6)-SUMIF($5:$5,$D$24,$6:$6)+100)/100</f>
        <v>1</v>
      </c>
      <c r="F154" s="961"/>
      <c r="G154" s="51">
        <f t="shared" ref="G154:G217" si="35">(SUMIF($7:$7,F154,$8:$8)-SUMIF($7:$7,$F$24,$8:$8)+100)/100</f>
        <v>1</v>
      </c>
      <c r="H154" s="961"/>
      <c r="I154" s="51">
        <f t="shared" ref="I154:I217" si="36">(SUMIF($9:$9,H154,$10:$10)-SUMIF($9:$9,$H$24,$10:$10)+100)/100</f>
        <v>1</v>
      </c>
      <c r="J154" s="961"/>
      <c r="K154" s="51">
        <f t="shared" ref="K154:K217" si="37">(SUMIF($11:$11,J154,$12:$12)-SUMIF($11:$11,$J$24,$12:$12)+100)/100</f>
        <v>1</v>
      </c>
      <c r="L154" s="961"/>
      <c r="M154" s="51">
        <f t="shared" ref="M154:M217" si="38">(SUMIF($13:$13,L154,$14:$14)-SUMIF($13:$13,$L$24,$14:$14)+100)/100</f>
        <v>1</v>
      </c>
      <c r="N154" s="961"/>
      <c r="O154" s="51">
        <f t="shared" ref="O154:O217" si="39">(SUMIF($15:$15,N154,$16:$16)-SUMIF($15:$15,$N$24,$16:$16)+100)/100</f>
        <v>1</v>
      </c>
      <c r="P154" s="961"/>
      <c r="Q154" s="51">
        <f t="shared" ref="Q154:Q217" si="40">(SUMIF($17:$17,P154,$18:$18)-SUMIF($17:$17,$P$24,$18:$18)+100)/100</f>
        <v>1</v>
      </c>
      <c r="R154" s="488">
        <f t="shared" ref="R154:R217" si="41">IF(B154="",0,ROUND($R$24*C154*E154*G154*I154*K154*M154*O154*Q154,0))</f>
        <v>0</v>
      </c>
      <c r="S154" s="797">
        <f t="shared" si="32"/>
        <v>0</v>
      </c>
    </row>
    <row r="155" spans="1:19">
      <c r="A155" s="963"/>
      <c r="B155" s="135"/>
      <c r="C155" s="51">
        <f t="shared" si="33"/>
        <v>1</v>
      </c>
      <c r="D155" s="961"/>
      <c r="E155" s="51">
        <f t="shared" si="34"/>
        <v>1</v>
      </c>
      <c r="F155" s="961"/>
      <c r="G155" s="51">
        <f t="shared" si="35"/>
        <v>1</v>
      </c>
      <c r="H155" s="961"/>
      <c r="I155" s="51">
        <f t="shared" si="36"/>
        <v>1</v>
      </c>
      <c r="J155" s="961"/>
      <c r="K155" s="51">
        <f t="shared" si="37"/>
        <v>1</v>
      </c>
      <c r="L155" s="961"/>
      <c r="M155" s="51">
        <f t="shared" si="38"/>
        <v>1</v>
      </c>
      <c r="N155" s="961"/>
      <c r="O155" s="51">
        <f t="shared" si="39"/>
        <v>1</v>
      </c>
      <c r="P155" s="961"/>
      <c r="Q155" s="51">
        <f t="shared" si="40"/>
        <v>1</v>
      </c>
      <c r="R155" s="488">
        <f t="shared" si="41"/>
        <v>0</v>
      </c>
      <c r="S155" s="797">
        <f t="shared" si="32"/>
        <v>0</v>
      </c>
    </row>
    <row r="156" spans="1:19">
      <c r="A156" s="963"/>
      <c r="B156" s="135"/>
      <c r="C156" s="51">
        <f t="shared" si="33"/>
        <v>1</v>
      </c>
      <c r="D156" s="961"/>
      <c r="E156" s="51">
        <f t="shared" si="34"/>
        <v>1</v>
      </c>
      <c r="F156" s="961"/>
      <c r="G156" s="51">
        <f t="shared" si="35"/>
        <v>1</v>
      </c>
      <c r="H156" s="961"/>
      <c r="I156" s="51">
        <f t="shared" si="36"/>
        <v>1</v>
      </c>
      <c r="J156" s="961"/>
      <c r="K156" s="51">
        <f t="shared" si="37"/>
        <v>1</v>
      </c>
      <c r="L156" s="961"/>
      <c r="M156" s="51">
        <f t="shared" si="38"/>
        <v>1</v>
      </c>
      <c r="N156" s="961"/>
      <c r="O156" s="51">
        <f t="shared" si="39"/>
        <v>1</v>
      </c>
      <c r="P156" s="961"/>
      <c r="Q156" s="51">
        <f t="shared" si="40"/>
        <v>1</v>
      </c>
      <c r="R156" s="488">
        <f t="shared" si="41"/>
        <v>0</v>
      </c>
      <c r="S156" s="797">
        <f t="shared" si="32"/>
        <v>0</v>
      </c>
    </row>
    <row r="157" spans="1:19">
      <c r="A157" s="963"/>
      <c r="B157" s="135"/>
      <c r="C157" s="51">
        <f t="shared" si="33"/>
        <v>1</v>
      </c>
      <c r="D157" s="961"/>
      <c r="E157" s="51">
        <f t="shared" si="34"/>
        <v>1</v>
      </c>
      <c r="F157" s="961"/>
      <c r="G157" s="51">
        <f t="shared" si="35"/>
        <v>1</v>
      </c>
      <c r="H157" s="961"/>
      <c r="I157" s="51">
        <f t="shared" si="36"/>
        <v>1</v>
      </c>
      <c r="J157" s="961"/>
      <c r="K157" s="51">
        <f t="shared" si="37"/>
        <v>1</v>
      </c>
      <c r="L157" s="961"/>
      <c r="M157" s="51">
        <f t="shared" si="38"/>
        <v>1</v>
      </c>
      <c r="N157" s="961"/>
      <c r="O157" s="51">
        <f t="shared" si="39"/>
        <v>1</v>
      </c>
      <c r="P157" s="961"/>
      <c r="Q157" s="51">
        <f t="shared" si="40"/>
        <v>1</v>
      </c>
      <c r="R157" s="488">
        <f t="shared" si="41"/>
        <v>0</v>
      </c>
      <c r="S157" s="797">
        <f t="shared" si="32"/>
        <v>0</v>
      </c>
    </row>
    <row r="158" spans="1:19">
      <c r="A158" s="963"/>
      <c r="B158" s="135"/>
      <c r="C158" s="51">
        <f t="shared" si="33"/>
        <v>1</v>
      </c>
      <c r="D158" s="961"/>
      <c r="E158" s="51">
        <f t="shared" si="34"/>
        <v>1</v>
      </c>
      <c r="F158" s="961"/>
      <c r="G158" s="51">
        <f t="shared" si="35"/>
        <v>1</v>
      </c>
      <c r="H158" s="961"/>
      <c r="I158" s="51">
        <f t="shared" si="36"/>
        <v>1</v>
      </c>
      <c r="J158" s="961"/>
      <c r="K158" s="51">
        <f t="shared" si="37"/>
        <v>1</v>
      </c>
      <c r="L158" s="961"/>
      <c r="M158" s="51">
        <f t="shared" si="38"/>
        <v>1</v>
      </c>
      <c r="N158" s="961"/>
      <c r="O158" s="51">
        <f t="shared" si="39"/>
        <v>1</v>
      </c>
      <c r="P158" s="961"/>
      <c r="Q158" s="51">
        <f t="shared" si="40"/>
        <v>1</v>
      </c>
      <c r="R158" s="488">
        <f t="shared" si="41"/>
        <v>0</v>
      </c>
      <c r="S158" s="797">
        <f t="shared" si="32"/>
        <v>0</v>
      </c>
    </row>
    <row r="159" spans="1:19">
      <c r="A159" s="963"/>
      <c r="B159" s="135"/>
      <c r="C159" s="51">
        <f t="shared" si="33"/>
        <v>1</v>
      </c>
      <c r="D159" s="961"/>
      <c r="E159" s="51">
        <f t="shared" si="34"/>
        <v>1</v>
      </c>
      <c r="F159" s="961"/>
      <c r="G159" s="51">
        <f t="shared" si="35"/>
        <v>1</v>
      </c>
      <c r="H159" s="961"/>
      <c r="I159" s="51">
        <f t="shared" si="36"/>
        <v>1</v>
      </c>
      <c r="J159" s="961"/>
      <c r="K159" s="51">
        <f t="shared" si="37"/>
        <v>1</v>
      </c>
      <c r="L159" s="961"/>
      <c r="M159" s="51">
        <f t="shared" si="38"/>
        <v>1</v>
      </c>
      <c r="N159" s="961"/>
      <c r="O159" s="51">
        <f t="shared" si="39"/>
        <v>1</v>
      </c>
      <c r="P159" s="961"/>
      <c r="Q159" s="51">
        <f t="shared" si="40"/>
        <v>1</v>
      </c>
      <c r="R159" s="488">
        <f t="shared" si="41"/>
        <v>0</v>
      </c>
      <c r="S159" s="797">
        <f t="shared" si="32"/>
        <v>0</v>
      </c>
    </row>
    <row r="160" spans="1:19">
      <c r="A160" s="963"/>
      <c r="B160" s="135"/>
      <c r="C160" s="51">
        <f t="shared" si="33"/>
        <v>1</v>
      </c>
      <c r="D160" s="961"/>
      <c r="E160" s="51">
        <f t="shared" si="34"/>
        <v>1</v>
      </c>
      <c r="F160" s="961"/>
      <c r="G160" s="51">
        <f t="shared" si="35"/>
        <v>1</v>
      </c>
      <c r="H160" s="961"/>
      <c r="I160" s="51">
        <f t="shared" si="36"/>
        <v>1</v>
      </c>
      <c r="J160" s="961"/>
      <c r="K160" s="51">
        <f t="shared" si="37"/>
        <v>1</v>
      </c>
      <c r="L160" s="961"/>
      <c r="M160" s="51">
        <f t="shared" si="38"/>
        <v>1</v>
      </c>
      <c r="N160" s="961"/>
      <c r="O160" s="51">
        <f t="shared" si="39"/>
        <v>1</v>
      </c>
      <c r="P160" s="961"/>
      <c r="Q160" s="51">
        <f t="shared" si="40"/>
        <v>1</v>
      </c>
      <c r="R160" s="488">
        <f t="shared" si="41"/>
        <v>0</v>
      </c>
      <c r="S160" s="797">
        <f t="shared" si="32"/>
        <v>0</v>
      </c>
    </row>
    <row r="161" spans="1:19">
      <c r="A161" s="963"/>
      <c r="B161" s="135"/>
      <c r="C161" s="51">
        <f t="shared" si="33"/>
        <v>1</v>
      </c>
      <c r="D161" s="961"/>
      <c r="E161" s="51">
        <f t="shared" si="34"/>
        <v>1</v>
      </c>
      <c r="F161" s="961"/>
      <c r="G161" s="51">
        <f t="shared" si="35"/>
        <v>1</v>
      </c>
      <c r="H161" s="961"/>
      <c r="I161" s="51">
        <f t="shared" si="36"/>
        <v>1</v>
      </c>
      <c r="J161" s="961"/>
      <c r="K161" s="51">
        <f t="shared" si="37"/>
        <v>1</v>
      </c>
      <c r="L161" s="961"/>
      <c r="M161" s="51">
        <f t="shared" si="38"/>
        <v>1</v>
      </c>
      <c r="N161" s="961"/>
      <c r="O161" s="51">
        <f t="shared" si="39"/>
        <v>1</v>
      </c>
      <c r="P161" s="961"/>
      <c r="Q161" s="51">
        <f t="shared" si="40"/>
        <v>1</v>
      </c>
      <c r="R161" s="488">
        <f t="shared" si="41"/>
        <v>0</v>
      </c>
      <c r="S161" s="797">
        <f t="shared" si="32"/>
        <v>0</v>
      </c>
    </row>
    <row r="162" spans="1:19">
      <c r="A162" s="963"/>
      <c r="B162" s="135"/>
      <c r="C162" s="51">
        <f t="shared" si="33"/>
        <v>1</v>
      </c>
      <c r="D162" s="961"/>
      <c r="E162" s="51">
        <f t="shared" si="34"/>
        <v>1</v>
      </c>
      <c r="F162" s="961"/>
      <c r="G162" s="51">
        <f t="shared" si="35"/>
        <v>1</v>
      </c>
      <c r="H162" s="961"/>
      <c r="I162" s="51">
        <f t="shared" si="36"/>
        <v>1</v>
      </c>
      <c r="J162" s="961"/>
      <c r="K162" s="51">
        <f t="shared" si="37"/>
        <v>1</v>
      </c>
      <c r="L162" s="961"/>
      <c r="M162" s="51">
        <f t="shared" si="38"/>
        <v>1</v>
      </c>
      <c r="N162" s="961"/>
      <c r="O162" s="51">
        <f t="shared" si="39"/>
        <v>1</v>
      </c>
      <c r="P162" s="961"/>
      <c r="Q162" s="51">
        <f t="shared" si="40"/>
        <v>1</v>
      </c>
      <c r="R162" s="488">
        <f t="shared" si="41"/>
        <v>0</v>
      </c>
      <c r="S162" s="797">
        <f t="shared" si="32"/>
        <v>0</v>
      </c>
    </row>
    <row r="163" spans="1:19">
      <c r="A163" s="963"/>
      <c r="B163" s="135"/>
      <c r="C163" s="51">
        <f t="shared" si="33"/>
        <v>1</v>
      </c>
      <c r="D163" s="961"/>
      <c r="E163" s="51">
        <f t="shared" si="34"/>
        <v>1</v>
      </c>
      <c r="F163" s="961"/>
      <c r="G163" s="51">
        <f t="shared" si="35"/>
        <v>1</v>
      </c>
      <c r="H163" s="961"/>
      <c r="I163" s="51">
        <f t="shared" si="36"/>
        <v>1</v>
      </c>
      <c r="J163" s="961"/>
      <c r="K163" s="51">
        <f t="shared" si="37"/>
        <v>1</v>
      </c>
      <c r="L163" s="961"/>
      <c r="M163" s="51">
        <f t="shared" si="38"/>
        <v>1</v>
      </c>
      <c r="N163" s="961"/>
      <c r="O163" s="51">
        <f t="shared" si="39"/>
        <v>1</v>
      </c>
      <c r="P163" s="961"/>
      <c r="Q163" s="51">
        <f t="shared" si="40"/>
        <v>1</v>
      </c>
      <c r="R163" s="488">
        <f t="shared" si="41"/>
        <v>0</v>
      </c>
      <c r="S163" s="797">
        <f t="shared" si="32"/>
        <v>0</v>
      </c>
    </row>
    <row r="164" spans="1:19">
      <c r="A164" s="963"/>
      <c r="B164" s="135"/>
      <c r="C164" s="51">
        <f t="shared" si="33"/>
        <v>1</v>
      </c>
      <c r="D164" s="961"/>
      <c r="E164" s="51">
        <f t="shared" si="34"/>
        <v>1</v>
      </c>
      <c r="F164" s="961"/>
      <c r="G164" s="51">
        <f t="shared" si="35"/>
        <v>1</v>
      </c>
      <c r="H164" s="961"/>
      <c r="I164" s="51">
        <f t="shared" si="36"/>
        <v>1</v>
      </c>
      <c r="J164" s="961"/>
      <c r="K164" s="51">
        <f t="shared" si="37"/>
        <v>1</v>
      </c>
      <c r="L164" s="961"/>
      <c r="M164" s="51">
        <f t="shared" si="38"/>
        <v>1</v>
      </c>
      <c r="N164" s="961"/>
      <c r="O164" s="51">
        <f t="shared" si="39"/>
        <v>1</v>
      </c>
      <c r="P164" s="961"/>
      <c r="Q164" s="51">
        <f t="shared" si="40"/>
        <v>1</v>
      </c>
      <c r="R164" s="488">
        <f t="shared" si="41"/>
        <v>0</v>
      </c>
      <c r="S164" s="797">
        <f t="shared" si="32"/>
        <v>0</v>
      </c>
    </row>
    <row r="165" spans="1:19">
      <c r="A165" s="963"/>
      <c r="B165" s="135"/>
      <c r="C165" s="51">
        <f t="shared" si="33"/>
        <v>1</v>
      </c>
      <c r="D165" s="961"/>
      <c r="E165" s="51">
        <f t="shared" si="34"/>
        <v>1</v>
      </c>
      <c r="F165" s="961"/>
      <c r="G165" s="51">
        <f t="shared" si="35"/>
        <v>1</v>
      </c>
      <c r="H165" s="961"/>
      <c r="I165" s="51">
        <f t="shared" si="36"/>
        <v>1</v>
      </c>
      <c r="J165" s="961"/>
      <c r="K165" s="51">
        <f t="shared" si="37"/>
        <v>1</v>
      </c>
      <c r="L165" s="961"/>
      <c r="M165" s="51">
        <f t="shared" si="38"/>
        <v>1</v>
      </c>
      <c r="N165" s="961"/>
      <c r="O165" s="51">
        <f t="shared" si="39"/>
        <v>1</v>
      </c>
      <c r="P165" s="961"/>
      <c r="Q165" s="51">
        <f t="shared" si="40"/>
        <v>1</v>
      </c>
      <c r="R165" s="488">
        <f t="shared" si="41"/>
        <v>0</v>
      </c>
      <c r="S165" s="797">
        <f t="shared" si="32"/>
        <v>0</v>
      </c>
    </row>
    <row r="166" spans="1:19">
      <c r="A166" s="963"/>
      <c r="B166" s="135"/>
      <c r="C166" s="51">
        <f t="shared" si="33"/>
        <v>1</v>
      </c>
      <c r="D166" s="961"/>
      <c r="E166" s="51">
        <f t="shared" si="34"/>
        <v>1</v>
      </c>
      <c r="F166" s="961"/>
      <c r="G166" s="51">
        <f t="shared" si="35"/>
        <v>1</v>
      </c>
      <c r="H166" s="961"/>
      <c r="I166" s="51">
        <f t="shared" si="36"/>
        <v>1</v>
      </c>
      <c r="J166" s="961"/>
      <c r="K166" s="51">
        <f t="shared" si="37"/>
        <v>1</v>
      </c>
      <c r="L166" s="961"/>
      <c r="M166" s="51">
        <f t="shared" si="38"/>
        <v>1</v>
      </c>
      <c r="N166" s="961"/>
      <c r="O166" s="51">
        <f t="shared" si="39"/>
        <v>1</v>
      </c>
      <c r="P166" s="961"/>
      <c r="Q166" s="51">
        <f t="shared" si="40"/>
        <v>1</v>
      </c>
      <c r="R166" s="488">
        <f t="shared" si="41"/>
        <v>0</v>
      </c>
      <c r="S166" s="797">
        <f t="shared" si="32"/>
        <v>0</v>
      </c>
    </row>
    <row r="167" spans="1:19">
      <c r="A167" s="963"/>
      <c r="B167" s="135"/>
      <c r="C167" s="51">
        <f t="shared" si="33"/>
        <v>1</v>
      </c>
      <c r="D167" s="961"/>
      <c r="E167" s="51">
        <f t="shared" si="34"/>
        <v>1</v>
      </c>
      <c r="F167" s="961"/>
      <c r="G167" s="51">
        <f t="shared" si="35"/>
        <v>1</v>
      </c>
      <c r="H167" s="961"/>
      <c r="I167" s="51">
        <f t="shared" si="36"/>
        <v>1</v>
      </c>
      <c r="J167" s="961"/>
      <c r="K167" s="51">
        <f t="shared" si="37"/>
        <v>1</v>
      </c>
      <c r="L167" s="961"/>
      <c r="M167" s="51">
        <f t="shared" si="38"/>
        <v>1</v>
      </c>
      <c r="N167" s="961"/>
      <c r="O167" s="51">
        <f t="shared" si="39"/>
        <v>1</v>
      </c>
      <c r="P167" s="961"/>
      <c r="Q167" s="51">
        <f t="shared" si="40"/>
        <v>1</v>
      </c>
      <c r="R167" s="488">
        <f t="shared" si="41"/>
        <v>0</v>
      </c>
      <c r="S167" s="797">
        <f t="shared" si="32"/>
        <v>0</v>
      </c>
    </row>
    <row r="168" spans="1:19">
      <c r="A168" s="963"/>
      <c r="B168" s="135"/>
      <c r="C168" s="51">
        <f t="shared" si="33"/>
        <v>1</v>
      </c>
      <c r="D168" s="961"/>
      <c r="E168" s="51">
        <f t="shared" si="34"/>
        <v>1</v>
      </c>
      <c r="F168" s="961"/>
      <c r="G168" s="51">
        <f t="shared" si="35"/>
        <v>1</v>
      </c>
      <c r="H168" s="961"/>
      <c r="I168" s="51">
        <f t="shared" si="36"/>
        <v>1</v>
      </c>
      <c r="J168" s="961"/>
      <c r="K168" s="51">
        <f t="shared" si="37"/>
        <v>1</v>
      </c>
      <c r="L168" s="961"/>
      <c r="M168" s="51">
        <f t="shared" si="38"/>
        <v>1</v>
      </c>
      <c r="N168" s="961"/>
      <c r="O168" s="51">
        <f t="shared" si="39"/>
        <v>1</v>
      </c>
      <c r="P168" s="961"/>
      <c r="Q168" s="51">
        <f t="shared" si="40"/>
        <v>1</v>
      </c>
      <c r="R168" s="488">
        <f t="shared" si="41"/>
        <v>0</v>
      </c>
      <c r="S168" s="797">
        <f t="shared" si="32"/>
        <v>0</v>
      </c>
    </row>
    <row r="169" spans="1:19">
      <c r="A169" s="963"/>
      <c r="B169" s="135"/>
      <c r="C169" s="51">
        <f t="shared" si="33"/>
        <v>1</v>
      </c>
      <c r="D169" s="961"/>
      <c r="E169" s="51">
        <f t="shared" si="34"/>
        <v>1</v>
      </c>
      <c r="F169" s="961"/>
      <c r="G169" s="51">
        <f t="shared" si="35"/>
        <v>1</v>
      </c>
      <c r="H169" s="961"/>
      <c r="I169" s="51">
        <f t="shared" si="36"/>
        <v>1</v>
      </c>
      <c r="J169" s="961"/>
      <c r="K169" s="51">
        <f t="shared" si="37"/>
        <v>1</v>
      </c>
      <c r="L169" s="961"/>
      <c r="M169" s="51">
        <f t="shared" si="38"/>
        <v>1</v>
      </c>
      <c r="N169" s="961"/>
      <c r="O169" s="51">
        <f t="shared" si="39"/>
        <v>1</v>
      </c>
      <c r="P169" s="961"/>
      <c r="Q169" s="51">
        <f t="shared" si="40"/>
        <v>1</v>
      </c>
      <c r="R169" s="488">
        <f t="shared" si="41"/>
        <v>0</v>
      </c>
      <c r="S169" s="797">
        <f t="shared" si="32"/>
        <v>0</v>
      </c>
    </row>
    <row r="170" spans="1:19">
      <c r="A170" s="963"/>
      <c r="B170" s="135"/>
      <c r="C170" s="51">
        <f t="shared" si="33"/>
        <v>1</v>
      </c>
      <c r="D170" s="961"/>
      <c r="E170" s="51">
        <f t="shared" si="34"/>
        <v>1</v>
      </c>
      <c r="F170" s="961"/>
      <c r="G170" s="51">
        <f t="shared" si="35"/>
        <v>1</v>
      </c>
      <c r="H170" s="961"/>
      <c r="I170" s="51">
        <f t="shared" si="36"/>
        <v>1</v>
      </c>
      <c r="J170" s="961"/>
      <c r="K170" s="51">
        <f t="shared" si="37"/>
        <v>1</v>
      </c>
      <c r="L170" s="961"/>
      <c r="M170" s="51">
        <f t="shared" si="38"/>
        <v>1</v>
      </c>
      <c r="N170" s="961"/>
      <c r="O170" s="51">
        <f t="shared" si="39"/>
        <v>1</v>
      </c>
      <c r="P170" s="961"/>
      <c r="Q170" s="51">
        <f t="shared" si="40"/>
        <v>1</v>
      </c>
      <c r="R170" s="488">
        <f t="shared" si="41"/>
        <v>0</v>
      </c>
      <c r="S170" s="797">
        <f t="shared" si="32"/>
        <v>0</v>
      </c>
    </row>
    <row r="171" spans="1:19">
      <c r="A171" s="963"/>
      <c r="B171" s="135"/>
      <c r="C171" s="51">
        <f t="shared" si="33"/>
        <v>1</v>
      </c>
      <c r="D171" s="961"/>
      <c r="E171" s="51">
        <f t="shared" si="34"/>
        <v>1</v>
      </c>
      <c r="F171" s="961"/>
      <c r="G171" s="51">
        <f t="shared" si="35"/>
        <v>1</v>
      </c>
      <c r="H171" s="961"/>
      <c r="I171" s="51">
        <f t="shared" si="36"/>
        <v>1</v>
      </c>
      <c r="J171" s="961"/>
      <c r="K171" s="51">
        <f t="shared" si="37"/>
        <v>1</v>
      </c>
      <c r="L171" s="961"/>
      <c r="M171" s="51">
        <f t="shared" si="38"/>
        <v>1</v>
      </c>
      <c r="N171" s="961"/>
      <c r="O171" s="51">
        <f t="shared" si="39"/>
        <v>1</v>
      </c>
      <c r="P171" s="961"/>
      <c r="Q171" s="51">
        <f t="shared" si="40"/>
        <v>1</v>
      </c>
      <c r="R171" s="488">
        <f t="shared" si="41"/>
        <v>0</v>
      </c>
      <c r="S171" s="797">
        <f t="shared" si="32"/>
        <v>0</v>
      </c>
    </row>
    <row r="172" spans="1:19">
      <c r="A172" s="963"/>
      <c r="B172" s="135"/>
      <c r="C172" s="51">
        <f t="shared" si="33"/>
        <v>1</v>
      </c>
      <c r="D172" s="961"/>
      <c r="E172" s="51">
        <f t="shared" si="34"/>
        <v>1</v>
      </c>
      <c r="F172" s="961"/>
      <c r="G172" s="51">
        <f t="shared" si="35"/>
        <v>1</v>
      </c>
      <c r="H172" s="961"/>
      <c r="I172" s="51">
        <f t="shared" si="36"/>
        <v>1</v>
      </c>
      <c r="J172" s="961"/>
      <c r="K172" s="51">
        <f t="shared" si="37"/>
        <v>1</v>
      </c>
      <c r="L172" s="961"/>
      <c r="M172" s="51">
        <f t="shared" si="38"/>
        <v>1</v>
      </c>
      <c r="N172" s="961"/>
      <c r="O172" s="51">
        <f t="shared" si="39"/>
        <v>1</v>
      </c>
      <c r="P172" s="961"/>
      <c r="Q172" s="51">
        <f t="shared" si="40"/>
        <v>1</v>
      </c>
      <c r="R172" s="488">
        <f t="shared" si="41"/>
        <v>0</v>
      </c>
      <c r="S172" s="797">
        <f t="shared" si="32"/>
        <v>0</v>
      </c>
    </row>
    <row r="173" spans="1:19">
      <c r="A173" s="963"/>
      <c r="B173" s="135"/>
      <c r="C173" s="51">
        <f t="shared" si="33"/>
        <v>1</v>
      </c>
      <c r="D173" s="961"/>
      <c r="E173" s="51">
        <f t="shared" si="34"/>
        <v>1</v>
      </c>
      <c r="F173" s="961"/>
      <c r="G173" s="51">
        <f t="shared" si="35"/>
        <v>1</v>
      </c>
      <c r="H173" s="961"/>
      <c r="I173" s="51">
        <f t="shared" si="36"/>
        <v>1</v>
      </c>
      <c r="J173" s="961"/>
      <c r="K173" s="51">
        <f t="shared" si="37"/>
        <v>1</v>
      </c>
      <c r="L173" s="961"/>
      <c r="M173" s="51">
        <f t="shared" si="38"/>
        <v>1</v>
      </c>
      <c r="N173" s="961"/>
      <c r="O173" s="51">
        <f t="shared" si="39"/>
        <v>1</v>
      </c>
      <c r="P173" s="961"/>
      <c r="Q173" s="51">
        <f t="shared" si="40"/>
        <v>1</v>
      </c>
      <c r="R173" s="488">
        <f t="shared" si="41"/>
        <v>0</v>
      </c>
      <c r="S173" s="797">
        <f t="shared" si="32"/>
        <v>0</v>
      </c>
    </row>
    <row r="174" spans="1:19">
      <c r="A174" s="963"/>
      <c r="B174" s="135"/>
      <c r="C174" s="51">
        <f t="shared" si="33"/>
        <v>1</v>
      </c>
      <c r="D174" s="961"/>
      <c r="E174" s="51">
        <f t="shared" si="34"/>
        <v>1</v>
      </c>
      <c r="F174" s="961"/>
      <c r="G174" s="51">
        <f t="shared" si="35"/>
        <v>1</v>
      </c>
      <c r="H174" s="961"/>
      <c r="I174" s="51">
        <f t="shared" si="36"/>
        <v>1</v>
      </c>
      <c r="J174" s="961"/>
      <c r="K174" s="51">
        <f t="shared" si="37"/>
        <v>1</v>
      </c>
      <c r="L174" s="961"/>
      <c r="M174" s="51">
        <f t="shared" si="38"/>
        <v>1</v>
      </c>
      <c r="N174" s="961"/>
      <c r="O174" s="51">
        <f t="shared" si="39"/>
        <v>1</v>
      </c>
      <c r="P174" s="961"/>
      <c r="Q174" s="51">
        <f t="shared" si="40"/>
        <v>1</v>
      </c>
      <c r="R174" s="488">
        <f t="shared" si="41"/>
        <v>0</v>
      </c>
      <c r="S174" s="797">
        <f t="shared" si="32"/>
        <v>0</v>
      </c>
    </row>
    <row r="175" spans="1:19">
      <c r="A175" s="963"/>
      <c r="B175" s="135"/>
      <c r="C175" s="51">
        <f t="shared" si="33"/>
        <v>1</v>
      </c>
      <c r="D175" s="961"/>
      <c r="E175" s="51">
        <f t="shared" si="34"/>
        <v>1</v>
      </c>
      <c r="F175" s="961"/>
      <c r="G175" s="51">
        <f t="shared" si="35"/>
        <v>1</v>
      </c>
      <c r="H175" s="961"/>
      <c r="I175" s="51">
        <f t="shared" si="36"/>
        <v>1</v>
      </c>
      <c r="J175" s="961"/>
      <c r="K175" s="51">
        <f t="shared" si="37"/>
        <v>1</v>
      </c>
      <c r="L175" s="961"/>
      <c r="M175" s="51">
        <f t="shared" si="38"/>
        <v>1</v>
      </c>
      <c r="N175" s="961"/>
      <c r="O175" s="51">
        <f t="shared" si="39"/>
        <v>1</v>
      </c>
      <c r="P175" s="961"/>
      <c r="Q175" s="51">
        <f t="shared" si="40"/>
        <v>1</v>
      </c>
      <c r="R175" s="488">
        <f t="shared" si="41"/>
        <v>0</v>
      </c>
      <c r="S175" s="797">
        <f t="shared" si="32"/>
        <v>0</v>
      </c>
    </row>
    <row r="176" spans="1:19">
      <c r="A176" s="963"/>
      <c r="B176" s="135"/>
      <c r="C176" s="51">
        <f t="shared" si="33"/>
        <v>1</v>
      </c>
      <c r="D176" s="961"/>
      <c r="E176" s="51">
        <f t="shared" si="34"/>
        <v>1</v>
      </c>
      <c r="F176" s="961"/>
      <c r="G176" s="51">
        <f t="shared" si="35"/>
        <v>1</v>
      </c>
      <c r="H176" s="961"/>
      <c r="I176" s="51">
        <f t="shared" si="36"/>
        <v>1</v>
      </c>
      <c r="J176" s="961"/>
      <c r="K176" s="51">
        <f t="shared" si="37"/>
        <v>1</v>
      </c>
      <c r="L176" s="961"/>
      <c r="M176" s="51">
        <f t="shared" si="38"/>
        <v>1</v>
      </c>
      <c r="N176" s="961"/>
      <c r="O176" s="51">
        <f t="shared" si="39"/>
        <v>1</v>
      </c>
      <c r="P176" s="961"/>
      <c r="Q176" s="51">
        <f t="shared" si="40"/>
        <v>1</v>
      </c>
      <c r="R176" s="488">
        <f t="shared" si="41"/>
        <v>0</v>
      </c>
      <c r="S176" s="797">
        <f t="shared" si="32"/>
        <v>0</v>
      </c>
    </row>
    <row r="177" spans="1:19">
      <c r="A177" s="963"/>
      <c r="B177" s="135"/>
      <c r="C177" s="51">
        <f t="shared" si="33"/>
        <v>1</v>
      </c>
      <c r="D177" s="961"/>
      <c r="E177" s="51">
        <f t="shared" si="34"/>
        <v>1</v>
      </c>
      <c r="F177" s="961"/>
      <c r="G177" s="51">
        <f t="shared" si="35"/>
        <v>1</v>
      </c>
      <c r="H177" s="961"/>
      <c r="I177" s="51">
        <f t="shared" si="36"/>
        <v>1</v>
      </c>
      <c r="J177" s="961"/>
      <c r="K177" s="51">
        <f t="shared" si="37"/>
        <v>1</v>
      </c>
      <c r="L177" s="961"/>
      <c r="M177" s="51">
        <f t="shared" si="38"/>
        <v>1</v>
      </c>
      <c r="N177" s="961"/>
      <c r="O177" s="51">
        <f t="shared" si="39"/>
        <v>1</v>
      </c>
      <c r="P177" s="961"/>
      <c r="Q177" s="51">
        <f t="shared" si="40"/>
        <v>1</v>
      </c>
      <c r="R177" s="488">
        <f t="shared" si="41"/>
        <v>0</v>
      </c>
      <c r="S177" s="797">
        <f t="shared" si="32"/>
        <v>0</v>
      </c>
    </row>
    <row r="178" spans="1:19">
      <c r="A178" s="963"/>
      <c r="B178" s="135"/>
      <c r="C178" s="51">
        <f t="shared" si="33"/>
        <v>1</v>
      </c>
      <c r="D178" s="961"/>
      <c r="E178" s="51">
        <f t="shared" si="34"/>
        <v>1</v>
      </c>
      <c r="F178" s="961"/>
      <c r="G178" s="51">
        <f t="shared" si="35"/>
        <v>1</v>
      </c>
      <c r="H178" s="961"/>
      <c r="I178" s="51">
        <f t="shared" si="36"/>
        <v>1</v>
      </c>
      <c r="J178" s="961"/>
      <c r="K178" s="51">
        <f t="shared" si="37"/>
        <v>1</v>
      </c>
      <c r="L178" s="961"/>
      <c r="M178" s="51">
        <f t="shared" si="38"/>
        <v>1</v>
      </c>
      <c r="N178" s="961"/>
      <c r="O178" s="51">
        <f t="shared" si="39"/>
        <v>1</v>
      </c>
      <c r="P178" s="961"/>
      <c r="Q178" s="51">
        <f t="shared" si="40"/>
        <v>1</v>
      </c>
      <c r="R178" s="488">
        <f t="shared" si="41"/>
        <v>0</v>
      </c>
      <c r="S178" s="797">
        <f t="shared" si="32"/>
        <v>0</v>
      </c>
    </row>
    <row r="179" spans="1:19">
      <c r="A179" s="963"/>
      <c r="B179" s="135"/>
      <c r="C179" s="51">
        <f t="shared" si="33"/>
        <v>1</v>
      </c>
      <c r="D179" s="961"/>
      <c r="E179" s="51">
        <f t="shared" si="34"/>
        <v>1</v>
      </c>
      <c r="F179" s="961"/>
      <c r="G179" s="51">
        <f t="shared" si="35"/>
        <v>1</v>
      </c>
      <c r="H179" s="961"/>
      <c r="I179" s="51">
        <f t="shared" si="36"/>
        <v>1</v>
      </c>
      <c r="J179" s="961"/>
      <c r="K179" s="51">
        <f t="shared" si="37"/>
        <v>1</v>
      </c>
      <c r="L179" s="961"/>
      <c r="M179" s="51">
        <f t="shared" si="38"/>
        <v>1</v>
      </c>
      <c r="N179" s="961"/>
      <c r="O179" s="51">
        <f t="shared" si="39"/>
        <v>1</v>
      </c>
      <c r="P179" s="961"/>
      <c r="Q179" s="51">
        <f t="shared" si="40"/>
        <v>1</v>
      </c>
      <c r="R179" s="488">
        <f t="shared" si="41"/>
        <v>0</v>
      </c>
      <c r="S179" s="797">
        <f t="shared" si="32"/>
        <v>0</v>
      </c>
    </row>
    <row r="180" spans="1:19">
      <c r="A180" s="963"/>
      <c r="B180" s="135"/>
      <c r="C180" s="51">
        <f t="shared" si="33"/>
        <v>1</v>
      </c>
      <c r="D180" s="961"/>
      <c r="E180" s="51">
        <f t="shared" si="34"/>
        <v>1</v>
      </c>
      <c r="F180" s="961"/>
      <c r="G180" s="51">
        <f t="shared" si="35"/>
        <v>1</v>
      </c>
      <c r="H180" s="961"/>
      <c r="I180" s="51">
        <f t="shared" si="36"/>
        <v>1</v>
      </c>
      <c r="J180" s="961"/>
      <c r="K180" s="51">
        <f t="shared" si="37"/>
        <v>1</v>
      </c>
      <c r="L180" s="961"/>
      <c r="M180" s="51">
        <f t="shared" si="38"/>
        <v>1</v>
      </c>
      <c r="N180" s="961"/>
      <c r="O180" s="51">
        <f t="shared" si="39"/>
        <v>1</v>
      </c>
      <c r="P180" s="961"/>
      <c r="Q180" s="51">
        <f t="shared" si="40"/>
        <v>1</v>
      </c>
      <c r="R180" s="488">
        <f t="shared" si="41"/>
        <v>0</v>
      </c>
      <c r="S180" s="797">
        <f t="shared" si="32"/>
        <v>0</v>
      </c>
    </row>
    <row r="181" spans="1:19">
      <c r="A181" s="963"/>
      <c r="B181" s="135"/>
      <c r="C181" s="51">
        <f t="shared" si="33"/>
        <v>1</v>
      </c>
      <c r="D181" s="961"/>
      <c r="E181" s="51">
        <f t="shared" si="34"/>
        <v>1</v>
      </c>
      <c r="F181" s="961"/>
      <c r="G181" s="51">
        <f t="shared" si="35"/>
        <v>1</v>
      </c>
      <c r="H181" s="961"/>
      <c r="I181" s="51">
        <f t="shared" si="36"/>
        <v>1</v>
      </c>
      <c r="J181" s="961"/>
      <c r="K181" s="51">
        <f t="shared" si="37"/>
        <v>1</v>
      </c>
      <c r="L181" s="961"/>
      <c r="M181" s="51">
        <f t="shared" si="38"/>
        <v>1</v>
      </c>
      <c r="N181" s="961"/>
      <c r="O181" s="51">
        <f t="shared" si="39"/>
        <v>1</v>
      </c>
      <c r="P181" s="961"/>
      <c r="Q181" s="51">
        <f t="shared" si="40"/>
        <v>1</v>
      </c>
      <c r="R181" s="488">
        <f t="shared" si="41"/>
        <v>0</v>
      </c>
      <c r="S181" s="797">
        <f t="shared" si="32"/>
        <v>0</v>
      </c>
    </row>
    <row r="182" spans="1:19">
      <c r="A182" s="963"/>
      <c r="B182" s="135"/>
      <c r="C182" s="51">
        <f t="shared" si="33"/>
        <v>1</v>
      </c>
      <c r="D182" s="961"/>
      <c r="E182" s="51">
        <f t="shared" si="34"/>
        <v>1</v>
      </c>
      <c r="F182" s="961"/>
      <c r="G182" s="51">
        <f t="shared" si="35"/>
        <v>1</v>
      </c>
      <c r="H182" s="961"/>
      <c r="I182" s="51">
        <f t="shared" si="36"/>
        <v>1</v>
      </c>
      <c r="J182" s="961"/>
      <c r="K182" s="51">
        <f t="shared" si="37"/>
        <v>1</v>
      </c>
      <c r="L182" s="961"/>
      <c r="M182" s="51">
        <f t="shared" si="38"/>
        <v>1</v>
      </c>
      <c r="N182" s="961"/>
      <c r="O182" s="51">
        <f t="shared" si="39"/>
        <v>1</v>
      </c>
      <c r="P182" s="961"/>
      <c r="Q182" s="51">
        <f t="shared" si="40"/>
        <v>1</v>
      </c>
      <c r="R182" s="488">
        <f t="shared" si="41"/>
        <v>0</v>
      </c>
      <c r="S182" s="797">
        <f t="shared" si="32"/>
        <v>0</v>
      </c>
    </row>
    <row r="183" spans="1:19">
      <c r="A183" s="963"/>
      <c r="B183" s="135"/>
      <c r="C183" s="51">
        <f t="shared" si="33"/>
        <v>1</v>
      </c>
      <c r="D183" s="961"/>
      <c r="E183" s="51">
        <f t="shared" si="34"/>
        <v>1</v>
      </c>
      <c r="F183" s="961"/>
      <c r="G183" s="51">
        <f t="shared" si="35"/>
        <v>1</v>
      </c>
      <c r="H183" s="961"/>
      <c r="I183" s="51">
        <f t="shared" si="36"/>
        <v>1</v>
      </c>
      <c r="J183" s="961"/>
      <c r="K183" s="51">
        <f t="shared" si="37"/>
        <v>1</v>
      </c>
      <c r="L183" s="961"/>
      <c r="M183" s="51">
        <f t="shared" si="38"/>
        <v>1</v>
      </c>
      <c r="N183" s="961"/>
      <c r="O183" s="51">
        <f t="shared" si="39"/>
        <v>1</v>
      </c>
      <c r="P183" s="961"/>
      <c r="Q183" s="51">
        <f t="shared" si="40"/>
        <v>1</v>
      </c>
      <c r="R183" s="488">
        <f t="shared" si="41"/>
        <v>0</v>
      </c>
      <c r="S183" s="797">
        <f t="shared" si="32"/>
        <v>0</v>
      </c>
    </row>
    <row r="184" spans="1:19">
      <c r="A184" s="963"/>
      <c r="B184" s="135"/>
      <c r="C184" s="51">
        <f t="shared" si="33"/>
        <v>1</v>
      </c>
      <c r="D184" s="961"/>
      <c r="E184" s="51">
        <f t="shared" si="34"/>
        <v>1</v>
      </c>
      <c r="F184" s="961"/>
      <c r="G184" s="51">
        <f t="shared" si="35"/>
        <v>1</v>
      </c>
      <c r="H184" s="961"/>
      <c r="I184" s="51">
        <f t="shared" si="36"/>
        <v>1</v>
      </c>
      <c r="J184" s="961"/>
      <c r="K184" s="51">
        <f t="shared" si="37"/>
        <v>1</v>
      </c>
      <c r="L184" s="961"/>
      <c r="M184" s="51">
        <f t="shared" si="38"/>
        <v>1</v>
      </c>
      <c r="N184" s="961"/>
      <c r="O184" s="51">
        <f t="shared" si="39"/>
        <v>1</v>
      </c>
      <c r="P184" s="961"/>
      <c r="Q184" s="51">
        <f t="shared" si="40"/>
        <v>1</v>
      </c>
      <c r="R184" s="488">
        <f t="shared" si="41"/>
        <v>0</v>
      </c>
      <c r="S184" s="797">
        <f t="shared" si="32"/>
        <v>0</v>
      </c>
    </row>
    <row r="185" spans="1:19">
      <c r="A185" s="963"/>
      <c r="B185" s="135"/>
      <c r="C185" s="51">
        <f t="shared" si="33"/>
        <v>1</v>
      </c>
      <c r="D185" s="961"/>
      <c r="E185" s="51">
        <f t="shared" si="34"/>
        <v>1</v>
      </c>
      <c r="F185" s="961"/>
      <c r="G185" s="51">
        <f t="shared" si="35"/>
        <v>1</v>
      </c>
      <c r="H185" s="961"/>
      <c r="I185" s="51">
        <f t="shared" si="36"/>
        <v>1</v>
      </c>
      <c r="J185" s="961"/>
      <c r="K185" s="51">
        <f t="shared" si="37"/>
        <v>1</v>
      </c>
      <c r="L185" s="961"/>
      <c r="M185" s="51">
        <f t="shared" si="38"/>
        <v>1</v>
      </c>
      <c r="N185" s="961"/>
      <c r="O185" s="51">
        <f t="shared" si="39"/>
        <v>1</v>
      </c>
      <c r="P185" s="961"/>
      <c r="Q185" s="51">
        <f t="shared" si="40"/>
        <v>1</v>
      </c>
      <c r="R185" s="488">
        <f t="shared" si="41"/>
        <v>0</v>
      </c>
      <c r="S185" s="797">
        <f t="shared" si="32"/>
        <v>0</v>
      </c>
    </row>
    <row r="186" spans="1:19">
      <c r="A186" s="963"/>
      <c r="B186" s="135"/>
      <c r="C186" s="51">
        <f t="shared" si="33"/>
        <v>1</v>
      </c>
      <c r="D186" s="961"/>
      <c r="E186" s="51">
        <f t="shared" si="34"/>
        <v>1</v>
      </c>
      <c r="F186" s="961"/>
      <c r="G186" s="51">
        <f t="shared" si="35"/>
        <v>1</v>
      </c>
      <c r="H186" s="961"/>
      <c r="I186" s="51">
        <f t="shared" si="36"/>
        <v>1</v>
      </c>
      <c r="J186" s="961"/>
      <c r="K186" s="51">
        <f t="shared" si="37"/>
        <v>1</v>
      </c>
      <c r="L186" s="961"/>
      <c r="M186" s="51">
        <f t="shared" si="38"/>
        <v>1</v>
      </c>
      <c r="N186" s="961"/>
      <c r="O186" s="51">
        <f t="shared" si="39"/>
        <v>1</v>
      </c>
      <c r="P186" s="961"/>
      <c r="Q186" s="51">
        <f t="shared" si="40"/>
        <v>1</v>
      </c>
      <c r="R186" s="488">
        <f t="shared" si="41"/>
        <v>0</v>
      </c>
      <c r="S186" s="797">
        <f t="shared" si="32"/>
        <v>0</v>
      </c>
    </row>
    <row r="187" spans="1:19">
      <c r="A187" s="963"/>
      <c r="B187" s="135"/>
      <c r="C187" s="51">
        <f t="shared" si="33"/>
        <v>1</v>
      </c>
      <c r="D187" s="961"/>
      <c r="E187" s="51">
        <f t="shared" si="34"/>
        <v>1</v>
      </c>
      <c r="F187" s="961"/>
      <c r="G187" s="51">
        <f t="shared" si="35"/>
        <v>1</v>
      </c>
      <c r="H187" s="961"/>
      <c r="I187" s="51">
        <f t="shared" si="36"/>
        <v>1</v>
      </c>
      <c r="J187" s="961"/>
      <c r="K187" s="51">
        <f t="shared" si="37"/>
        <v>1</v>
      </c>
      <c r="L187" s="961"/>
      <c r="M187" s="51">
        <f t="shared" si="38"/>
        <v>1</v>
      </c>
      <c r="N187" s="961"/>
      <c r="O187" s="51">
        <f t="shared" si="39"/>
        <v>1</v>
      </c>
      <c r="P187" s="961"/>
      <c r="Q187" s="51">
        <f t="shared" si="40"/>
        <v>1</v>
      </c>
      <c r="R187" s="488">
        <f t="shared" si="41"/>
        <v>0</v>
      </c>
      <c r="S187" s="797">
        <f t="shared" ref="S187:S222" si="42">ROUND(R187*B187/10000,0)</f>
        <v>0</v>
      </c>
    </row>
    <row r="188" spans="1:19">
      <c r="A188" s="963"/>
      <c r="B188" s="135"/>
      <c r="C188" s="51">
        <f t="shared" si="33"/>
        <v>1</v>
      </c>
      <c r="D188" s="961"/>
      <c r="E188" s="51">
        <f t="shared" si="34"/>
        <v>1</v>
      </c>
      <c r="F188" s="961"/>
      <c r="G188" s="51">
        <f t="shared" si="35"/>
        <v>1</v>
      </c>
      <c r="H188" s="961"/>
      <c r="I188" s="51">
        <f t="shared" si="36"/>
        <v>1</v>
      </c>
      <c r="J188" s="961"/>
      <c r="K188" s="51">
        <f t="shared" si="37"/>
        <v>1</v>
      </c>
      <c r="L188" s="961"/>
      <c r="M188" s="51">
        <f t="shared" si="38"/>
        <v>1</v>
      </c>
      <c r="N188" s="961"/>
      <c r="O188" s="51">
        <f t="shared" si="39"/>
        <v>1</v>
      </c>
      <c r="P188" s="961"/>
      <c r="Q188" s="51">
        <f t="shared" si="40"/>
        <v>1</v>
      </c>
      <c r="R188" s="488">
        <f t="shared" si="41"/>
        <v>0</v>
      </c>
      <c r="S188" s="797">
        <f t="shared" si="42"/>
        <v>0</v>
      </c>
    </row>
    <row r="189" spans="1:19">
      <c r="A189" s="963"/>
      <c r="B189" s="135"/>
      <c r="C189" s="51">
        <f t="shared" si="33"/>
        <v>1</v>
      </c>
      <c r="D189" s="961"/>
      <c r="E189" s="51">
        <f t="shared" si="34"/>
        <v>1</v>
      </c>
      <c r="F189" s="961"/>
      <c r="G189" s="51">
        <f t="shared" si="35"/>
        <v>1</v>
      </c>
      <c r="H189" s="961"/>
      <c r="I189" s="51">
        <f t="shared" si="36"/>
        <v>1</v>
      </c>
      <c r="J189" s="961"/>
      <c r="K189" s="51">
        <f t="shared" si="37"/>
        <v>1</v>
      </c>
      <c r="L189" s="961"/>
      <c r="M189" s="51">
        <f t="shared" si="38"/>
        <v>1</v>
      </c>
      <c r="N189" s="961"/>
      <c r="O189" s="51">
        <f t="shared" si="39"/>
        <v>1</v>
      </c>
      <c r="P189" s="961"/>
      <c r="Q189" s="51">
        <f t="shared" si="40"/>
        <v>1</v>
      </c>
      <c r="R189" s="488">
        <f t="shared" si="41"/>
        <v>0</v>
      </c>
      <c r="S189" s="797">
        <f t="shared" si="42"/>
        <v>0</v>
      </c>
    </row>
    <row r="190" spans="1:19">
      <c r="A190" s="963"/>
      <c r="B190" s="135"/>
      <c r="C190" s="51">
        <f t="shared" si="33"/>
        <v>1</v>
      </c>
      <c r="D190" s="961"/>
      <c r="E190" s="51">
        <f t="shared" si="34"/>
        <v>1</v>
      </c>
      <c r="F190" s="961"/>
      <c r="G190" s="51">
        <f t="shared" si="35"/>
        <v>1</v>
      </c>
      <c r="H190" s="961"/>
      <c r="I190" s="51">
        <f t="shared" si="36"/>
        <v>1</v>
      </c>
      <c r="J190" s="961"/>
      <c r="K190" s="51">
        <f t="shared" si="37"/>
        <v>1</v>
      </c>
      <c r="L190" s="961"/>
      <c r="M190" s="51">
        <f t="shared" si="38"/>
        <v>1</v>
      </c>
      <c r="N190" s="961"/>
      <c r="O190" s="51">
        <f t="shared" si="39"/>
        <v>1</v>
      </c>
      <c r="P190" s="961"/>
      <c r="Q190" s="51">
        <f t="shared" si="40"/>
        <v>1</v>
      </c>
      <c r="R190" s="488">
        <f t="shared" si="41"/>
        <v>0</v>
      </c>
      <c r="S190" s="797">
        <f t="shared" si="42"/>
        <v>0</v>
      </c>
    </row>
    <row r="191" spans="1:19">
      <c r="A191" s="963"/>
      <c r="B191" s="135"/>
      <c r="C191" s="51">
        <f t="shared" si="33"/>
        <v>1</v>
      </c>
      <c r="D191" s="961"/>
      <c r="E191" s="51">
        <f t="shared" si="34"/>
        <v>1</v>
      </c>
      <c r="F191" s="961"/>
      <c r="G191" s="51">
        <f t="shared" si="35"/>
        <v>1</v>
      </c>
      <c r="H191" s="961"/>
      <c r="I191" s="51">
        <f t="shared" si="36"/>
        <v>1</v>
      </c>
      <c r="J191" s="961"/>
      <c r="K191" s="51">
        <f t="shared" si="37"/>
        <v>1</v>
      </c>
      <c r="L191" s="961"/>
      <c r="M191" s="51">
        <f t="shared" si="38"/>
        <v>1</v>
      </c>
      <c r="N191" s="961"/>
      <c r="O191" s="51">
        <f t="shared" si="39"/>
        <v>1</v>
      </c>
      <c r="P191" s="961"/>
      <c r="Q191" s="51">
        <f t="shared" si="40"/>
        <v>1</v>
      </c>
      <c r="R191" s="488">
        <f t="shared" si="41"/>
        <v>0</v>
      </c>
      <c r="S191" s="797">
        <f t="shared" si="42"/>
        <v>0</v>
      </c>
    </row>
    <row r="192" spans="1:19">
      <c r="A192" s="963"/>
      <c r="B192" s="135"/>
      <c r="C192" s="51">
        <f t="shared" si="33"/>
        <v>1</v>
      </c>
      <c r="D192" s="961"/>
      <c r="E192" s="51">
        <f t="shared" si="34"/>
        <v>1</v>
      </c>
      <c r="F192" s="961"/>
      <c r="G192" s="51">
        <f t="shared" si="35"/>
        <v>1</v>
      </c>
      <c r="H192" s="961"/>
      <c r="I192" s="51">
        <f t="shared" si="36"/>
        <v>1</v>
      </c>
      <c r="J192" s="961"/>
      <c r="K192" s="51">
        <f t="shared" si="37"/>
        <v>1</v>
      </c>
      <c r="L192" s="961"/>
      <c r="M192" s="51">
        <f t="shared" si="38"/>
        <v>1</v>
      </c>
      <c r="N192" s="961"/>
      <c r="O192" s="51">
        <f t="shared" si="39"/>
        <v>1</v>
      </c>
      <c r="P192" s="961"/>
      <c r="Q192" s="51">
        <f t="shared" si="40"/>
        <v>1</v>
      </c>
      <c r="R192" s="488">
        <f t="shared" si="41"/>
        <v>0</v>
      </c>
      <c r="S192" s="797">
        <f t="shared" si="42"/>
        <v>0</v>
      </c>
    </row>
    <row r="193" spans="1:19">
      <c r="A193" s="963"/>
      <c r="B193" s="135"/>
      <c r="C193" s="51">
        <f t="shared" si="33"/>
        <v>1</v>
      </c>
      <c r="D193" s="961"/>
      <c r="E193" s="51">
        <f t="shared" si="34"/>
        <v>1</v>
      </c>
      <c r="F193" s="961"/>
      <c r="G193" s="51">
        <f t="shared" si="35"/>
        <v>1</v>
      </c>
      <c r="H193" s="961"/>
      <c r="I193" s="51">
        <f t="shared" si="36"/>
        <v>1</v>
      </c>
      <c r="J193" s="961"/>
      <c r="K193" s="51">
        <f t="shared" si="37"/>
        <v>1</v>
      </c>
      <c r="L193" s="961"/>
      <c r="M193" s="51">
        <f t="shared" si="38"/>
        <v>1</v>
      </c>
      <c r="N193" s="961"/>
      <c r="O193" s="51">
        <f t="shared" si="39"/>
        <v>1</v>
      </c>
      <c r="P193" s="961"/>
      <c r="Q193" s="51">
        <f t="shared" si="40"/>
        <v>1</v>
      </c>
      <c r="R193" s="488">
        <f t="shared" si="41"/>
        <v>0</v>
      </c>
      <c r="S193" s="797">
        <f t="shared" si="42"/>
        <v>0</v>
      </c>
    </row>
    <row r="194" spans="1:19">
      <c r="A194" s="963"/>
      <c r="B194" s="135"/>
      <c r="C194" s="51">
        <f t="shared" si="33"/>
        <v>1</v>
      </c>
      <c r="D194" s="961"/>
      <c r="E194" s="51">
        <f t="shared" si="34"/>
        <v>1</v>
      </c>
      <c r="F194" s="961"/>
      <c r="G194" s="51">
        <f t="shared" si="35"/>
        <v>1</v>
      </c>
      <c r="H194" s="961"/>
      <c r="I194" s="51">
        <f t="shared" si="36"/>
        <v>1</v>
      </c>
      <c r="J194" s="961"/>
      <c r="K194" s="51">
        <f t="shared" si="37"/>
        <v>1</v>
      </c>
      <c r="L194" s="961"/>
      <c r="M194" s="51">
        <f t="shared" si="38"/>
        <v>1</v>
      </c>
      <c r="N194" s="961"/>
      <c r="O194" s="51">
        <f t="shared" si="39"/>
        <v>1</v>
      </c>
      <c r="P194" s="961"/>
      <c r="Q194" s="51">
        <f t="shared" si="40"/>
        <v>1</v>
      </c>
      <c r="R194" s="488">
        <f t="shared" si="41"/>
        <v>0</v>
      </c>
      <c r="S194" s="797">
        <f t="shared" si="42"/>
        <v>0</v>
      </c>
    </row>
    <row r="195" spans="1:19">
      <c r="A195" s="963"/>
      <c r="B195" s="135"/>
      <c r="C195" s="51">
        <f t="shared" si="33"/>
        <v>1</v>
      </c>
      <c r="D195" s="961"/>
      <c r="E195" s="51">
        <f t="shared" si="34"/>
        <v>1</v>
      </c>
      <c r="F195" s="961"/>
      <c r="G195" s="51">
        <f t="shared" si="35"/>
        <v>1</v>
      </c>
      <c r="H195" s="961"/>
      <c r="I195" s="51">
        <f t="shared" si="36"/>
        <v>1</v>
      </c>
      <c r="J195" s="961"/>
      <c r="K195" s="51">
        <f t="shared" si="37"/>
        <v>1</v>
      </c>
      <c r="L195" s="961"/>
      <c r="M195" s="51">
        <f t="shared" si="38"/>
        <v>1</v>
      </c>
      <c r="N195" s="961"/>
      <c r="O195" s="51">
        <f t="shared" si="39"/>
        <v>1</v>
      </c>
      <c r="P195" s="961"/>
      <c r="Q195" s="51">
        <f t="shared" si="40"/>
        <v>1</v>
      </c>
      <c r="R195" s="488">
        <f t="shared" si="41"/>
        <v>0</v>
      </c>
      <c r="S195" s="797">
        <f t="shared" si="42"/>
        <v>0</v>
      </c>
    </row>
    <row r="196" spans="1:19">
      <c r="A196" s="963"/>
      <c r="B196" s="135"/>
      <c r="C196" s="51">
        <f t="shared" si="33"/>
        <v>1</v>
      </c>
      <c r="D196" s="961"/>
      <c r="E196" s="51">
        <f t="shared" si="34"/>
        <v>1</v>
      </c>
      <c r="F196" s="961"/>
      <c r="G196" s="51">
        <f t="shared" si="35"/>
        <v>1</v>
      </c>
      <c r="H196" s="961"/>
      <c r="I196" s="51">
        <f t="shared" si="36"/>
        <v>1</v>
      </c>
      <c r="J196" s="961"/>
      <c r="K196" s="51">
        <f t="shared" si="37"/>
        <v>1</v>
      </c>
      <c r="L196" s="961"/>
      <c r="M196" s="51">
        <f t="shared" si="38"/>
        <v>1</v>
      </c>
      <c r="N196" s="961"/>
      <c r="O196" s="51">
        <f t="shared" si="39"/>
        <v>1</v>
      </c>
      <c r="P196" s="961"/>
      <c r="Q196" s="51">
        <f t="shared" si="40"/>
        <v>1</v>
      </c>
      <c r="R196" s="488">
        <f t="shared" si="41"/>
        <v>0</v>
      </c>
      <c r="S196" s="797">
        <f t="shared" si="42"/>
        <v>0</v>
      </c>
    </row>
    <row r="197" spans="1:19">
      <c r="A197" s="963"/>
      <c r="B197" s="135"/>
      <c r="C197" s="51">
        <f t="shared" si="33"/>
        <v>1</v>
      </c>
      <c r="D197" s="961"/>
      <c r="E197" s="51">
        <f t="shared" si="34"/>
        <v>1</v>
      </c>
      <c r="F197" s="961"/>
      <c r="G197" s="51">
        <f t="shared" si="35"/>
        <v>1</v>
      </c>
      <c r="H197" s="961"/>
      <c r="I197" s="51">
        <f t="shared" si="36"/>
        <v>1</v>
      </c>
      <c r="J197" s="961"/>
      <c r="K197" s="51">
        <f t="shared" si="37"/>
        <v>1</v>
      </c>
      <c r="L197" s="961"/>
      <c r="M197" s="51">
        <f t="shared" si="38"/>
        <v>1</v>
      </c>
      <c r="N197" s="961"/>
      <c r="O197" s="51">
        <f t="shared" si="39"/>
        <v>1</v>
      </c>
      <c r="P197" s="961"/>
      <c r="Q197" s="51">
        <f t="shared" si="40"/>
        <v>1</v>
      </c>
      <c r="R197" s="488">
        <f t="shared" si="41"/>
        <v>0</v>
      </c>
      <c r="S197" s="797">
        <f t="shared" si="42"/>
        <v>0</v>
      </c>
    </row>
    <row r="198" spans="1:19">
      <c r="A198" s="963"/>
      <c r="B198" s="135"/>
      <c r="C198" s="51">
        <f t="shared" si="33"/>
        <v>1</v>
      </c>
      <c r="D198" s="961"/>
      <c r="E198" s="51">
        <f t="shared" si="34"/>
        <v>1</v>
      </c>
      <c r="F198" s="961"/>
      <c r="G198" s="51">
        <f t="shared" si="35"/>
        <v>1</v>
      </c>
      <c r="H198" s="961"/>
      <c r="I198" s="51">
        <f t="shared" si="36"/>
        <v>1</v>
      </c>
      <c r="J198" s="961"/>
      <c r="K198" s="51">
        <f t="shared" si="37"/>
        <v>1</v>
      </c>
      <c r="L198" s="961"/>
      <c r="M198" s="51">
        <f t="shared" si="38"/>
        <v>1</v>
      </c>
      <c r="N198" s="961"/>
      <c r="O198" s="51">
        <f t="shared" si="39"/>
        <v>1</v>
      </c>
      <c r="P198" s="961"/>
      <c r="Q198" s="51">
        <f t="shared" si="40"/>
        <v>1</v>
      </c>
      <c r="R198" s="488">
        <f t="shared" si="41"/>
        <v>0</v>
      </c>
      <c r="S198" s="797">
        <f t="shared" si="42"/>
        <v>0</v>
      </c>
    </row>
    <row r="199" spans="1:19">
      <c r="A199" s="963"/>
      <c r="B199" s="135"/>
      <c r="C199" s="51">
        <f t="shared" si="33"/>
        <v>1</v>
      </c>
      <c r="D199" s="961"/>
      <c r="E199" s="51">
        <f t="shared" si="34"/>
        <v>1</v>
      </c>
      <c r="F199" s="961"/>
      <c r="G199" s="51">
        <f t="shared" si="35"/>
        <v>1</v>
      </c>
      <c r="H199" s="961"/>
      <c r="I199" s="51">
        <f t="shared" si="36"/>
        <v>1</v>
      </c>
      <c r="J199" s="961"/>
      <c r="K199" s="51">
        <f t="shared" si="37"/>
        <v>1</v>
      </c>
      <c r="L199" s="961"/>
      <c r="M199" s="51">
        <f t="shared" si="38"/>
        <v>1</v>
      </c>
      <c r="N199" s="961"/>
      <c r="O199" s="51">
        <f t="shared" si="39"/>
        <v>1</v>
      </c>
      <c r="P199" s="961"/>
      <c r="Q199" s="51">
        <f t="shared" si="40"/>
        <v>1</v>
      </c>
      <c r="R199" s="488">
        <f t="shared" si="41"/>
        <v>0</v>
      </c>
      <c r="S199" s="797">
        <f t="shared" si="42"/>
        <v>0</v>
      </c>
    </row>
    <row r="200" spans="1:19">
      <c r="A200" s="963"/>
      <c r="B200" s="135"/>
      <c r="C200" s="51">
        <f t="shared" si="33"/>
        <v>1</v>
      </c>
      <c r="D200" s="961"/>
      <c r="E200" s="51">
        <f t="shared" si="34"/>
        <v>1</v>
      </c>
      <c r="F200" s="961"/>
      <c r="G200" s="51">
        <f t="shared" si="35"/>
        <v>1</v>
      </c>
      <c r="H200" s="961"/>
      <c r="I200" s="51">
        <f t="shared" si="36"/>
        <v>1</v>
      </c>
      <c r="J200" s="961"/>
      <c r="K200" s="51">
        <f t="shared" si="37"/>
        <v>1</v>
      </c>
      <c r="L200" s="961"/>
      <c r="M200" s="51">
        <f t="shared" si="38"/>
        <v>1</v>
      </c>
      <c r="N200" s="961"/>
      <c r="O200" s="51">
        <f t="shared" si="39"/>
        <v>1</v>
      </c>
      <c r="P200" s="961"/>
      <c r="Q200" s="51">
        <f t="shared" si="40"/>
        <v>1</v>
      </c>
      <c r="R200" s="488">
        <f t="shared" si="41"/>
        <v>0</v>
      </c>
      <c r="S200" s="797">
        <f t="shared" si="42"/>
        <v>0</v>
      </c>
    </row>
    <row r="201" spans="1:19">
      <c r="A201" s="963"/>
      <c r="B201" s="135"/>
      <c r="C201" s="51">
        <f t="shared" si="33"/>
        <v>1</v>
      </c>
      <c r="D201" s="961"/>
      <c r="E201" s="51">
        <f t="shared" si="34"/>
        <v>1</v>
      </c>
      <c r="F201" s="961"/>
      <c r="G201" s="51">
        <f t="shared" si="35"/>
        <v>1</v>
      </c>
      <c r="H201" s="961"/>
      <c r="I201" s="51">
        <f t="shared" si="36"/>
        <v>1</v>
      </c>
      <c r="J201" s="961"/>
      <c r="K201" s="51">
        <f t="shared" si="37"/>
        <v>1</v>
      </c>
      <c r="L201" s="961"/>
      <c r="M201" s="51">
        <f t="shared" si="38"/>
        <v>1</v>
      </c>
      <c r="N201" s="961"/>
      <c r="O201" s="51">
        <f t="shared" si="39"/>
        <v>1</v>
      </c>
      <c r="P201" s="961"/>
      <c r="Q201" s="51">
        <f t="shared" si="40"/>
        <v>1</v>
      </c>
      <c r="R201" s="488">
        <f t="shared" si="41"/>
        <v>0</v>
      </c>
      <c r="S201" s="797">
        <f t="shared" si="42"/>
        <v>0</v>
      </c>
    </row>
    <row r="202" spans="1:19">
      <c r="A202" s="963"/>
      <c r="B202" s="135"/>
      <c r="C202" s="51">
        <f t="shared" si="33"/>
        <v>1</v>
      </c>
      <c r="D202" s="961"/>
      <c r="E202" s="51">
        <f t="shared" si="34"/>
        <v>1</v>
      </c>
      <c r="F202" s="961"/>
      <c r="G202" s="51">
        <f t="shared" si="35"/>
        <v>1</v>
      </c>
      <c r="H202" s="961"/>
      <c r="I202" s="51">
        <f t="shared" si="36"/>
        <v>1</v>
      </c>
      <c r="J202" s="961"/>
      <c r="K202" s="51">
        <f t="shared" si="37"/>
        <v>1</v>
      </c>
      <c r="L202" s="961"/>
      <c r="M202" s="51">
        <f t="shared" si="38"/>
        <v>1</v>
      </c>
      <c r="N202" s="961"/>
      <c r="O202" s="51">
        <f t="shared" si="39"/>
        <v>1</v>
      </c>
      <c r="P202" s="961"/>
      <c r="Q202" s="51">
        <f t="shared" si="40"/>
        <v>1</v>
      </c>
      <c r="R202" s="488">
        <f t="shared" si="41"/>
        <v>0</v>
      </c>
      <c r="S202" s="797">
        <f t="shared" si="42"/>
        <v>0</v>
      </c>
    </row>
    <row r="203" spans="1:19">
      <c r="A203" s="963"/>
      <c r="B203" s="135"/>
      <c r="C203" s="51">
        <f t="shared" si="33"/>
        <v>1</v>
      </c>
      <c r="D203" s="961"/>
      <c r="E203" s="51">
        <f t="shared" si="34"/>
        <v>1</v>
      </c>
      <c r="F203" s="961"/>
      <c r="G203" s="51">
        <f t="shared" si="35"/>
        <v>1</v>
      </c>
      <c r="H203" s="961"/>
      <c r="I203" s="51">
        <f t="shared" si="36"/>
        <v>1</v>
      </c>
      <c r="J203" s="961"/>
      <c r="K203" s="51">
        <f t="shared" si="37"/>
        <v>1</v>
      </c>
      <c r="L203" s="961"/>
      <c r="M203" s="51">
        <f t="shared" si="38"/>
        <v>1</v>
      </c>
      <c r="N203" s="961"/>
      <c r="O203" s="51">
        <f t="shared" si="39"/>
        <v>1</v>
      </c>
      <c r="P203" s="961"/>
      <c r="Q203" s="51">
        <f t="shared" si="40"/>
        <v>1</v>
      </c>
      <c r="R203" s="488">
        <f t="shared" si="41"/>
        <v>0</v>
      </c>
      <c r="S203" s="797">
        <f t="shared" si="42"/>
        <v>0</v>
      </c>
    </row>
    <row r="204" spans="1:19">
      <c r="A204" s="963"/>
      <c r="B204" s="135"/>
      <c r="C204" s="51">
        <f t="shared" si="33"/>
        <v>1</v>
      </c>
      <c r="D204" s="961"/>
      <c r="E204" s="51">
        <f t="shared" si="34"/>
        <v>1</v>
      </c>
      <c r="F204" s="961"/>
      <c r="G204" s="51">
        <f t="shared" si="35"/>
        <v>1</v>
      </c>
      <c r="H204" s="961"/>
      <c r="I204" s="51">
        <f t="shared" si="36"/>
        <v>1</v>
      </c>
      <c r="J204" s="961"/>
      <c r="K204" s="51">
        <f t="shared" si="37"/>
        <v>1</v>
      </c>
      <c r="L204" s="961"/>
      <c r="M204" s="51">
        <f t="shared" si="38"/>
        <v>1</v>
      </c>
      <c r="N204" s="961"/>
      <c r="O204" s="51">
        <f t="shared" si="39"/>
        <v>1</v>
      </c>
      <c r="P204" s="961"/>
      <c r="Q204" s="51">
        <f t="shared" si="40"/>
        <v>1</v>
      </c>
      <c r="R204" s="488">
        <f t="shared" si="41"/>
        <v>0</v>
      </c>
      <c r="S204" s="797">
        <f t="shared" si="42"/>
        <v>0</v>
      </c>
    </row>
    <row r="205" spans="1:19">
      <c r="A205" s="963"/>
      <c r="B205" s="135"/>
      <c r="C205" s="51">
        <f t="shared" si="33"/>
        <v>1</v>
      </c>
      <c r="D205" s="961"/>
      <c r="E205" s="51">
        <f t="shared" si="34"/>
        <v>1</v>
      </c>
      <c r="F205" s="961"/>
      <c r="G205" s="51">
        <f t="shared" si="35"/>
        <v>1</v>
      </c>
      <c r="H205" s="961"/>
      <c r="I205" s="51">
        <f t="shared" si="36"/>
        <v>1</v>
      </c>
      <c r="J205" s="961"/>
      <c r="K205" s="51">
        <f t="shared" si="37"/>
        <v>1</v>
      </c>
      <c r="L205" s="961"/>
      <c r="M205" s="51">
        <f t="shared" si="38"/>
        <v>1</v>
      </c>
      <c r="N205" s="961"/>
      <c r="O205" s="51">
        <f t="shared" si="39"/>
        <v>1</v>
      </c>
      <c r="P205" s="961"/>
      <c r="Q205" s="51">
        <f t="shared" si="40"/>
        <v>1</v>
      </c>
      <c r="R205" s="488">
        <f t="shared" si="41"/>
        <v>0</v>
      </c>
      <c r="S205" s="797">
        <f t="shared" si="42"/>
        <v>0</v>
      </c>
    </row>
    <row r="206" spans="1:19">
      <c r="A206" s="963"/>
      <c r="B206" s="135"/>
      <c r="C206" s="51">
        <f t="shared" si="33"/>
        <v>1</v>
      </c>
      <c r="D206" s="961"/>
      <c r="E206" s="51">
        <f t="shared" si="34"/>
        <v>1</v>
      </c>
      <c r="F206" s="961"/>
      <c r="G206" s="51">
        <f t="shared" si="35"/>
        <v>1</v>
      </c>
      <c r="H206" s="961"/>
      <c r="I206" s="51">
        <f t="shared" si="36"/>
        <v>1</v>
      </c>
      <c r="J206" s="961"/>
      <c r="K206" s="51">
        <f t="shared" si="37"/>
        <v>1</v>
      </c>
      <c r="L206" s="961"/>
      <c r="M206" s="51">
        <f t="shared" si="38"/>
        <v>1</v>
      </c>
      <c r="N206" s="961"/>
      <c r="O206" s="51">
        <f t="shared" si="39"/>
        <v>1</v>
      </c>
      <c r="P206" s="961"/>
      <c r="Q206" s="51">
        <f t="shared" si="40"/>
        <v>1</v>
      </c>
      <c r="R206" s="488">
        <f t="shared" si="41"/>
        <v>0</v>
      </c>
      <c r="S206" s="797">
        <f t="shared" si="42"/>
        <v>0</v>
      </c>
    </row>
    <row r="207" spans="1:19">
      <c r="A207" s="963"/>
      <c r="B207" s="135"/>
      <c r="C207" s="51">
        <f t="shared" si="33"/>
        <v>1</v>
      </c>
      <c r="D207" s="961"/>
      <c r="E207" s="51">
        <f t="shared" si="34"/>
        <v>1</v>
      </c>
      <c r="F207" s="961"/>
      <c r="G207" s="51">
        <f t="shared" si="35"/>
        <v>1</v>
      </c>
      <c r="H207" s="961"/>
      <c r="I207" s="51">
        <f t="shared" si="36"/>
        <v>1</v>
      </c>
      <c r="J207" s="961"/>
      <c r="K207" s="51">
        <f t="shared" si="37"/>
        <v>1</v>
      </c>
      <c r="L207" s="961"/>
      <c r="M207" s="51">
        <f t="shared" si="38"/>
        <v>1</v>
      </c>
      <c r="N207" s="961"/>
      <c r="O207" s="51">
        <f t="shared" si="39"/>
        <v>1</v>
      </c>
      <c r="P207" s="961"/>
      <c r="Q207" s="51">
        <f t="shared" si="40"/>
        <v>1</v>
      </c>
      <c r="R207" s="488">
        <f t="shared" si="41"/>
        <v>0</v>
      </c>
      <c r="S207" s="797">
        <f t="shared" si="42"/>
        <v>0</v>
      </c>
    </row>
    <row r="208" spans="1:19">
      <c r="A208" s="963"/>
      <c r="B208" s="135"/>
      <c r="C208" s="51">
        <f t="shared" si="33"/>
        <v>1</v>
      </c>
      <c r="D208" s="961"/>
      <c r="E208" s="51">
        <f t="shared" si="34"/>
        <v>1</v>
      </c>
      <c r="F208" s="961"/>
      <c r="G208" s="51">
        <f t="shared" si="35"/>
        <v>1</v>
      </c>
      <c r="H208" s="961"/>
      <c r="I208" s="51">
        <f t="shared" si="36"/>
        <v>1</v>
      </c>
      <c r="J208" s="961"/>
      <c r="K208" s="51">
        <f t="shared" si="37"/>
        <v>1</v>
      </c>
      <c r="L208" s="961"/>
      <c r="M208" s="51">
        <f t="shared" si="38"/>
        <v>1</v>
      </c>
      <c r="N208" s="961"/>
      <c r="O208" s="51">
        <f t="shared" si="39"/>
        <v>1</v>
      </c>
      <c r="P208" s="961"/>
      <c r="Q208" s="51">
        <f t="shared" si="40"/>
        <v>1</v>
      </c>
      <c r="R208" s="488">
        <f t="shared" si="41"/>
        <v>0</v>
      </c>
      <c r="S208" s="797">
        <f t="shared" si="42"/>
        <v>0</v>
      </c>
    </row>
    <row r="209" spans="1:19">
      <c r="A209" s="963"/>
      <c r="B209" s="135"/>
      <c r="C209" s="51">
        <f t="shared" si="33"/>
        <v>1</v>
      </c>
      <c r="D209" s="961"/>
      <c r="E209" s="51">
        <f t="shared" si="34"/>
        <v>1</v>
      </c>
      <c r="F209" s="961"/>
      <c r="G209" s="51">
        <f t="shared" si="35"/>
        <v>1</v>
      </c>
      <c r="H209" s="961"/>
      <c r="I209" s="51">
        <f t="shared" si="36"/>
        <v>1</v>
      </c>
      <c r="J209" s="961"/>
      <c r="K209" s="51">
        <f t="shared" si="37"/>
        <v>1</v>
      </c>
      <c r="L209" s="961"/>
      <c r="M209" s="51">
        <f t="shared" si="38"/>
        <v>1</v>
      </c>
      <c r="N209" s="961"/>
      <c r="O209" s="51">
        <f t="shared" si="39"/>
        <v>1</v>
      </c>
      <c r="P209" s="961"/>
      <c r="Q209" s="51">
        <f t="shared" si="40"/>
        <v>1</v>
      </c>
      <c r="R209" s="488">
        <f t="shared" si="41"/>
        <v>0</v>
      </c>
      <c r="S209" s="797">
        <f t="shared" si="42"/>
        <v>0</v>
      </c>
    </row>
    <row r="210" spans="1:19">
      <c r="A210" s="963"/>
      <c r="B210" s="135"/>
      <c r="C210" s="51">
        <f t="shared" si="33"/>
        <v>1</v>
      </c>
      <c r="D210" s="961"/>
      <c r="E210" s="51">
        <f t="shared" si="34"/>
        <v>1</v>
      </c>
      <c r="F210" s="961"/>
      <c r="G210" s="51">
        <f t="shared" si="35"/>
        <v>1</v>
      </c>
      <c r="H210" s="961"/>
      <c r="I210" s="51">
        <f t="shared" si="36"/>
        <v>1</v>
      </c>
      <c r="J210" s="961"/>
      <c r="K210" s="51">
        <f t="shared" si="37"/>
        <v>1</v>
      </c>
      <c r="L210" s="961"/>
      <c r="M210" s="51">
        <f t="shared" si="38"/>
        <v>1</v>
      </c>
      <c r="N210" s="961"/>
      <c r="O210" s="51">
        <f t="shared" si="39"/>
        <v>1</v>
      </c>
      <c r="P210" s="961"/>
      <c r="Q210" s="51">
        <f t="shared" si="40"/>
        <v>1</v>
      </c>
      <c r="R210" s="488">
        <f t="shared" si="41"/>
        <v>0</v>
      </c>
      <c r="S210" s="797">
        <f t="shared" si="42"/>
        <v>0</v>
      </c>
    </row>
    <row r="211" spans="1:19">
      <c r="A211" s="963"/>
      <c r="B211" s="135"/>
      <c r="C211" s="51">
        <f t="shared" si="33"/>
        <v>1</v>
      </c>
      <c r="D211" s="961"/>
      <c r="E211" s="51">
        <f t="shared" si="34"/>
        <v>1</v>
      </c>
      <c r="F211" s="961"/>
      <c r="G211" s="51">
        <f t="shared" si="35"/>
        <v>1</v>
      </c>
      <c r="H211" s="961"/>
      <c r="I211" s="51">
        <f t="shared" si="36"/>
        <v>1</v>
      </c>
      <c r="J211" s="961"/>
      <c r="K211" s="51">
        <f t="shared" si="37"/>
        <v>1</v>
      </c>
      <c r="L211" s="961"/>
      <c r="M211" s="51">
        <f t="shared" si="38"/>
        <v>1</v>
      </c>
      <c r="N211" s="961"/>
      <c r="O211" s="51">
        <f t="shared" si="39"/>
        <v>1</v>
      </c>
      <c r="P211" s="961"/>
      <c r="Q211" s="51">
        <f t="shared" si="40"/>
        <v>1</v>
      </c>
      <c r="R211" s="488">
        <f t="shared" si="41"/>
        <v>0</v>
      </c>
      <c r="S211" s="797">
        <f t="shared" si="42"/>
        <v>0</v>
      </c>
    </row>
    <row r="212" spans="1:19">
      <c r="A212" s="963"/>
      <c r="B212" s="135"/>
      <c r="C212" s="51">
        <f t="shared" si="33"/>
        <v>1</v>
      </c>
      <c r="D212" s="961"/>
      <c r="E212" s="51">
        <f t="shared" si="34"/>
        <v>1</v>
      </c>
      <c r="F212" s="961"/>
      <c r="G212" s="51">
        <f t="shared" si="35"/>
        <v>1</v>
      </c>
      <c r="H212" s="961"/>
      <c r="I212" s="51">
        <f t="shared" si="36"/>
        <v>1</v>
      </c>
      <c r="J212" s="961"/>
      <c r="K212" s="51">
        <f t="shared" si="37"/>
        <v>1</v>
      </c>
      <c r="L212" s="961"/>
      <c r="M212" s="51">
        <f t="shared" si="38"/>
        <v>1</v>
      </c>
      <c r="N212" s="961"/>
      <c r="O212" s="51">
        <f t="shared" si="39"/>
        <v>1</v>
      </c>
      <c r="P212" s="961"/>
      <c r="Q212" s="51">
        <f t="shared" si="40"/>
        <v>1</v>
      </c>
      <c r="R212" s="488">
        <f t="shared" si="41"/>
        <v>0</v>
      </c>
      <c r="S212" s="797">
        <f t="shared" si="42"/>
        <v>0</v>
      </c>
    </row>
    <row r="213" spans="1:19">
      <c r="A213" s="963"/>
      <c r="B213" s="135"/>
      <c r="C213" s="51">
        <f t="shared" si="33"/>
        <v>1</v>
      </c>
      <c r="D213" s="961"/>
      <c r="E213" s="51">
        <f t="shared" si="34"/>
        <v>1</v>
      </c>
      <c r="F213" s="961"/>
      <c r="G213" s="51">
        <f t="shared" si="35"/>
        <v>1</v>
      </c>
      <c r="H213" s="961"/>
      <c r="I213" s="51">
        <f t="shared" si="36"/>
        <v>1</v>
      </c>
      <c r="J213" s="961"/>
      <c r="K213" s="51">
        <f t="shared" si="37"/>
        <v>1</v>
      </c>
      <c r="L213" s="961"/>
      <c r="M213" s="51">
        <f t="shared" si="38"/>
        <v>1</v>
      </c>
      <c r="N213" s="961"/>
      <c r="O213" s="51">
        <f t="shared" si="39"/>
        <v>1</v>
      </c>
      <c r="P213" s="961"/>
      <c r="Q213" s="51">
        <f t="shared" si="40"/>
        <v>1</v>
      </c>
      <c r="R213" s="488">
        <f t="shared" si="41"/>
        <v>0</v>
      </c>
      <c r="S213" s="797">
        <f t="shared" si="42"/>
        <v>0</v>
      </c>
    </row>
    <row r="214" spans="1:19">
      <c r="A214" s="963"/>
      <c r="B214" s="135"/>
      <c r="C214" s="51">
        <f t="shared" si="33"/>
        <v>1</v>
      </c>
      <c r="D214" s="961"/>
      <c r="E214" s="51">
        <f t="shared" si="34"/>
        <v>1</v>
      </c>
      <c r="F214" s="961"/>
      <c r="G214" s="51">
        <f t="shared" si="35"/>
        <v>1</v>
      </c>
      <c r="H214" s="961"/>
      <c r="I214" s="51">
        <f t="shared" si="36"/>
        <v>1</v>
      </c>
      <c r="J214" s="961"/>
      <c r="K214" s="51">
        <f t="shared" si="37"/>
        <v>1</v>
      </c>
      <c r="L214" s="961"/>
      <c r="M214" s="51">
        <f t="shared" si="38"/>
        <v>1</v>
      </c>
      <c r="N214" s="961"/>
      <c r="O214" s="51">
        <f t="shared" si="39"/>
        <v>1</v>
      </c>
      <c r="P214" s="961"/>
      <c r="Q214" s="51">
        <f t="shared" si="40"/>
        <v>1</v>
      </c>
      <c r="R214" s="488">
        <f t="shared" si="41"/>
        <v>0</v>
      </c>
      <c r="S214" s="797">
        <f t="shared" si="42"/>
        <v>0</v>
      </c>
    </row>
    <row r="215" spans="1:19">
      <c r="A215" s="963"/>
      <c r="B215" s="135"/>
      <c r="C215" s="51">
        <f t="shared" si="33"/>
        <v>1</v>
      </c>
      <c r="D215" s="961"/>
      <c r="E215" s="51">
        <f t="shared" si="34"/>
        <v>1</v>
      </c>
      <c r="F215" s="961"/>
      <c r="G215" s="51">
        <f t="shared" si="35"/>
        <v>1</v>
      </c>
      <c r="H215" s="961"/>
      <c r="I215" s="51">
        <f t="shared" si="36"/>
        <v>1</v>
      </c>
      <c r="J215" s="961"/>
      <c r="K215" s="51">
        <f t="shared" si="37"/>
        <v>1</v>
      </c>
      <c r="L215" s="961"/>
      <c r="M215" s="51">
        <f t="shared" si="38"/>
        <v>1</v>
      </c>
      <c r="N215" s="961"/>
      <c r="O215" s="51">
        <f t="shared" si="39"/>
        <v>1</v>
      </c>
      <c r="P215" s="961"/>
      <c r="Q215" s="51">
        <f t="shared" si="40"/>
        <v>1</v>
      </c>
      <c r="R215" s="488">
        <f t="shared" si="41"/>
        <v>0</v>
      </c>
      <c r="S215" s="797">
        <f t="shared" si="42"/>
        <v>0</v>
      </c>
    </row>
    <row r="216" spans="1:19">
      <c r="A216" s="963"/>
      <c r="B216" s="135"/>
      <c r="C216" s="51">
        <f t="shared" si="33"/>
        <v>1</v>
      </c>
      <c r="D216" s="961"/>
      <c r="E216" s="51">
        <f t="shared" si="34"/>
        <v>1</v>
      </c>
      <c r="F216" s="961"/>
      <c r="G216" s="51">
        <f t="shared" si="35"/>
        <v>1</v>
      </c>
      <c r="H216" s="961"/>
      <c r="I216" s="51">
        <f t="shared" si="36"/>
        <v>1</v>
      </c>
      <c r="J216" s="961"/>
      <c r="K216" s="51">
        <f t="shared" si="37"/>
        <v>1</v>
      </c>
      <c r="L216" s="961"/>
      <c r="M216" s="51">
        <f t="shared" si="38"/>
        <v>1</v>
      </c>
      <c r="N216" s="961"/>
      <c r="O216" s="51">
        <f t="shared" si="39"/>
        <v>1</v>
      </c>
      <c r="P216" s="961"/>
      <c r="Q216" s="51">
        <f t="shared" si="40"/>
        <v>1</v>
      </c>
      <c r="R216" s="488">
        <f t="shared" si="41"/>
        <v>0</v>
      </c>
      <c r="S216" s="797">
        <f t="shared" si="42"/>
        <v>0</v>
      </c>
    </row>
    <row r="217" spans="1:19">
      <c r="A217" s="963"/>
      <c r="B217" s="135"/>
      <c r="C217" s="51">
        <f t="shared" si="33"/>
        <v>1</v>
      </c>
      <c r="D217" s="961"/>
      <c r="E217" s="51">
        <f t="shared" si="34"/>
        <v>1</v>
      </c>
      <c r="F217" s="961"/>
      <c r="G217" s="51">
        <f t="shared" si="35"/>
        <v>1</v>
      </c>
      <c r="H217" s="961"/>
      <c r="I217" s="51">
        <f t="shared" si="36"/>
        <v>1</v>
      </c>
      <c r="J217" s="961"/>
      <c r="K217" s="51">
        <f t="shared" si="37"/>
        <v>1</v>
      </c>
      <c r="L217" s="961"/>
      <c r="M217" s="51">
        <f t="shared" si="38"/>
        <v>1</v>
      </c>
      <c r="N217" s="961"/>
      <c r="O217" s="51">
        <f t="shared" si="39"/>
        <v>1</v>
      </c>
      <c r="P217" s="961"/>
      <c r="Q217" s="51">
        <f t="shared" si="40"/>
        <v>1</v>
      </c>
      <c r="R217" s="488">
        <f t="shared" si="41"/>
        <v>0</v>
      </c>
      <c r="S217" s="797">
        <f t="shared" si="42"/>
        <v>0</v>
      </c>
    </row>
    <row r="218" spans="1:19">
      <c r="A218" s="963"/>
      <c r="B218" s="135"/>
      <c r="C218" s="51">
        <f t="shared" ref="C218:C281" si="43">IF(B218="",1,(LOOKUP(B218,$3:$3,$4:$4)-LOOKUP($B$24,$3:$3,$4:$4)+100)/100)</f>
        <v>1</v>
      </c>
      <c r="D218" s="961"/>
      <c r="E218" s="51">
        <f t="shared" ref="E218:E281" si="44">(SUMIF($5:$5,D218,$6:$6)-SUMIF($5:$5,$D$24,$6:$6)+100)/100</f>
        <v>1</v>
      </c>
      <c r="F218" s="961"/>
      <c r="G218" s="51">
        <f t="shared" ref="G218:G281" si="45">(SUMIF($7:$7,F218,$8:$8)-SUMIF($7:$7,$F$24,$8:$8)+100)/100</f>
        <v>1</v>
      </c>
      <c r="H218" s="961"/>
      <c r="I218" s="51">
        <f t="shared" ref="I218:I281" si="46">(SUMIF($9:$9,H218,$10:$10)-SUMIF($9:$9,$H$24,$10:$10)+100)/100</f>
        <v>1</v>
      </c>
      <c r="J218" s="961"/>
      <c r="K218" s="51">
        <f t="shared" ref="K218:K281" si="47">(SUMIF($11:$11,J218,$12:$12)-SUMIF($11:$11,$J$24,$12:$12)+100)/100</f>
        <v>1</v>
      </c>
      <c r="L218" s="961"/>
      <c r="M218" s="51">
        <f t="shared" ref="M218:M281" si="48">(SUMIF($13:$13,L218,$14:$14)-SUMIF($13:$13,$L$24,$14:$14)+100)/100</f>
        <v>1</v>
      </c>
      <c r="N218" s="961"/>
      <c r="O218" s="51">
        <f t="shared" ref="O218:O281" si="49">(SUMIF($15:$15,N218,$16:$16)-SUMIF($15:$15,$N$24,$16:$16)+100)/100</f>
        <v>1</v>
      </c>
      <c r="P218" s="961"/>
      <c r="Q218" s="51">
        <f t="shared" ref="Q218:Q281" si="50">(SUMIF($17:$17,P218,$18:$18)-SUMIF($17:$17,$P$24,$18:$18)+100)/100</f>
        <v>1</v>
      </c>
      <c r="R218" s="488">
        <f t="shared" ref="R218:R281" si="51">IF(B218="",0,ROUND($R$24*C218*E218*G218*I218*K218*M218*O218*Q218,0))</f>
        <v>0</v>
      </c>
      <c r="S218" s="797">
        <f t="shared" si="42"/>
        <v>0</v>
      </c>
    </row>
    <row r="219" spans="1:19">
      <c r="A219" s="963"/>
      <c r="B219" s="135"/>
      <c r="C219" s="51">
        <f t="shared" si="43"/>
        <v>1</v>
      </c>
      <c r="D219" s="961"/>
      <c r="E219" s="51">
        <f t="shared" si="44"/>
        <v>1</v>
      </c>
      <c r="F219" s="961"/>
      <c r="G219" s="51">
        <f t="shared" si="45"/>
        <v>1</v>
      </c>
      <c r="H219" s="961"/>
      <c r="I219" s="51">
        <f t="shared" si="46"/>
        <v>1</v>
      </c>
      <c r="J219" s="961"/>
      <c r="K219" s="51">
        <f t="shared" si="47"/>
        <v>1</v>
      </c>
      <c r="L219" s="961"/>
      <c r="M219" s="51">
        <f t="shared" si="48"/>
        <v>1</v>
      </c>
      <c r="N219" s="961"/>
      <c r="O219" s="51">
        <f t="shared" si="49"/>
        <v>1</v>
      </c>
      <c r="P219" s="961"/>
      <c r="Q219" s="51">
        <f t="shared" si="50"/>
        <v>1</v>
      </c>
      <c r="R219" s="488">
        <f t="shared" si="51"/>
        <v>0</v>
      </c>
      <c r="S219" s="797">
        <f t="shared" si="42"/>
        <v>0</v>
      </c>
    </row>
    <row r="220" spans="1:19">
      <c r="A220" s="963"/>
      <c r="B220" s="135"/>
      <c r="C220" s="51">
        <f t="shared" si="43"/>
        <v>1</v>
      </c>
      <c r="D220" s="961"/>
      <c r="E220" s="51">
        <f t="shared" si="44"/>
        <v>1</v>
      </c>
      <c r="F220" s="961"/>
      <c r="G220" s="51">
        <f t="shared" si="45"/>
        <v>1</v>
      </c>
      <c r="H220" s="961"/>
      <c r="I220" s="51">
        <f t="shared" si="46"/>
        <v>1</v>
      </c>
      <c r="J220" s="961"/>
      <c r="K220" s="51">
        <f t="shared" si="47"/>
        <v>1</v>
      </c>
      <c r="L220" s="961"/>
      <c r="M220" s="51">
        <f t="shared" si="48"/>
        <v>1</v>
      </c>
      <c r="N220" s="961"/>
      <c r="O220" s="51">
        <f t="shared" si="49"/>
        <v>1</v>
      </c>
      <c r="P220" s="961"/>
      <c r="Q220" s="51">
        <f t="shared" si="50"/>
        <v>1</v>
      </c>
      <c r="R220" s="488">
        <f t="shared" si="51"/>
        <v>0</v>
      </c>
      <c r="S220" s="797">
        <f t="shared" si="42"/>
        <v>0</v>
      </c>
    </row>
    <row r="221" spans="1:19">
      <c r="A221" s="963"/>
      <c r="B221" s="135"/>
      <c r="C221" s="51">
        <f t="shared" si="43"/>
        <v>1</v>
      </c>
      <c r="D221" s="961"/>
      <c r="E221" s="51">
        <f t="shared" si="44"/>
        <v>1</v>
      </c>
      <c r="F221" s="961"/>
      <c r="G221" s="51">
        <f t="shared" si="45"/>
        <v>1</v>
      </c>
      <c r="H221" s="961"/>
      <c r="I221" s="51">
        <f t="shared" si="46"/>
        <v>1</v>
      </c>
      <c r="J221" s="961"/>
      <c r="K221" s="51">
        <f t="shared" si="47"/>
        <v>1</v>
      </c>
      <c r="L221" s="961"/>
      <c r="M221" s="51">
        <f t="shared" si="48"/>
        <v>1</v>
      </c>
      <c r="N221" s="961"/>
      <c r="O221" s="51">
        <f t="shared" si="49"/>
        <v>1</v>
      </c>
      <c r="P221" s="961"/>
      <c r="Q221" s="51">
        <f t="shared" si="50"/>
        <v>1</v>
      </c>
      <c r="R221" s="488">
        <f t="shared" si="51"/>
        <v>0</v>
      </c>
      <c r="S221" s="797">
        <f t="shared" si="42"/>
        <v>0</v>
      </c>
    </row>
    <row r="222" spans="1:19">
      <c r="A222" s="963"/>
      <c r="B222" s="135"/>
      <c r="C222" s="51">
        <f t="shared" si="43"/>
        <v>1</v>
      </c>
      <c r="D222" s="961"/>
      <c r="E222" s="51">
        <f t="shared" si="44"/>
        <v>1</v>
      </c>
      <c r="F222" s="961"/>
      <c r="G222" s="51">
        <f t="shared" si="45"/>
        <v>1</v>
      </c>
      <c r="H222" s="961"/>
      <c r="I222" s="51">
        <f t="shared" si="46"/>
        <v>1</v>
      </c>
      <c r="J222" s="961"/>
      <c r="K222" s="51">
        <f t="shared" si="47"/>
        <v>1</v>
      </c>
      <c r="L222" s="961"/>
      <c r="M222" s="51">
        <f t="shared" si="48"/>
        <v>1</v>
      </c>
      <c r="N222" s="961"/>
      <c r="O222" s="51">
        <f t="shared" si="49"/>
        <v>1</v>
      </c>
      <c r="P222" s="961"/>
      <c r="Q222" s="51">
        <f t="shared" si="50"/>
        <v>1</v>
      </c>
      <c r="R222" s="488">
        <f t="shared" si="51"/>
        <v>0</v>
      </c>
      <c r="S222" s="797">
        <f t="shared" si="42"/>
        <v>0</v>
      </c>
    </row>
    <row r="223" spans="1:19">
      <c r="A223" s="963"/>
      <c r="B223" s="135"/>
      <c r="C223" s="51">
        <f t="shared" si="43"/>
        <v>1</v>
      </c>
      <c r="D223" s="961"/>
      <c r="E223" s="51">
        <f t="shared" si="44"/>
        <v>1</v>
      </c>
      <c r="F223" s="961"/>
      <c r="G223" s="51">
        <f t="shared" si="45"/>
        <v>1</v>
      </c>
      <c r="H223" s="961"/>
      <c r="I223" s="51">
        <f t="shared" si="46"/>
        <v>1</v>
      </c>
      <c r="J223" s="961"/>
      <c r="K223" s="51">
        <f t="shared" si="47"/>
        <v>1</v>
      </c>
      <c r="L223" s="961"/>
      <c r="M223" s="51">
        <f t="shared" si="48"/>
        <v>1</v>
      </c>
      <c r="N223" s="961"/>
      <c r="O223" s="51">
        <f t="shared" si="49"/>
        <v>1</v>
      </c>
      <c r="P223" s="961"/>
      <c r="Q223" s="51">
        <f t="shared" si="50"/>
        <v>1</v>
      </c>
      <c r="R223" s="488">
        <f t="shared" si="51"/>
        <v>0</v>
      </c>
      <c r="S223" s="797">
        <f t="shared" ref="S223:S286" si="52">ROUND(R223*B223/10000,0)</f>
        <v>0</v>
      </c>
    </row>
    <row r="224" spans="1:19">
      <c r="A224" s="963"/>
      <c r="B224" s="135"/>
      <c r="C224" s="51">
        <f t="shared" si="43"/>
        <v>1</v>
      </c>
      <c r="D224" s="961"/>
      <c r="E224" s="51">
        <f t="shared" si="44"/>
        <v>1</v>
      </c>
      <c r="F224" s="961"/>
      <c r="G224" s="51">
        <f t="shared" si="45"/>
        <v>1</v>
      </c>
      <c r="H224" s="961"/>
      <c r="I224" s="51">
        <f t="shared" si="46"/>
        <v>1</v>
      </c>
      <c r="J224" s="961"/>
      <c r="K224" s="51">
        <f t="shared" si="47"/>
        <v>1</v>
      </c>
      <c r="L224" s="961"/>
      <c r="M224" s="51">
        <f t="shared" si="48"/>
        <v>1</v>
      </c>
      <c r="N224" s="961"/>
      <c r="O224" s="51">
        <f t="shared" si="49"/>
        <v>1</v>
      </c>
      <c r="P224" s="961"/>
      <c r="Q224" s="51">
        <f t="shared" si="50"/>
        <v>1</v>
      </c>
      <c r="R224" s="488">
        <f t="shared" si="51"/>
        <v>0</v>
      </c>
      <c r="S224" s="797">
        <f t="shared" si="52"/>
        <v>0</v>
      </c>
    </row>
    <row r="225" spans="1:19">
      <c r="A225" s="963"/>
      <c r="B225" s="135"/>
      <c r="C225" s="51">
        <f t="shared" si="43"/>
        <v>1</v>
      </c>
      <c r="D225" s="961"/>
      <c r="E225" s="51">
        <f t="shared" si="44"/>
        <v>1</v>
      </c>
      <c r="F225" s="961"/>
      <c r="G225" s="51">
        <f t="shared" si="45"/>
        <v>1</v>
      </c>
      <c r="H225" s="961"/>
      <c r="I225" s="51">
        <f t="shared" si="46"/>
        <v>1</v>
      </c>
      <c r="J225" s="961"/>
      <c r="K225" s="51">
        <f t="shared" si="47"/>
        <v>1</v>
      </c>
      <c r="L225" s="961"/>
      <c r="M225" s="51">
        <f t="shared" si="48"/>
        <v>1</v>
      </c>
      <c r="N225" s="961"/>
      <c r="O225" s="51">
        <f t="shared" si="49"/>
        <v>1</v>
      </c>
      <c r="P225" s="961"/>
      <c r="Q225" s="51">
        <f t="shared" si="50"/>
        <v>1</v>
      </c>
      <c r="R225" s="488">
        <f t="shared" si="51"/>
        <v>0</v>
      </c>
      <c r="S225" s="797">
        <f t="shared" si="52"/>
        <v>0</v>
      </c>
    </row>
    <row r="226" spans="1:19">
      <c r="A226" s="963"/>
      <c r="B226" s="135"/>
      <c r="C226" s="51">
        <f t="shared" si="43"/>
        <v>1</v>
      </c>
      <c r="D226" s="961"/>
      <c r="E226" s="51">
        <f t="shared" si="44"/>
        <v>1</v>
      </c>
      <c r="F226" s="961"/>
      <c r="G226" s="51">
        <f t="shared" si="45"/>
        <v>1</v>
      </c>
      <c r="H226" s="961"/>
      <c r="I226" s="51">
        <f t="shared" si="46"/>
        <v>1</v>
      </c>
      <c r="J226" s="961"/>
      <c r="K226" s="51">
        <f t="shared" si="47"/>
        <v>1</v>
      </c>
      <c r="L226" s="961"/>
      <c r="M226" s="51">
        <f t="shared" si="48"/>
        <v>1</v>
      </c>
      <c r="N226" s="961"/>
      <c r="O226" s="51">
        <f t="shared" si="49"/>
        <v>1</v>
      </c>
      <c r="P226" s="961"/>
      <c r="Q226" s="51">
        <f t="shared" si="50"/>
        <v>1</v>
      </c>
      <c r="R226" s="488">
        <f t="shared" si="51"/>
        <v>0</v>
      </c>
      <c r="S226" s="797">
        <f t="shared" si="52"/>
        <v>0</v>
      </c>
    </row>
    <row r="227" spans="1:19">
      <c r="A227" s="963"/>
      <c r="B227" s="135"/>
      <c r="C227" s="51">
        <f t="shared" si="43"/>
        <v>1</v>
      </c>
      <c r="D227" s="961"/>
      <c r="E227" s="51">
        <f t="shared" si="44"/>
        <v>1</v>
      </c>
      <c r="F227" s="961"/>
      <c r="G227" s="51">
        <f t="shared" si="45"/>
        <v>1</v>
      </c>
      <c r="H227" s="961"/>
      <c r="I227" s="51">
        <f t="shared" si="46"/>
        <v>1</v>
      </c>
      <c r="J227" s="961"/>
      <c r="K227" s="51">
        <f t="shared" si="47"/>
        <v>1</v>
      </c>
      <c r="L227" s="961"/>
      <c r="M227" s="51">
        <f t="shared" si="48"/>
        <v>1</v>
      </c>
      <c r="N227" s="961"/>
      <c r="O227" s="51">
        <f t="shared" si="49"/>
        <v>1</v>
      </c>
      <c r="P227" s="961"/>
      <c r="Q227" s="51">
        <f t="shared" si="50"/>
        <v>1</v>
      </c>
      <c r="R227" s="488">
        <f t="shared" si="51"/>
        <v>0</v>
      </c>
      <c r="S227" s="797">
        <f t="shared" si="52"/>
        <v>0</v>
      </c>
    </row>
    <row r="228" spans="1:19">
      <c r="A228" s="963"/>
      <c r="B228" s="135"/>
      <c r="C228" s="51">
        <f t="shared" si="43"/>
        <v>1</v>
      </c>
      <c r="D228" s="961"/>
      <c r="E228" s="51">
        <f t="shared" si="44"/>
        <v>1</v>
      </c>
      <c r="F228" s="961"/>
      <c r="G228" s="51">
        <f t="shared" si="45"/>
        <v>1</v>
      </c>
      <c r="H228" s="961"/>
      <c r="I228" s="51">
        <f t="shared" si="46"/>
        <v>1</v>
      </c>
      <c r="J228" s="961"/>
      <c r="K228" s="51">
        <f t="shared" si="47"/>
        <v>1</v>
      </c>
      <c r="L228" s="961"/>
      <c r="M228" s="51">
        <f t="shared" si="48"/>
        <v>1</v>
      </c>
      <c r="N228" s="961"/>
      <c r="O228" s="51">
        <f t="shared" si="49"/>
        <v>1</v>
      </c>
      <c r="P228" s="961"/>
      <c r="Q228" s="51">
        <f t="shared" si="50"/>
        <v>1</v>
      </c>
      <c r="R228" s="488">
        <f t="shared" si="51"/>
        <v>0</v>
      </c>
      <c r="S228" s="797">
        <f t="shared" si="52"/>
        <v>0</v>
      </c>
    </row>
    <row r="229" spans="1:19">
      <c r="A229" s="963"/>
      <c r="B229" s="135"/>
      <c r="C229" s="51">
        <f t="shared" si="43"/>
        <v>1</v>
      </c>
      <c r="D229" s="961"/>
      <c r="E229" s="51">
        <f t="shared" si="44"/>
        <v>1</v>
      </c>
      <c r="F229" s="961"/>
      <c r="G229" s="51">
        <f t="shared" si="45"/>
        <v>1</v>
      </c>
      <c r="H229" s="961"/>
      <c r="I229" s="51">
        <f t="shared" si="46"/>
        <v>1</v>
      </c>
      <c r="J229" s="961"/>
      <c r="K229" s="51">
        <f t="shared" si="47"/>
        <v>1</v>
      </c>
      <c r="L229" s="961"/>
      <c r="M229" s="51">
        <f t="shared" si="48"/>
        <v>1</v>
      </c>
      <c r="N229" s="961"/>
      <c r="O229" s="51">
        <f t="shared" si="49"/>
        <v>1</v>
      </c>
      <c r="P229" s="961"/>
      <c r="Q229" s="51">
        <f t="shared" si="50"/>
        <v>1</v>
      </c>
      <c r="R229" s="488">
        <f t="shared" si="51"/>
        <v>0</v>
      </c>
      <c r="S229" s="797">
        <f t="shared" si="52"/>
        <v>0</v>
      </c>
    </row>
    <row r="230" spans="1:19">
      <c r="A230" s="963"/>
      <c r="B230" s="135"/>
      <c r="C230" s="51">
        <f t="shared" si="43"/>
        <v>1</v>
      </c>
      <c r="D230" s="961"/>
      <c r="E230" s="51">
        <f t="shared" si="44"/>
        <v>1</v>
      </c>
      <c r="F230" s="961"/>
      <c r="G230" s="51">
        <f t="shared" si="45"/>
        <v>1</v>
      </c>
      <c r="H230" s="961"/>
      <c r="I230" s="51">
        <f t="shared" si="46"/>
        <v>1</v>
      </c>
      <c r="J230" s="961"/>
      <c r="K230" s="51">
        <f t="shared" si="47"/>
        <v>1</v>
      </c>
      <c r="L230" s="961"/>
      <c r="M230" s="51">
        <f t="shared" si="48"/>
        <v>1</v>
      </c>
      <c r="N230" s="961"/>
      <c r="O230" s="51">
        <f t="shared" si="49"/>
        <v>1</v>
      </c>
      <c r="P230" s="961"/>
      <c r="Q230" s="51">
        <f t="shared" si="50"/>
        <v>1</v>
      </c>
      <c r="R230" s="488">
        <f t="shared" si="51"/>
        <v>0</v>
      </c>
      <c r="S230" s="797">
        <f t="shared" si="52"/>
        <v>0</v>
      </c>
    </row>
    <row r="231" spans="1:19">
      <c r="A231" s="963"/>
      <c r="B231" s="135"/>
      <c r="C231" s="51">
        <f t="shared" si="43"/>
        <v>1</v>
      </c>
      <c r="D231" s="961"/>
      <c r="E231" s="51">
        <f t="shared" si="44"/>
        <v>1</v>
      </c>
      <c r="F231" s="961"/>
      <c r="G231" s="51">
        <f t="shared" si="45"/>
        <v>1</v>
      </c>
      <c r="H231" s="961"/>
      <c r="I231" s="51">
        <f t="shared" si="46"/>
        <v>1</v>
      </c>
      <c r="J231" s="961"/>
      <c r="K231" s="51">
        <f t="shared" si="47"/>
        <v>1</v>
      </c>
      <c r="L231" s="961"/>
      <c r="M231" s="51">
        <f t="shared" si="48"/>
        <v>1</v>
      </c>
      <c r="N231" s="961"/>
      <c r="O231" s="51">
        <f t="shared" si="49"/>
        <v>1</v>
      </c>
      <c r="P231" s="961"/>
      <c r="Q231" s="51">
        <f t="shared" si="50"/>
        <v>1</v>
      </c>
      <c r="R231" s="488">
        <f t="shared" si="51"/>
        <v>0</v>
      </c>
      <c r="S231" s="797">
        <f t="shared" si="52"/>
        <v>0</v>
      </c>
    </row>
    <row r="232" spans="1:19">
      <c r="A232" s="963"/>
      <c r="B232" s="135"/>
      <c r="C232" s="51">
        <f t="shared" si="43"/>
        <v>1</v>
      </c>
      <c r="D232" s="961"/>
      <c r="E232" s="51">
        <f t="shared" si="44"/>
        <v>1</v>
      </c>
      <c r="F232" s="961"/>
      <c r="G232" s="51">
        <f t="shared" si="45"/>
        <v>1</v>
      </c>
      <c r="H232" s="961"/>
      <c r="I232" s="51">
        <f t="shared" si="46"/>
        <v>1</v>
      </c>
      <c r="J232" s="961"/>
      <c r="K232" s="51">
        <f t="shared" si="47"/>
        <v>1</v>
      </c>
      <c r="L232" s="961"/>
      <c r="M232" s="51">
        <f t="shared" si="48"/>
        <v>1</v>
      </c>
      <c r="N232" s="961"/>
      <c r="O232" s="51">
        <f t="shared" si="49"/>
        <v>1</v>
      </c>
      <c r="P232" s="961"/>
      <c r="Q232" s="51">
        <f t="shared" si="50"/>
        <v>1</v>
      </c>
      <c r="R232" s="488">
        <f t="shared" si="51"/>
        <v>0</v>
      </c>
      <c r="S232" s="797">
        <f t="shared" si="52"/>
        <v>0</v>
      </c>
    </row>
    <row r="233" spans="1:19">
      <c r="A233" s="963"/>
      <c r="B233" s="135"/>
      <c r="C233" s="51">
        <f t="shared" si="43"/>
        <v>1</v>
      </c>
      <c r="D233" s="961"/>
      <c r="E233" s="51">
        <f t="shared" si="44"/>
        <v>1</v>
      </c>
      <c r="F233" s="961"/>
      <c r="G233" s="51">
        <f t="shared" si="45"/>
        <v>1</v>
      </c>
      <c r="H233" s="961"/>
      <c r="I233" s="51">
        <f t="shared" si="46"/>
        <v>1</v>
      </c>
      <c r="J233" s="961"/>
      <c r="K233" s="51">
        <f t="shared" si="47"/>
        <v>1</v>
      </c>
      <c r="L233" s="961"/>
      <c r="M233" s="51">
        <f t="shared" si="48"/>
        <v>1</v>
      </c>
      <c r="N233" s="961"/>
      <c r="O233" s="51">
        <f t="shared" si="49"/>
        <v>1</v>
      </c>
      <c r="P233" s="961"/>
      <c r="Q233" s="51">
        <f t="shared" si="50"/>
        <v>1</v>
      </c>
      <c r="R233" s="488">
        <f t="shared" si="51"/>
        <v>0</v>
      </c>
      <c r="S233" s="797">
        <f t="shared" si="52"/>
        <v>0</v>
      </c>
    </row>
    <row r="234" spans="1:19">
      <c r="A234" s="963"/>
      <c r="B234" s="135"/>
      <c r="C234" s="51">
        <f t="shared" si="43"/>
        <v>1</v>
      </c>
      <c r="D234" s="961"/>
      <c r="E234" s="51">
        <f t="shared" si="44"/>
        <v>1</v>
      </c>
      <c r="F234" s="961"/>
      <c r="G234" s="51">
        <f t="shared" si="45"/>
        <v>1</v>
      </c>
      <c r="H234" s="961"/>
      <c r="I234" s="51">
        <f t="shared" si="46"/>
        <v>1</v>
      </c>
      <c r="J234" s="961"/>
      <c r="K234" s="51">
        <f t="shared" si="47"/>
        <v>1</v>
      </c>
      <c r="L234" s="961"/>
      <c r="M234" s="51">
        <f t="shared" si="48"/>
        <v>1</v>
      </c>
      <c r="N234" s="961"/>
      <c r="O234" s="51">
        <f t="shared" si="49"/>
        <v>1</v>
      </c>
      <c r="P234" s="961"/>
      <c r="Q234" s="51">
        <f t="shared" si="50"/>
        <v>1</v>
      </c>
      <c r="R234" s="488">
        <f t="shared" si="51"/>
        <v>0</v>
      </c>
      <c r="S234" s="797">
        <f t="shared" si="52"/>
        <v>0</v>
      </c>
    </row>
    <row r="235" spans="1:19">
      <c r="A235" s="963"/>
      <c r="B235" s="135"/>
      <c r="C235" s="51">
        <f t="shared" si="43"/>
        <v>1</v>
      </c>
      <c r="D235" s="961"/>
      <c r="E235" s="51">
        <f t="shared" si="44"/>
        <v>1</v>
      </c>
      <c r="F235" s="961"/>
      <c r="G235" s="51">
        <f t="shared" si="45"/>
        <v>1</v>
      </c>
      <c r="H235" s="961"/>
      <c r="I235" s="51">
        <f t="shared" si="46"/>
        <v>1</v>
      </c>
      <c r="J235" s="961"/>
      <c r="K235" s="51">
        <f t="shared" si="47"/>
        <v>1</v>
      </c>
      <c r="L235" s="961"/>
      <c r="M235" s="51">
        <f t="shared" si="48"/>
        <v>1</v>
      </c>
      <c r="N235" s="961"/>
      <c r="O235" s="51">
        <f t="shared" si="49"/>
        <v>1</v>
      </c>
      <c r="P235" s="961"/>
      <c r="Q235" s="51">
        <f t="shared" si="50"/>
        <v>1</v>
      </c>
      <c r="R235" s="488">
        <f t="shared" si="51"/>
        <v>0</v>
      </c>
      <c r="S235" s="797">
        <f t="shared" si="52"/>
        <v>0</v>
      </c>
    </row>
    <row r="236" spans="1:19">
      <c r="A236" s="963"/>
      <c r="B236" s="135"/>
      <c r="C236" s="51">
        <f t="shared" si="43"/>
        <v>1</v>
      </c>
      <c r="D236" s="961"/>
      <c r="E236" s="51">
        <f t="shared" si="44"/>
        <v>1</v>
      </c>
      <c r="F236" s="961"/>
      <c r="G236" s="51">
        <f t="shared" si="45"/>
        <v>1</v>
      </c>
      <c r="H236" s="961"/>
      <c r="I236" s="51">
        <f t="shared" si="46"/>
        <v>1</v>
      </c>
      <c r="J236" s="961"/>
      <c r="K236" s="51">
        <f t="shared" si="47"/>
        <v>1</v>
      </c>
      <c r="L236" s="961"/>
      <c r="M236" s="51">
        <f t="shared" si="48"/>
        <v>1</v>
      </c>
      <c r="N236" s="961"/>
      <c r="O236" s="51">
        <f t="shared" si="49"/>
        <v>1</v>
      </c>
      <c r="P236" s="961"/>
      <c r="Q236" s="51">
        <f t="shared" si="50"/>
        <v>1</v>
      </c>
      <c r="R236" s="488">
        <f t="shared" si="51"/>
        <v>0</v>
      </c>
      <c r="S236" s="797">
        <f t="shared" si="52"/>
        <v>0</v>
      </c>
    </row>
    <row r="237" spans="1:19">
      <c r="A237" s="963"/>
      <c r="B237" s="135"/>
      <c r="C237" s="51">
        <f t="shared" si="43"/>
        <v>1</v>
      </c>
      <c r="D237" s="961"/>
      <c r="E237" s="51">
        <f t="shared" si="44"/>
        <v>1</v>
      </c>
      <c r="F237" s="961"/>
      <c r="G237" s="51">
        <f t="shared" si="45"/>
        <v>1</v>
      </c>
      <c r="H237" s="961"/>
      <c r="I237" s="51">
        <f t="shared" si="46"/>
        <v>1</v>
      </c>
      <c r="J237" s="961"/>
      <c r="K237" s="51">
        <f t="shared" si="47"/>
        <v>1</v>
      </c>
      <c r="L237" s="961"/>
      <c r="M237" s="51">
        <f t="shared" si="48"/>
        <v>1</v>
      </c>
      <c r="N237" s="961"/>
      <c r="O237" s="51">
        <f t="shared" si="49"/>
        <v>1</v>
      </c>
      <c r="P237" s="961"/>
      <c r="Q237" s="51">
        <f t="shared" si="50"/>
        <v>1</v>
      </c>
      <c r="R237" s="488">
        <f t="shared" si="51"/>
        <v>0</v>
      </c>
      <c r="S237" s="797">
        <f t="shared" si="52"/>
        <v>0</v>
      </c>
    </row>
    <row r="238" spans="1:19">
      <c r="A238" s="963"/>
      <c r="B238" s="135"/>
      <c r="C238" s="51">
        <f t="shared" si="43"/>
        <v>1</v>
      </c>
      <c r="D238" s="961"/>
      <c r="E238" s="51">
        <f t="shared" si="44"/>
        <v>1</v>
      </c>
      <c r="F238" s="961"/>
      <c r="G238" s="51">
        <f t="shared" si="45"/>
        <v>1</v>
      </c>
      <c r="H238" s="961"/>
      <c r="I238" s="51">
        <f t="shared" si="46"/>
        <v>1</v>
      </c>
      <c r="J238" s="961"/>
      <c r="K238" s="51">
        <f t="shared" si="47"/>
        <v>1</v>
      </c>
      <c r="L238" s="961"/>
      <c r="M238" s="51">
        <f t="shared" si="48"/>
        <v>1</v>
      </c>
      <c r="N238" s="961"/>
      <c r="O238" s="51">
        <f t="shared" si="49"/>
        <v>1</v>
      </c>
      <c r="P238" s="961"/>
      <c r="Q238" s="51">
        <f t="shared" si="50"/>
        <v>1</v>
      </c>
      <c r="R238" s="488">
        <f t="shared" si="51"/>
        <v>0</v>
      </c>
      <c r="S238" s="797">
        <f t="shared" si="52"/>
        <v>0</v>
      </c>
    </row>
    <row r="239" spans="1:19">
      <c r="A239" s="963"/>
      <c r="B239" s="135"/>
      <c r="C239" s="51">
        <f t="shared" si="43"/>
        <v>1</v>
      </c>
      <c r="D239" s="961"/>
      <c r="E239" s="51">
        <f t="shared" si="44"/>
        <v>1</v>
      </c>
      <c r="F239" s="961"/>
      <c r="G239" s="51">
        <f t="shared" si="45"/>
        <v>1</v>
      </c>
      <c r="H239" s="961"/>
      <c r="I239" s="51">
        <f t="shared" si="46"/>
        <v>1</v>
      </c>
      <c r="J239" s="961"/>
      <c r="K239" s="51">
        <f t="shared" si="47"/>
        <v>1</v>
      </c>
      <c r="L239" s="961"/>
      <c r="M239" s="51">
        <f t="shared" si="48"/>
        <v>1</v>
      </c>
      <c r="N239" s="961"/>
      <c r="O239" s="51">
        <f t="shared" si="49"/>
        <v>1</v>
      </c>
      <c r="P239" s="961"/>
      <c r="Q239" s="51">
        <f t="shared" si="50"/>
        <v>1</v>
      </c>
      <c r="R239" s="488">
        <f t="shared" si="51"/>
        <v>0</v>
      </c>
      <c r="S239" s="797">
        <f t="shared" si="52"/>
        <v>0</v>
      </c>
    </row>
    <row r="240" spans="1:19">
      <c r="A240" s="963"/>
      <c r="B240" s="135"/>
      <c r="C240" s="51">
        <f t="shared" si="43"/>
        <v>1</v>
      </c>
      <c r="D240" s="961"/>
      <c r="E240" s="51">
        <f t="shared" si="44"/>
        <v>1</v>
      </c>
      <c r="F240" s="961"/>
      <c r="G240" s="51">
        <f t="shared" si="45"/>
        <v>1</v>
      </c>
      <c r="H240" s="961"/>
      <c r="I240" s="51">
        <f t="shared" si="46"/>
        <v>1</v>
      </c>
      <c r="J240" s="961"/>
      <c r="K240" s="51">
        <f t="shared" si="47"/>
        <v>1</v>
      </c>
      <c r="L240" s="961"/>
      <c r="M240" s="51">
        <f t="shared" si="48"/>
        <v>1</v>
      </c>
      <c r="N240" s="961"/>
      <c r="O240" s="51">
        <f t="shared" si="49"/>
        <v>1</v>
      </c>
      <c r="P240" s="961"/>
      <c r="Q240" s="51">
        <f t="shared" si="50"/>
        <v>1</v>
      </c>
      <c r="R240" s="488">
        <f t="shared" si="51"/>
        <v>0</v>
      </c>
      <c r="S240" s="797">
        <f t="shared" si="52"/>
        <v>0</v>
      </c>
    </row>
    <row r="241" spans="1:19">
      <c r="A241" s="963"/>
      <c r="B241" s="135"/>
      <c r="C241" s="51">
        <f t="shared" si="43"/>
        <v>1</v>
      </c>
      <c r="D241" s="961"/>
      <c r="E241" s="51">
        <f t="shared" si="44"/>
        <v>1</v>
      </c>
      <c r="F241" s="961"/>
      <c r="G241" s="51">
        <f t="shared" si="45"/>
        <v>1</v>
      </c>
      <c r="H241" s="961"/>
      <c r="I241" s="51">
        <f t="shared" si="46"/>
        <v>1</v>
      </c>
      <c r="J241" s="961"/>
      <c r="K241" s="51">
        <f t="shared" si="47"/>
        <v>1</v>
      </c>
      <c r="L241" s="961"/>
      <c r="M241" s="51">
        <f t="shared" si="48"/>
        <v>1</v>
      </c>
      <c r="N241" s="961"/>
      <c r="O241" s="51">
        <f t="shared" si="49"/>
        <v>1</v>
      </c>
      <c r="P241" s="961"/>
      <c r="Q241" s="51">
        <f t="shared" si="50"/>
        <v>1</v>
      </c>
      <c r="R241" s="488">
        <f t="shared" si="51"/>
        <v>0</v>
      </c>
      <c r="S241" s="797">
        <f t="shared" si="52"/>
        <v>0</v>
      </c>
    </row>
    <row r="242" spans="1:19">
      <c r="A242" s="963"/>
      <c r="B242" s="135"/>
      <c r="C242" s="51">
        <f t="shared" si="43"/>
        <v>1</v>
      </c>
      <c r="D242" s="961"/>
      <c r="E242" s="51">
        <f t="shared" si="44"/>
        <v>1</v>
      </c>
      <c r="F242" s="961"/>
      <c r="G242" s="51">
        <f t="shared" si="45"/>
        <v>1</v>
      </c>
      <c r="H242" s="961"/>
      <c r="I242" s="51">
        <f t="shared" si="46"/>
        <v>1</v>
      </c>
      <c r="J242" s="961"/>
      <c r="K242" s="51">
        <f t="shared" si="47"/>
        <v>1</v>
      </c>
      <c r="L242" s="961"/>
      <c r="M242" s="51">
        <f t="shared" si="48"/>
        <v>1</v>
      </c>
      <c r="N242" s="961"/>
      <c r="O242" s="51">
        <f t="shared" si="49"/>
        <v>1</v>
      </c>
      <c r="P242" s="961"/>
      <c r="Q242" s="51">
        <f t="shared" si="50"/>
        <v>1</v>
      </c>
      <c r="R242" s="488">
        <f t="shared" si="51"/>
        <v>0</v>
      </c>
      <c r="S242" s="797">
        <f t="shared" si="52"/>
        <v>0</v>
      </c>
    </row>
    <row r="243" spans="1:19">
      <c r="A243" s="963"/>
      <c r="B243" s="135"/>
      <c r="C243" s="51">
        <f t="shared" si="43"/>
        <v>1</v>
      </c>
      <c r="D243" s="961"/>
      <c r="E243" s="51">
        <f t="shared" si="44"/>
        <v>1</v>
      </c>
      <c r="F243" s="961"/>
      <c r="G243" s="51">
        <f t="shared" si="45"/>
        <v>1</v>
      </c>
      <c r="H243" s="961"/>
      <c r="I243" s="51">
        <f t="shared" si="46"/>
        <v>1</v>
      </c>
      <c r="J243" s="961"/>
      <c r="K243" s="51">
        <f t="shared" si="47"/>
        <v>1</v>
      </c>
      <c r="L243" s="961"/>
      <c r="M243" s="51">
        <f t="shared" si="48"/>
        <v>1</v>
      </c>
      <c r="N243" s="961"/>
      <c r="O243" s="51">
        <f t="shared" si="49"/>
        <v>1</v>
      </c>
      <c r="P243" s="961"/>
      <c r="Q243" s="51">
        <f t="shared" si="50"/>
        <v>1</v>
      </c>
      <c r="R243" s="488">
        <f t="shared" si="51"/>
        <v>0</v>
      </c>
      <c r="S243" s="797">
        <f t="shared" si="52"/>
        <v>0</v>
      </c>
    </row>
    <row r="244" spans="1:19">
      <c r="A244" s="963"/>
      <c r="B244" s="135"/>
      <c r="C244" s="51">
        <f t="shared" si="43"/>
        <v>1</v>
      </c>
      <c r="D244" s="961"/>
      <c r="E244" s="51">
        <f t="shared" si="44"/>
        <v>1</v>
      </c>
      <c r="F244" s="961"/>
      <c r="G244" s="51">
        <f t="shared" si="45"/>
        <v>1</v>
      </c>
      <c r="H244" s="961"/>
      <c r="I244" s="51">
        <f t="shared" si="46"/>
        <v>1</v>
      </c>
      <c r="J244" s="961"/>
      <c r="K244" s="51">
        <f t="shared" si="47"/>
        <v>1</v>
      </c>
      <c r="L244" s="961"/>
      <c r="M244" s="51">
        <f t="shared" si="48"/>
        <v>1</v>
      </c>
      <c r="N244" s="961"/>
      <c r="O244" s="51">
        <f t="shared" si="49"/>
        <v>1</v>
      </c>
      <c r="P244" s="961"/>
      <c r="Q244" s="51">
        <f t="shared" si="50"/>
        <v>1</v>
      </c>
      <c r="R244" s="488">
        <f t="shared" si="51"/>
        <v>0</v>
      </c>
      <c r="S244" s="797">
        <f t="shared" si="52"/>
        <v>0</v>
      </c>
    </row>
    <row r="245" spans="1:19">
      <c r="A245" s="963"/>
      <c r="B245" s="135"/>
      <c r="C245" s="51">
        <f t="shared" si="43"/>
        <v>1</v>
      </c>
      <c r="D245" s="961"/>
      <c r="E245" s="51">
        <f t="shared" si="44"/>
        <v>1</v>
      </c>
      <c r="F245" s="961"/>
      <c r="G245" s="51">
        <f t="shared" si="45"/>
        <v>1</v>
      </c>
      <c r="H245" s="961"/>
      <c r="I245" s="51">
        <f t="shared" si="46"/>
        <v>1</v>
      </c>
      <c r="J245" s="961"/>
      <c r="K245" s="51">
        <f t="shared" si="47"/>
        <v>1</v>
      </c>
      <c r="L245" s="961"/>
      <c r="M245" s="51">
        <f t="shared" si="48"/>
        <v>1</v>
      </c>
      <c r="N245" s="961"/>
      <c r="O245" s="51">
        <f t="shared" si="49"/>
        <v>1</v>
      </c>
      <c r="P245" s="961"/>
      <c r="Q245" s="51">
        <f t="shared" si="50"/>
        <v>1</v>
      </c>
      <c r="R245" s="488">
        <f t="shared" si="51"/>
        <v>0</v>
      </c>
      <c r="S245" s="797">
        <f t="shared" si="52"/>
        <v>0</v>
      </c>
    </row>
    <row r="246" spans="1:19">
      <c r="A246" s="963"/>
      <c r="B246" s="135"/>
      <c r="C246" s="51">
        <f t="shared" si="43"/>
        <v>1</v>
      </c>
      <c r="D246" s="961"/>
      <c r="E246" s="51">
        <f t="shared" si="44"/>
        <v>1</v>
      </c>
      <c r="F246" s="961"/>
      <c r="G246" s="51">
        <f t="shared" si="45"/>
        <v>1</v>
      </c>
      <c r="H246" s="961"/>
      <c r="I246" s="51">
        <f t="shared" si="46"/>
        <v>1</v>
      </c>
      <c r="J246" s="961"/>
      <c r="K246" s="51">
        <f t="shared" si="47"/>
        <v>1</v>
      </c>
      <c r="L246" s="961"/>
      <c r="M246" s="51">
        <f t="shared" si="48"/>
        <v>1</v>
      </c>
      <c r="N246" s="961"/>
      <c r="O246" s="51">
        <f t="shared" si="49"/>
        <v>1</v>
      </c>
      <c r="P246" s="961"/>
      <c r="Q246" s="51">
        <f t="shared" si="50"/>
        <v>1</v>
      </c>
      <c r="R246" s="488">
        <f t="shared" si="51"/>
        <v>0</v>
      </c>
      <c r="S246" s="797">
        <f t="shared" si="52"/>
        <v>0</v>
      </c>
    </row>
    <row r="247" spans="1:19">
      <c r="A247" s="963"/>
      <c r="B247" s="135"/>
      <c r="C247" s="51">
        <f t="shared" si="43"/>
        <v>1</v>
      </c>
      <c r="D247" s="961"/>
      <c r="E247" s="51">
        <f t="shared" si="44"/>
        <v>1</v>
      </c>
      <c r="F247" s="961"/>
      <c r="G247" s="51">
        <f t="shared" si="45"/>
        <v>1</v>
      </c>
      <c r="H247" s="961"/>
      <c r="I247" s="51">
        <f t="shared" si="46"/>
        <v>1</v>
      </c>
      <c r="J247" s="961"/>
      <c r="K247" s="51">
        <f t="shared" si="47"/>
        <v>1</v>
      </c>
      <c r="L247" s="961"/>
      <c r="M247" s="51">
        <f t="shared" si="48"/>
        <v>1</v>
      </c>
      <c r="N247" s="961"/>
      <c r="O247" s="51">
        <f t="shared" si="49"/>
        <v>1</v>
      </c>
      <c r="P247" s="961"/>
      <c r="Q247" s="51">
        <f t="shared" si="50"/>
        <v>1</v>
      </c>
      <c r="R247" s="488">
        <f t="shared" si="51"/>
        <v>0</v>
      </c>
      <c r="S247" s="797">
        <f t="shared" si="52"/>
        <v>0</v>
      </c>
    </row>
    <row r="248" spans="1:19">
      <c r="A248" s="963"/>
      <c r="B248" s="135"/>
      <c r="C248" s="51">
        <f t="shared" si="43"/>
        <v>1</v>
      </c>
      <c r="D248" s="961"/>
      <c r="E248" s="51">
        <f t="shared" si="44"/>
        <v>1</v>
      </c>
      <c r="F248" s="961"/>
      <c r="G248" s="51">
        <f t="shared" si="45"/>
        <v>1</v>
      </c>
      <c r="H248" s="961"/>
      <c r="I248" s="51">
        <f t="shared" si="46"/>
        <v>1</v>
      </c>
      <c r="J248" s="961"/>
      <c r="K248" s="51">
        <f t="shared" si="47"/>
        <v>1</v>
      </c>
      <c r="L248" s="961"/>
      <c r="M248" s="51">
        <f t="shared" si="48"/>
        <v>1</v>
      </c>
      <c r="N248" s="961"/>
      <c r="O248" s="51">
        <f t="shared" si="49"/>
        <v>1</v>
      </c>
      <c r="P248" s="961"/>
      <c r="Q248" s="51">
        <f t="shared" si="50"/>
        <v>1</v>
      </c>
      <c r="R248" s="488">
        <f t="shared" si="51"/>
        <v>0</v>
      </c>
      <c r="S248" s="797">
        <f t="shared" si="52"/>
        <v>0</v>
      </c>
    </row>
    <row r="249" spans="1:19">
      <c r="A249" s="963"/>
      <c r="B249" s="135"/>
      <c r="C249" s="51">
        <f t="shared" si="43"/>
        <v>1</v>
      </c>
      <c r="D249" s="961"/>
      <c r="E249" s="51">
        <f t="shared" si="44"/>
        <v>1</v>
      </c>
      <c r="F249" s="961"/>
      <c r="G249" s="51">
        <f t="shared" si="45"/>
        <v>1</v>
      </c>
      <c r="H249" s="961"/>
      <c r="I249" s="51">
        <f t="shared" si="46"/>
        <v>1</v>
      </c>
      <c r="J249" s="961"/>
      <c r="K249" s="51">
        <f t="shared" si="47"/>
        <v>1</v>
      </c>
      <c r="L249" s="961"/>
      <c r="M249" s="51">
        <f t="shared" si="48"/>
        <v>1</v>
      </c>
      <c r="N249" s="961"/>
      <c r="O249" s="51">
        <f t="shared" si="49"/>
        <v>1</v>
      </c>
      <c r="P249" s="961"/>
      <c r="Q249" s="51">
        <f t="shared" si="50"/>
        <v>1</v>
      </c>
      <c r="R249" s="488">
        <f t="shared" si="51"/>
        <v>0</v>
      </c>
      <c r="S249" s="797">
        <f t="shared" si="52"/>
        <v>0</v>
      </c>
    </row>
    <row r="250" spans="1:19">
      <c r="A250" s="963"/>
      <c r="B250" s="135"/>
      <c r="C250" s="51">
        <f t="shared" si="43"/>
        <v>1</v>
      </c>
      <c r="D250" s="961"/>
      <c r="E250" s="51">
        <f t="shared" si="44"/>
        <v>1</v>
      </c>
      <c r="F250" s="961"/>
      <c r="G250" s="51">
        <f t="shared" si="45"/>
        <v>1</v>
      </c>
      <c r="H250" s="961"/>
      <c r="I250" s="51">
        <f t="shared" si="46"/>
        <v>1</v>
      </c>
      <c r="J250" s="961"/>
      <c r="K250" s="51">
        <f t="shared" si="47"/>
        <v>1</v>
      </c>
      <c r="L250" s="961"/>
      <c r="M250" s="51">
        <f t="shared" si="48"/>
        <v>1</v>
      </c>
      <c r="N250" s="961"/>
      <c r="O250" s="51">
        <f t="shared" si="49"/>
        <v>1</v>
      </c>
      <c r="P250" s="961"/>
      <c r="Q250" s="51">
        <f t="shared" si="50"/>
        <v>1</v>
      </c>
      <c r="R250" s="488">
        <f t="shared" si="51"/>
        <v>0</v>
      </c>
      <c r="S250" s="797">
        <f t="shared" si="52"/>
        <v>0</v>
      </c>
    </row>
    <row r="251" spans="1:19">
      <c r="A251" s="963"/>
      <c r="B251" s="135"/>
      <c r="C251" s="51">
        <f t="shared" si="43"/>
        <v>1</v>
      </c>
      <c r="D251" s="961"/>
      <c r="E251" s="51">
        <f t="shared" si="44"/>
        <v>1</v>
      </c>
      <c r="F251" s="961"/>
      <c r="G251" s="51">
        <f t="shared" si="45"/>
        <v>1</v>
      </c>
      <c r="H251" s="961"/>
      <c r="I251" s="51">
        <f t="shared" si="46"/>
        <v>1</v>
      </c>
      <c r="J251" s="961"/>
      <c r="K251" s="51">
        <f t="shared" si="47"/>
        <v>1</v>
      </c>
      <c r="L251" s="961"/>
      <c r="M251" s="51">
        <f t="shared" si="48"/>
        <v>1</v>
      </c>
      <c r="N251" s="961"/>
      <c r="O251" s="51">
        <f t="shared" si="49"/>
        <v>1</v>
      </c>
      <c r="P251" s="961"/>
      <c r="Q251" s="51">
        <f t="shared" si="50"/>
        <v>1</v>
      </c>
      <c r="R251" s="488">
        <f t="shared" si="51"/>
        <v>0</v>
      </c>
      <c r="S251" s="797">
        <f t="shared" si="52"/>
        <v>0</v>
      </c>
    </row>
    <row r="252" spans="1:19">
      <c r="A252" s="963"/>
      <c r="B252" s="135"/>
      <c r="C252" s="51">
        <f t="shared" si="43"/>
        <v>1</v>
      </c>
      <c r="D252" s="961"/>
      <c r="E252" s="51">
        <f t="shared" si="44"/>
        <v>1</v>
      </c>
      <c r="F252" s="961"/>
      <c r="G252" s="51">
        <f t="shared" si="45"/>
        <v>1</v>
      </c>
      <c r="H252" s="961"/>
      <c r="I252" s="51">
        <f t="shared" si="46"/>
        <v>1</v>
      </c>
      <c r="J252" s="961"/>
      <c r="K252" s="51">
        <f t="shared" si="47"/>
        <v>1</v>
      </c>
      <c r="L252" s="961"/>
      <c r="M252" s="51">
        <f t="shared" si="48"/>
        <v>1</v>
      </c>
      <c r="N252" s="961"/>
      <c r="O252" s="51">
        <f t="shared" si="49"/>
        <v>1</v>
      </c>
      <c r="P252" s="961"/>
      <c r="Q252" s="51">
        <f t="shared" si="50"/>
        <v>1</v>
      </c>
      <c r="R252" s="488">
        <f t="shared" si="51"/>
        <v>0</v>
      </c>
      <c r="S252" s="797">
        <f t="shared" si="52"/>
        <v>0</v>
      </c>
    </row>
    <row r="253" spans="1:19">
      <c r="A253" s="963"/>
      <c r="B253" s="135"/>
      <c r="C253" s="51">
        <f t="shared" si="43"/>
        <v>1</v>
      </c>
      <c r="D253" s="961"/>
      <c r="E253" s="51">
        <f t="shared" si="44"/>
        <v>1</v>
      </c>
      <c r="F253" s="961"/>
      <c r="G253" s="51">
        <f t="shared" si="45"/>
        <v>1</v>
      </c>
      <c r="H253" s="961"/>
      <c r="I253" s="51">
        <f t="shared" si="46"/>
        <v>1</v>
      </c>
      <c r="J253" s="961"/>
      <c r="K253" s="51">
        <f t="shared" si="47"/>
        <v>1</v>
      </c>
      <c r="L253" s="961"/>
      <c r="M253" s="51">
        <f t="shared" si="48"/>
        <v>1</v>
      </c>
      <c r="N253" s="961"/>
      <c r="O253" s="51">
        <f t="shared" si="49"/>
        <v>1</v>
      </c>
      <c r="P253" s="961"/>
      <c r="Q253" s="51">
        <f t="shared" si="50"/>
        <v>1</v>
      </c>
      <c r="R253" s="488">
        <f t="shared" si="51"/>
        <v>0</v>
      </c>
      <c r="S253" s="797">
        <f t="shared" si="52"/>
        <v>0</v>
      </c>
    </row>
    <row r="254" spans="1:19">
      <c r="A254" s="963"/>
      <c r="B254" s="135"/>
      <c r="C254" s="51">
        <f t="shared" si="43"/>
        <v>1</v>
      </c>
      <c r="D254" s="961"/>
      <c r="E254" s="51">
        <f t="shared" si="44"/>
        <v>1</v>
      </c>
      <c r="F254" s="961"/>
      <c r="G254" s="51">
        <f t="shared" si="45"/>
        <v>1</v>
      </c>
      <c r="H254" s="961"/>
      <c r="I254" s="51">
        <f t="shared" si="46"/>
        <v>1</v>
      </c>
      <c r="J254" s="961"/>
      <c r="K254" s="51">
        <f t="shared" si="47"/>
        <v>1</v>
      </c>
      <c r="L254" s="961"/>
      <c r="M254" s="51">
        <f t="shared" si="48"/>
        <v>1</v>
      </c>
      <c r="N254" s="961"/>
      <c r="O254" s="51">
        <f t="shared" si="49"/>
        <v>1</v>
      </c>
      <c r="P254" s="961"/>
      <c r="Q254" s="51">
        <f t="shared" si="50"/>
        <v>1</v>
      </c>
      <c r="R254" s="488">
        <f t="shared" si="51"/>
        <v>0</v>
      </c>
      <c r="S254" s="797">
        <f t="shared" si="52"/>
        <v>0</v>
      </c>
    </row>
    <row r="255" spans="1:19">
      <c r="A255" s="963"/>
      <c r="B255" s="135"/>
      <c r="C255" s="51">
        <f t="shared" si="43"/>
        <v>1</v>
      </c>
      <c r="D255" s="961"/>
      <c r="E255" s="51">
        <f t="shared" si="44"/>
        <v>1</v>
      </c>
      <c r="F255" s="961"/>
      <c r="G255" s="51">
        <f t="shared" si="45"/>
        <v>1</v>
      </c>
      <c r="H255" s="961"/>
      <c r="I255" s="51">
        <f t="shared" si="46"/>
        <v>1</v>
      </c>
      <c r="J255" s="961"/>
      <c r="K255" s="51">
        <f t="shared" si="47"/>
        <v>1</v>
      </c>
      <c r="L255" s="961"/>
      <c r="M255" s="51">
        <f t="shared" si="48"/>
        <v>1</v>
      </c>
      <c r="N255" s="961"/>
      <c r="O255" s="51">
        <f t="shared" si="49"/>
        <v>1</v>
      </c>
      <c r="P255" s="961"/>
      <c r="Q255" s="51">
        <f t="shared" si="50"/>
        <v>1</v>
      </c>
      <c r="R255" s="488">
        <f t="shared" si="51"/>
        <v>0</v>
      </c>
      <c r="S255" s="797">
        <f t="shared" si="52"/>
        <v>0</v>
      </c>
    </row>
    <row r="256" spans="1:19">
      <c r="A256" s="963"/>
      <c r="B256" s="135"/>
      <c r="C256" s="51">
        <f t="shared" si="43"/>
        <v>1</v>
      </c>
      <c r="D256" s="961"/>
      <c r="E256" s="51">
        <f t="shared" si="44"/>
        <v>1</v>
      </c>
      <c r="F256" s="961"/>
      <c r="G256" s="51">
        <f t="shared" si="45"/>
        <v>1</v>
      </c>
      <c r="H256" s="961"/>
      <c r="I256" s="51">
        <f t="shared" si="46"/>
        <v>1</v>
      </c>
      <c r="J256" s="961"/>
      <c r="K256" s="51">
        <f t="shared" si="47"/>
        <v>1</v>
      </c>
      <c r="L256" s="961"/>
      <c r="M256" s="51">
        <f t="shared" si="48"/>
        <v>1</v>
      </c>
      <c r="N256" s="961"/>
      <c r="O256" s="51">
        <f t="shared" si="49"/>
        <v>1</v>
      </c>
      <c r="P256" s="961"/>
      <c r="Q256" s="51">
        <f t="shared" si="50"/>
        <v>1</v>
      </c>
      <c r="R256" s="488">
        <f t="shared" si="51"/>
        <v>0</v>
      </c>
      <c r="S256" s="797">
        <f t="shared" si="52"/>
        <v>0</v>
      </c>
    </row>
    <row r="257" spans="1:19">
      <c r="A257" s="963"/>
      <c r="B257" s="135"/>
      <c r="C257" s="51">
        <f t="shared" si="43"/>
        <v>1</v>
      </c>
      <c r="D257" s="961"/>
      <c r="E257" s="51">
        <f t="shared" si="44"/>
        <v>1</v>
      </c>
      <c r="F257" s="961"/>
      <c r="G257" s="51">
        <f t="shared" si="45"/>
        <v>1</v>
      </c>
      <c r="H257" s="961"/>
      <c r="I257" s="51">
        <f t="shared" si="46"/>
        <v>1</v>
      </c>
      <c r="J257" s="961"/>
      <c r="K257" s="51">
        <f t="shared" si="47"/>
        <v>1</v>
      </c>
      <c r="L257" s="961"/>
      <c r="M257" s="51">
        <f t="shared" si="48"/>
        <v>1</v>
      </c>
      <c r="N257" s="961"/>
      <c r="O257" s="51">
        <f t="shared" si="49"/>
        <v>1</v>
      </c>
      <c r="P257" s="961"/>
      <c r="Q257" s="51">
        <f t="shared" si="50"/>
        <v>1</v>
      </c>
      <c r="R257" s="488">
        <f t="shared" si="51"/>
        <v>0</v>
      </c>
      <c r="S257" s="797">
        <f t="shared" si="52"/>
        <v>0</v>
      </c>
    </row>
    <row r="258" spans="1:19">
      <c r="A258" s="963"/>
      <c r="B258" s="135"/>
      <c r="C258" s="51">
        <f t="shared" si="43"/>
        <v>1</v>
      </c>
      <c r="D258" s="961"/>
      <c r="E258" s="51">
        <f t="shared" si="44"/>
        <v>1</v>
      </c>
      <c r="F258" s="961"/>
      <c r="G258" s="51">
        <f t="shared" si="45"/>
        <v>1</v>
      </c>
      <c r="H258" s="961"/>
      <c r="I258" s="51">
        <f t="shared" si="46"/>
        <v>1</v>
      </c>
      <c r="J258" s="961"/>
      <c r="K258" s="51">
        <f t="shared" si="47"/>
        <v>1</v>
      </c>
      <c r="L258" s="961"/>
      <c r="M258" s="51">
        <f t="shared" si="48"/>
        <v>1</v>
      </c>
      <c r="N258" s="961"/>
      <c r="O258" s="51">
        <f t="shared" si="49"/>
        <v>1</v>
      </c>
      <c r="P258" s="961"/>
      <c r="Q258" s="51">
        <f t="shared" si="50"/>
        <v>1</v>
      </c>
      <c r="R258" s="488">
        <f t="shared" si="51"/>
        <v>0</v>
      </c>
      <c r="S258" s="797">
        <f t="shared" si="52"/>
        <v>0</v>
      </c>
    </row>
    <row r="259" spans="1:19">
      <c r="A259" s="963"/>
      <c r="B259" s="135"/>
      <c r="C259" s="51">
        <f t="shared" si="43"/>
        <v>1</v>
      </c>
      <c r="D259" s="961"/>
      <c r="E259" s="51">
        <f t="shared" si="44"/>
        <v>1</v>
      </c>
      <c r="F259" s="961"/>
      <c r="G259" s="51">
        <f t="shared" si="45"/>
        <v>1</v>
      </c>
      <c r="H259" s="961"/>
      <c r="I259" s="51">
        <f t="shared" si="46"/>
        <v>1</v>
      </c>
      <c r="J259" s="961"/>
      <c r="K259" s="51">
        <f t="shared" si="47"/>
        <v>1</v>
      </c>
      <c r="L259" s="961"/>
      <c r="M259" s="51">
        <f t="shared" si="48"/>
        <v>1</v>
      </c>
      <c r="N259" s="961"/>
      <c r="O259" s="51">
        <f t="shared" si="49"/>
        <v>1</v>
      </c>
      <c r="P259" s="961"/>
      <c r="Q259" s="51">
        <f t="shared" si="50"/>
        <v>1</v>
      </c>
      <c r="R259" s="488">
        <f t="shared" si="51"/>
        <v>0</v>
      </c>
      <c r="S259" s="797">
        <f t="shared" si="52"/>
        <v>0</v>
      </c>
    </row>
    <row r="260" spans="1:19">
      <c r="A260" s="963"/>
      <c r="B260" s="135"/>
      <c r="C260" s="51">
        <f t="shared" si="43"/>
        <v>1</v>
      </c>
      <c r="D260" s="961"/>
      <c r="E260" s="51">
        <f t="shared" si="44"/>
        <v>1</v>
      </c>
      <c r="F260" s="961"/>
      <c r="G260" s="51">
        <f t="shared" si="45"/>
        <v>1</v>
      </c>
      <c r="H260" s="961"/>
      <c r="I260" s="51">
        <f t="shared" si="46"/>
        <v>1</v>
      </c>
      <c r="J260" s="961"/>
      <c r="K260" s="51">
        <f t="shared" si="47"/>
        <v>1</v>
      </c>
      <c r="L260" s="961"/>
      <c r="M260" s="51">
        <f t="shared" si="48"/>
        <v>1</v>
      </c>
      <c r="N260" s="961"/>
      <c r="O260" s="51">
        <f t="shared" si="49"/>
        <v>1</v>
      </c>
      <c r="P260" s="961"/>
      <c r="Q260" s="51">
        <f t="shared" si="50"/>
        <v>1</v>
      </c>
      <c r="R260" s="488">
        <f t="shared" si="51"/>
        <v>0</v>
      </c>
      <c r="S260" s="797">
        <f t="shared" si="52"/>
        <v>0</v>
      </c>
    </row>
    <row r="261" spans="1:19">
      <c r="A261" s="963"/>
      <c r="B261" s="135"/>
      <c r="C261" s="51">
        <f t="shared" si="43"/>
        <v>1</v>
      </c>
      <c r="D261" s="961"/>
      <c r="E261" s="51">
        <f t="shared" si="44"/>
        <v>1</v>
      </c>
      <c r="F261" s="961"/>
      <c r="G261" s="51">
        <f t="shared" si="45"/>
        <v>1</v>
      </c>
      <c r="H261" s="961"/>
      <c r="I261" s="51">
        <f t="shared" si="46"/>
        <v>1</v>
      </c>
      <c r="J261" s="961"/>
      <c r="K261" s="51">
        <f t="shared" si="47"/>
        <v>1</v>
      </c>
      <c r="L261" s="961"/>
      <c r="M261" s="51">
        <f t="shared" si="48"/>
        <v>1</v>
      </c>
      <c r="N261" s="961"/>
      <c r="O261" s="51">
        <f t="shared" si="49"/>
        <v>1</v>
      </c>
      <c r="P261" s="961"/>
      <c r="Q261" s="51">
        <f t="shared" si="50"/>
        <v>1</v>
      </c>
      <c r="R261" s="488">
        <f t="shared" si="51"/>
        <v>0</v>
      </c>
      <c r="S261" s="797">
        <f t="shared" si="52"/>
        <v>0</v>
      </c>
    </row>
    <row r="262" spans="1:19">
      <c r="A262" s="963"/>
      <c r="B262" s="135"/>
      <c r="C262" s="51">
        <f t="shared" si="43"/>
        <v>1</v>
      </c>
      <c r="D262" s="961"/>
      <c r="E262" s="51">
        <f t="shared" si="44"/>
        <v>1</v>
      </c>
      <c r="F262" s="961"/>
      <c r="G262" s="51">
        <f t="shared" si="45"/>
        <v>1</v>
      </c>
      <c r="H262" s="961"/>
      <c r="I262" s="51">
        <f t="shared" si="46"/>
        <v>1</v>
      </c>
      <c r="J262" s="961"/>
      <c r="K262" s="51">
        <f t="shared" si="47"/>
        <v>1</v>
      </c>
      <c r="L262" s="961"/>
      <c r="M262" s="51">
        <f t="shared" si="48"/>
        <v>1</v>
      </c>
      <c r="N262" s="961"/>
      <c r="O262" s="51">
        <f t="shared" si="49"/>
        <v>1</v>
      </c>
      <c r="P262" s="961"/>
      <c r="Q262" s="51">
        <f t="shared" si="50"/>
        <v>1</v>
      </c>
      <c r="R262" s="488">
        <f t="shared" si="51"/>
        <v>0</v>
      </c>
      <c r="S262" s="797">
        <f t="shared" si="52"/>
        <v>0</v>
      </c>
    </row>
    <row r="263" spans="1:19">
      <c r="A263" s="963"/>
      <c r="B263" s="135"/>
      <c r="C263" s="51">
        <f t="shared" si="43"/>
        <v>1</v>
      </c>
      <c r="D263" s="961"/>
      <c r="E263" s="51">
        <f t="shared" si="44"/>
        <v>1</v>
      </c>
      <c r="F263" s="961"/>
      <c r="G263" s="51">
        <f t="shared" si="45"/>
        <v>1</v>
      </c>
      <c r="H263" s="961"/>
      <c r="I263" s="51">
        <f t="shared" si="46"/>
        <v>1</v>
      </c>
      <c r="J263" s="961"/>
      <c r="K263" s="51">
        <f t="shared" si="47"/>
        <v>1</v>
      </c>
      <c r="L263" s="961"/>
      <c r="M263" s="51">
        <f t="shared" si="48"/>
        <v>1</v>
      </c>
      <c r="N263" s="961"/>
      <c r="O263" s="51">
        <f t="shared" si="49"/>
        <v>1</v>
      </c>
      <c r="P263" s="961"/>
      <c r="Q263" s="51">
        <f t="shared" si="50"/>
        <v>1</v>
      </c>
      <c r="R263" s="488">
        <f t="shared" si="51"/>
        <v>0</v>
      </c>
      <c r="S263" s="797">
        <f t="shared" si="52"/>
        <v>0</v>
      </c>
    </row>
    <row r="264" spans="1:19">
      <c r="A264" s="963"/>
      <c r="B264" s="135"/>
      <c r="C264" s="51">
        <f t="shared" si="43"/>
        <v>1</v>
      </c>
      <c r="D264" s="961"/>
      <c r="E264" s="51">
        <f t="shared" si="44"/>
        <v>1</v>
      </c>
      <c r="F264" s="961"/>
      <c r="G264" s="51">
        <f t="shared" si="45"/>
        <v>1</v>
      </c>
      <c r="H264" s="961"/>
      <c r="I264" s="51">
        <f t="shared" si="46"/>
        <v>1</v>
      </c>
      <c r="J264" s="961"/>
      <c r="K264" s="51">
        <f t="shared" si="47"/>
        <v>1</v>
      </c>
      <c r="L264" s="961"/>
      <c r="M264" s="51">
        <f t="shared" si="48"/>
        <v>1</v>
      </c>
      <c r="N264" s="961"/>
      <c r="O264" s="51">
        <f t="shared" si="49"/>
        <v>1</v>
      </c>
      <c r="P264" s="961"/>
      <c r="Q264" s="51">
        <f t="shared" si="50"/>
        <v>1</v>
      </c>
      <c r="R264" s="488">
        <f t="shared" si="51"/>
        <v>0</v>
      </c>
      <c r="S264" s="797">
        <f t="shared" si="52"/>
        <v>0</v>
      </c>
    </row>
    <row r="265" spans="1:19">
      <c r="A265" s="963"/>
      <c r="B265" s="135"/>
      <c r="C265" s="51">
        <f t="shared" si="43"/>
        <v>1</v>
      </c>
      <c r="D265" s="961"/>
      <c r="E265" s="51">
        <f t="shared" si="44"/>
        <v>1</v>
      </c>
      <c r="F265" s="961"/>
      <c r="G265" s="51">
        <f t="shared" si="45"/>
        <v>1</v>
      </c>
      <c r="H265" s="961"/>
      <c r="I265" s="51">
        <f t="shared" si="46"/>
        <v>1</v>
      </c>
      <c r="J265" s="961"/>
      <c r="K265" s="51">
        <f t="shared" si="47"/>
        <v>1</v>
      </c>
      <c r="L265" s="961"/>
      <c r="M265" s="51">
        <f t="shared" si="48"/>
        <v>1</v>
      </c>
      <c r="N265" s="961"/>
      <c r="O265" s="51">
        <f t="shared" si="49"/>
        <v>1</v>
      </c>
      <c r="P265" s="961"/>
      <c r="Q265" s="51">
        <f t="shared" si="50"/>
        <v>1</v>
      </c>
      <c r="R265" s="488">
        <f t="shared" si="51"/>
        <v>0</v>
      </c>
      <c r="S265" s="797">
        <f t="shared" si="52"/>
        <v>0</v>
      </c>
    </row>
    <row r="266" spans="1:19">
      <c r="A266" s="963"/>
      <c r="B266" s="135"/>
      <c r="C266" s="51">
        <f t="shared" si="43"/>
        <v>1</v>
      </c>
      <c r="D266" s="961"/>
      <c r="E266" s="51">
        <f t="shared" si="44"/>
        <v>1</v>
      </c>
      <c r="F266" s="961"/>
      <c r="G266" s="51">
        <f t="shared" si="45"/>
        <v>1</v>
      </c>
      <c r="H266" s="961"/>
      <c r="I266" s="51">
        <f t="shared" si="46"/>
        <v>1</v>
      </c>
      <c r="J266" s="961"/>
      <c r="K266" s="51">
        <f t="shared" si="47"/>
        <v>1</v>
      </c>
      <c r="L266" s="961"/>
      <c r="M266" s="51">
        <f t="shared" si="48"/>
        <v>1</v>
      </c>
      <c r="N266" s="961"/>
      <c r="O266" s="51">
        <f t="shared" si="49"/>
        <v>1</v>
      </c>
      <c r="P266" s="961"/>
      <c r="Q266" s="51">
        <f t="shared" si="50"/>
        <v>1</v>
      </c>
      <c r="R266" s="488">
        <f t="shared" si="51"/>
        <v>0</v>
      </c>
      <c r="S266" s="797">
        <f t="shared" si="52"/>
        <v>0</v>
      </c>
    </row>
    <row r="267" spans="1:19">
      <c r="A267" s="963"/>
      <c r="B267" s="135"/>
      <c r="C267" s="51">
        <f t="shared" si="43"/>
        <v>1</v>
      </c>
      <c r="D267" s="961"/>
      <c r="E267" s="51">
        <f t="shared" si="44"/>
        <v>1</v>
      </c>
      <c r="F267" s="961"/>
      <c r="G267" s="51">
        <f t="shared" si="45"/>
        <v>1</v>
      </c>
      <c r="H267" s="961"/>
      <c r="I267" s="51">
        <f t="shared" si="46"/>
        <v>1</v>
      </c>
      <c r="J267" s="961"/>
      <c r="K267" s="51">
        <f t="shared" si="47"/>
        <v>1</v>
      </c>
      <c r="L267" s="961"/>
      <c r="M267" s="51">
        <f t="shared" si="48"/>
        <v>1</v>
      </c>
      <c r="N267" s="961"/>
      <c r="O267" s="51">
        <f t="shared" si="49"/>
        <v>1</v>
      </c>
      <c r="P267" s="961"/>
      <c r="Q267" s="51">
        <f t="shared" si="50"/>
        <v>1</v>
      </c>
      <c r="R267" s="488">
        <f t="shared" si="51"/>
        <v>0</v>
      </c>
      <c r="S267" s="797">
        <f t="shared" si="52"/>
        <v>0</v>
      </c>
    </row>
    <row r="268" spans="1:19">
      <c r="A268" s="963"/>
      <c r="B268" s="135"/>
      <c r="C268" s="51">
        <f t="shared" si="43"/>
        <v>1</v>
      </c>
      <c r="D268" s="961"/>
      <c r="E268" s="51">
        <f t="shared" si="44"/>
        <v>1</v>
      </c>
      <c r="F268" s="961"/>
      <c r="G268" s="51">
        <f t="shared" si="45"/>
        <v>1</v>
      </c>
      <c r="H268" s="961"/>
      <c r="I268" s="51">
        <f t="shared" si="46"/>
        <v>1</v>
      </c>
      <c r="J268" s="961"/>
      <c r="K268" s="51">
        <f t="shared" si="47"/>
        <v>1</v>
      </c>
      <c r="L268" s="961"/>
      <c r="M268" s="51">
        <f t="shared" si="48"/>
        <v>1</v>
      </c>
      <c r="N268" s="961"/>
      <c r="O268" s="51">
        <f t="shared" si="49"/>
        <v>1</v>
      </c>
      <c r="P268" s="961"/>
      <c r="Q268" s="51">
        <f t="shared" si="50"/>
        <v>1</v>
      </c>
      <c r="R268" s="488">
        <f t="shared" si="51"/>
        <v>0</v>
      </c>
      <c r="S268" s="797">
        <f t="shared" si="52"/>
        <v>0</v>
      </c>
    </row>
    <row r="269" spans="1:19">
      <c r="A269" s="963"/>
      <c r="B269" s="135"/>
      <c r="C269" s="51">
        <f t="shared" si="43"/>
        <v>1</v>
      </c>
      <c r="D269" s="961"/>
      <c r="E269" s="51">
        <f t="shared" si="44"/>
        <v>1</v>
      </c>
      <c r="F269" s="961"/>
      <c r="G269" s="51">
        <f t="shared" si="45"/>
        <v>1</v>
      </c>
      <c r="H269" s="961"/>
      <c r="I269" s="51">
        <f t="shared" si="46"/>
        <v>1</v>
      </c>
      <c r="J269" s="961"/>
      <c r="K269" s="51">
        <f t="shared" si="47"/>
        <v>1</v>
      </c>
      <c r="L269" s="961"/>
      <c r="M269" s="51">
        <f t="shared" si="48"/>
        <v>1</v>
      </c>
      <c r="N269" s="961"/>
      <c r="O269" s="51">
        <f t="shared" si="49"/>
        <v>1</v>
      </c>
      <c r="P269" s="961"/>
      <c r="Q269" s="51">
        <f t="shared" si="50"/>
        <v>1</v>
      </c>
      <c r="R269" s="488">
        <f t="shared" si="51"/>
        <v>0</v>
      </c>
      <c r="S269" s="797">
        <f t="shared" si="52"/>
        <v>0</v>
      </c>
    </row>
    <row r="270" spans="1:19">
      <c r="A270" s="963"/>
      <c r="B270" s="135"/>
      <c r="C270" s="51">
        <f t="shared" si="43"/>
        <v>1</v>
      </c>
      <c r="D270" s="961"/>
      <c r="E270" s="51">
        <f t="shared" si="44"/>
        <v>1</v>
      </c>
      <c r="F270" s="961"/>
      <c r="G270" s="51">
        <f t="shared" si="45"/>
        <v>1</v>
      </c>
      <c r="H270" s="961"/>
      <c r="I270" s="51">
        <f t="shared" si="46"/>
        <v>1</v>
      </c>
      <c r="J270" s="961"/>
      <c r="K270" s="51">
        <f t="shared" si="47"/>
        <v>1</v>
      </c>
      <c r="L270" s="961"/>
      <c r="M270" s="51">
        <f t="shared" si="48"/>
        <v>1</v>
      </c>
      <c r="N270" s="961"/>
      <c r="O270" s="51">
        <f t="shared" si="49"/>
        <v>1</v>
      </c>
      <c r="P270" s="961"/>
      <c r="Q270" s="51">
        <f t="shared" si="50"/>
        <v>1</v>
      </c>
      <c r="R270" s="488">
        <f t="shared" si="51"/>
        <v>0</v>
      </c>
      <c r="S270" s="797">
        <f t="shared" si="52"/>
        <v>0</v>
      </c>
    </row>
    <row r="271" spans="1:19">
      <c r="A271" s="963"/>
      <c r="B271" s="135"/>
      <c r="C271" s="51">
        <f t="shared" si="43"/>
        <v>1</v>
      </c>
      <c r="D271" s="961"/>
      <c r="E271" s="51">
        <f t="shared" si="44"/>
        <v>1</v>
      </c>
      <c r="F271" s="961"/>
      <c r="G271" s="51">
        <f t="shared" si="45"/>
        <v>1</v>
      </c>
      <c r="H271" s="961"/>
      <c r="I271" s="51">
        <f t="shared" si="46"/>
        <v>1</v>
      </c>
      <c r="J271" s="961"/>
      <c r="K271" s="51">
        <f t="shared" si="47"/>
        <v>1</v>
      </c>
      <c r="L271" s="961"/>
      <c r="M271" s="51">
        <f t="shared" si="48"/>
        <v>1</v>
      </c>
      <c r="N271" s="961"/>
      <c r="O271" s="51">
        <f t="shared" si="49"/>
        <v>1</v>
      </c>
      <c r="P271" s="961"/>
      <c r="Q271" s="51">
        <f t="shared" si="50"/>
        <v>1</v>
      </c>
      <c r="R271" s="488">
        <f t="shared" si="51"/>
        <v>0</v>
      </c>
      <c r="S271" s="797">
        <f t="shared" si="52"/>
        <v>0</v>
      </c>
    </row>
    <row r="272" spans="1:19">
      <c r="A272" s="963"/>
      <c r="B272" s="135"/>
      <c r="C272" s="51">
        <f t="shared" si="43"/>
        <v>1</v>
      </c>
      <c r="D272" s="961"/>
      <c r="E272" s="51">
        <f t="shared" si="44"/>
        <v>1</v>
      </c>
      <c r="F272" s="961"/>
      <c r="G272" s="51">
        <f t="shared" si="45"/>
        <v>1</v>
      </c>
      <c r="H272" s="961"/>
      <c r="I272" s="51">
        <f t="shared" si="46"/>
        <v>1</v>
      </c>
      <c r="J272" s="961"/>
      <c r="K272" s="51">
        <f t="shared" si="47"/>
        <v>1</v>
      </c>
      <c r="L272" s="961"/>
      <c r="M272" s="51">
        <f t="shared" si="48"/>
        <v>1</v>
      </c>
      <c r="N272" s="961"/>
      <c r="O272" s="51">
        <f t="shared" si="49"/>
        <v>1</v>
      </c>
      <c r="P272" s="961"/>
      <c r="Q272" s="51">
        <f t="shared" si="50"/>
        <v>1</v>
      </c>
      <c r="R272" s="488">
        <f t="shared" si="51"/>
        <v>0</v>
      </c>
      <c r="S272" s="797">
        <f t="shared" si="52"/>
        <v>0</v>
      </c>
    </row>
    <row r="273" spans="1:19">
      <c r="A273" s="963"/>
      <c r="B273" s="135"/>
      <c r="C273" s="51">
        <f t="shared" si="43"/>
        <v>1</v>
      </c>
      <c r="D273" s="961"/>
      <c r="E273" s="51">
        <f t="shared" si="44"/>
        <v>1</v>
      </c>
      <c r="F273" s="961"/>
      <c r="G273" s="51">
        <f t="shared" si="45"/>
        <v>1</v>
      </c>
      <c r="H273" s="961"/>
      <c r="I273" s="51">
        <f t="shared" si="46"/>
        <v>1</v>
      </c>
      <c r="J273" s="961"/>
      <c r="K273" s="51">
        <f t="shared" si="47"/>
        <v>1</v>
      </c>
      <c r="L273" s="961"/>
      <c r="M273" s="51">
        <f t="shared" si="48"/>
        <v>1</v>
      </c>
      <c r="N273" s="961"/>
      <c r="O273" s="51">
        <f t="shared" si="49"/>
        <v>1</v>
      </c>
      <c r="P273" s="961"/>
      <c r="Q273" s="51">
        <f t="shared" si="50"/>
        <v>1</v>
      </c>
      <c r="R273" s="488">
        <f t="shared" si="51"/>
        <v>0</v>
      </c>
      <c r="S273" s="797">
        <f t="shared" si="52"/>
        <v>0</v>
      </c>
    </row>
    <row r="274" spans="1:19">
      <c r="A274" s="963"/>
      <c r="B274" s="135"/>
      <c r="C274" s="51">
        <f t="shared" si="43"/>
        <v>1</v>
      </c>
      <c r="D274" s="961"/>
      <c r="E274" s="51">
        <f t="shared" si="44"/>
        <v>1</v>
      </c>
      <c r="F274" s="961"/>
      <c r="G274" s="51">
        <f t="shared" si="45"/>
        <v>1</v>
      </c>
      <c r="H274" s="961"/>
      <c r="I274" s="51">
        <f t="shared" si="46"/>
        <v>1</v>
      </c>
      <c r="J274" s="961"/>
      <c r="K274" s="51">
        <f t="shared" si="47"/>
        <v>1</v>
      </c>
      <c r="L274" s="961"/>
      <c r="M274" s="51">
        <f t="shared" si="48"/>
        <v>1</v>
      </c>
      <c r="N274" s="961"/>
      <c r="O274" s="51">
        <f t="shared" si="49"/>
        <v>1</v>
      </c>
      <c r="P274" s="961"/>
      <c r="Q274" s="51">
        <f t="shared" si="50"/>
        <v>1</v>
      </c>
      <c r="R274" s="488">
        <f t="shared" si="51"/>
        <v>0</v>
      </c>
      <c r="S274" s="797">
        <f t="shared" si="52"/>
        <v>0</v>
      </c>
    </row>
    <row r="275" spans="1:19">
      <c r="A275" s="963"/>
      <c r="B275" s="135"/>
      <c r="C275" s="51">
        <f t="shared" si="43"/>
        <v>1</v>
      </c>
      <c r="D275" s="961"/>
      <c r="E275" s="51">
        <f t="shared" si="44"/>
        <v>1</v>
      </c>
      <c r="F275" s="961"/>
      <c r="G275" s="51">
        <f t="shared" si="45"/>
        <v>1</v>
      </c>
      <c r="H275" s="961"/>
      <c r="I275" s="51">
        <f t="shared" si="46"/>
        <v>1</v>
      </c>
      <c r="J275" s="961"/>
      <c r="K275" s="51">
        <f t="shared" si="47"/>
        <v>1</v>
      </c>
      <c r="L275" s="961"/>
      <c r="M275" s="51">
        <f t="shared" si="48"/>
        <v>1</v>
      </c>
      <c r="N275" s="961"/>
      <c r="O275" s="51">
        <f t="shared" si="49"/>
        <v>1</v>
      </c>
      <c r="P275" s="961"/>
      <c r="Q275" s="51">
        <f t="shared" si="50"/>
        <v>1</v>
      </c>
      <c r="R275" s="488">
        <f t="shared" si="51"/>
        <v>0</v>
      </c>
      <c r="S275" s="797">
        <f t="shared" si="52"/>
        <v>0</v>
      </c>
    </row>
    <row r="276" spans="1:19">
      <c r="A276" s="963"/>
      <c r="B276" s="135"/>
      <c r="C276" s="51">
        <f t="shared" si="43"/>
        <v>1</v>
      </c>
      <c r="D276" s="961"/>
      <c r="E276" s="51">
        <f t="shared" si="44"/>
        <v>1</v>
      </c>
      <c r="F276" s="961"/>
      <c r="G276" s="51">
        <f t="shared" si="45"/>
        <v>1</v>
      </c>
      <c r="H276" s="961"/>
      <c r="I276" s="51">
        <f t="shared" si="46"/>
        <v>1</v>
      </c>
      <c r="J276" s="961"/>
      <c r="K276" s="51">
        <f t="shared" si="47"/>
        <v>1</v>
      </c>
      <c r="L276" s="961"/>
      <c r="M276" s="51">
        <f t="shared" si="48"/>
        <v>1</v>
      </c>
      <c r="N276" s="961"/>
      <c r="O276" s="51">
        <f t="shared" si="49"/>
        <v>1</v>
      </c>
      <c r="P276" s="961"/>
      <c r="Q276" s="51">
        <f t="shared" si="50"/>
        <v>1</v>
      </c>
      <c r="R276" s="488">
        <f t="shared" si="51"/>
        <v>0</v>
      </c>
      <c r="S276" s="797">
        <f t="shared" si="52"/>
        <v>0</v>
      </c>
    </row>
    <row r="277" spans="1:19">
      <c r="A277" s="963"/>
      <c r="B277" s="135"/>
      <c r="C277" s="51">
        <f t="shared" si="43"/>
        <v>1</v>
      </c>
      <c r="D277" s="961"/>
      <c r="E277" s="51">
        <f t="shared" si="44"/>
        <v>1</v>
      </c>
      <c r="F277" s="961"/>
      <c r="G277" s="51">
        <f t="shared" si="45"/>
        <v>1</v>
      </c>
      <c r="H277" s="961"/>
      <c r="I277" s="51">
        <f t="shared" si="46"/>
        <v>1</v>
      </c>
      <c r="J277" s="961"/>
      <c r="K277" s="51">
        <f t="shared" si="47"/>
        <v>1</v>
      </c>
      <c r="L277" s="961"/>
      <c r="M277" s="51">
        <f t="shared" si="48"/>
        <v>1</v>
      </c>
      <c r="N277" s="961"/>
      <c r="O277" s="51">
        <f t="shared" si="49"/>
        <v>1</v>
      </c>
      <c r="P277" s="961"/>
      <c r="Q277" s="51">
        <f t="shared" si="50"/>
        <v>1</v>
      </c>
      <c r="R277" s="488">
        <f t="shared" si="51"/>
        <v>0</v>
      </c>
      <c r="S277" s="797">
        <f t="shared" si="52"/>
        <v>0</v>
      </c>
    </row>
    <row r="278" spans="1:19">
      <c r="A278" s="963"/>
      <c r="B278" s="135"/>
      <c r="C278" s="51">
        <f t="shared" si="43"/>
        <v>1</v>
      </c>
      <c r="D278" s="961"/>
      <c r="E278" s="51">
        <f t="shared" si="44"/>
        <v>1</v>
      </c>
      <c r="F278" s="961"/>
      <c r="G278" s="51">
        <f t="shared" si="45"/>
        <v>1</v>
      </c>
      <c r="H278" s="961"/>
      <c r="I278" s="51">
        <f t="shared" si="46"/>
        <v>1</v>
      </c>
      <c r="J278" s="961"/>
      <c r="K278" s="51">
        <f t="shared" si="47"/>
        <v>1</v>
      </c>
      <c r="L278" s="961"/>
      <c r="M278" s="51">
        <f t="shared" si="48"/>
        <v>1</v>
      </c>
      <c r="N278" s="961"/>
      <c r="O278" s="51">
        <f t="shared" si="49"/>
        <v>1</v>
      </c>
      <c r="P278" s="961"/>
      <c r="Q278" s="51">
        <f t="shared" si="50"/>
        <v>1</v>
      </c>
      <c r="R278" s="488">
        <f t="shared" si="51"/>
        <v>0</v>
      </c>
      <c r="S278" s="797">
        <f t="shared" si="52"/>
        <v>0</v>
      </c>
    </row>
    <row r="279" spans="1:19">
      <c r="A279" s="963"/>
      <c r="B279" s="135"/>
      <c r="C279" s="51">
        <f t="shared" si="43"/>
        <v>1</v>
      </c>
      <c r="D279" s="961"/>
      <c r="E279" s="51">
        <f t="shared" si="44"/>
        <v>1</v>
      </c>
      <c r="F279" s="961"/>
      <c r="G279" s="51">
        <f t="shared" si="45"/>
        <v>1</v>
      </c>
      <c r="H279" s="961"/>
      <c r="I279" s="51">
        <f t="shared" si="46"/>
        <v>1</v>
      </c>
      <c r="J279" s="961"/>
      <c r="K279" s="51">
        <f t="shared" si="47"/>
        <v>1</v>
      </c>
      <c r="L279" s="961"/>
      <c r="M279" s="51">
        <f t="shared" si="48"/>
        <v>1</v>
      </c>
      <c r="N279" s="961"/>
      <c r="O279" s="51">
        <f t="shared" si="49"/>
        <v>1</v>
      </c>
      <c r="P279" s="961"/>
      <c r="Q279" s="51">
        <f t="shared" si="50"/>
        <v>1</v>
      </c>
      <c r="R279" s="488">
        <f t="shared" si="51"/>
        <v>0</v>
      </c>
      <c r="S279" s="797">
        <f t="shared" si="52"/>
        <v>0</v>
      </c>
    </row>
    <row r="280" spans="1:19">
      <c r="A280" s="963"/>
      <c r="B280" s="135"/>
      <c r="C280" s="51">
        <f t="shared" si="43"/>
        <v>1</v>
      </c>
      <c r="D280" s="961"/>
      <c r="E280" s="51">
        <f t="shared" si="44"/>
        <v>1</v>
      </c>
      <c r="F280" s="961"/>
      <c r="G280" s="51">
        <f t="shared" si="45"/>
        <v>1</v>
      </c>
      <c r="H280" s="961"/>
      <c r="I280" s="51">
        <f t="shared" si="46"/>
        <v>1</v>
      </c>
      <c r="J280" s="961"/>
      <c r="K280" s="51">
        <f t="shared" si="47"/>
        <v>1</v>
      </c>
      <c r="L280" s="961"/>
      <c r="M280" s="51">
        <f t="shared" si="48"/>
        <v>1</v>
      </c>
      <c r="N280" s="961"/>
      <c r="O280" s="51">
        <f t="shared" si="49"/>
        <v>1</v>
      </c>
      <c r="P280" s="961"/>
      <c r="Q280" s="51">
        <f t="shared" si="50"/>
        <v>1</v>
      </c>
      <c r="R280" s="488">
        <f t="shared" si="51"/>
        <v>0</v>
      </c>
      <c r="S280" s="797">
        <f t="shared" si="52"/>
        <v>0</v>
      </c>
    </row>
    <row r="281" spans="1:19">
      <c r="A281" s="963"/>
      <c r="B281" s="135"/>
      <c r="C281" s="51">
        <f t="shared" si="43"/>
        <v>1</v>
      </c>
      <c r="D281" s="961"/>
      <c r="E281" s="51">
        <f t="shared" si="44"/>
        <v>1</v>
      </c>
      <c r="F281" s="961"/>
      <c r="G281" s="51">
        <f t="shared" si="45"/>
        <v>1</v>
      </c>
      <c r="H281" s="961"/>
      <c r="I281" s="51">
        <f t="shared" si="46"/>
        <v>1</v>
      </c>
      <c r="J281" s="961"/>
      <c r="K281" s="51">
        <f t="shared" si="47"/>
        <v>1</v>
      </c>
      <c r="L281" s="961"/>
      <c r="M281" s="51">
        <f t="shared" si="48"/>
        <v>1</v>
      </c>
      <c r="N281" s="961"/>
      <c r="O281" s="51">
        <f t="shared" si="49"/>
        <v>1</v>
      </c>
      <c r="P281" s="961"/>
      <c r="Q281" s="51">
        <f t="shared" si="50"/>
        <v>1</v>
      </c>
      <c r="R281" s="488">
        <f t="shared" si="51"/>
        <v>0</v>
      </c>
      <c r="S281" s="797">
        <f t="shared" si="52"/>
        <v>0</v>
      </c>
    </row>
    <row r="282" spans="1:19">
      <c r="A282" s="963"/>
      <c r="B282" s="135"/>
      <c r="C282" s="51">
        <f t="shared" ref="C282:C345" si="53">IF(B282="",1,(LOOKUP(B282,$3:$3,$4:$4)-LOOKUP($B$24,$3:$3,$4:$4)+100)/100)</f>
        <v>1</v>
      </c>
      <c r="D282" s="961"/>
      <c r="E282" s="51">
        <f t="shared" ref="E282:E345" si="54">(SUMIF($5:$5,D282,$6:$6)-SUMIF($5:$5,$D$24,$6:$6)+100)/100</f>
        <v>1</v>
      </c>
      <c r="F282" s="961"/>
      <c r="G282" s="51">
        <f t="shared" ref="G282:G345" si="55">(SUMIF($7:$7,F282,$8:$8)-SUMIF($7:$7,$F$24,$8:$8)+100)/100</f>
        <v>1</v>
      </c>
      <c r="H282" s="961"/>
      <c r="I282" s="51">
        <f t="shared" ref="I282:I345" si="56">(SUMIF($9:$9,H282,$10:$10)-SUMIF($9:$9,$H$24,$10:$10)+100)/100</f>
        <v>1</v>
      </c>
      <c r="J282" s="961"/>
      <c r="K282" s="51">
        <f t="shared" ref="K282:K345" si="57">(SUMIF($11:$11,J282,$12:$12)-SUMIF($11:$11,$J$24,$12:$12)+100)/100</f>
        <v>1</v>
      </c>
      <c r="L282" s="961"/>
      <c r="M282" s="51">
        <f t="shared" ref="M282:M345" si="58">(SUMIF($13:$13,L282,$14:$14)-SUMIF($13:$13,$L$24,$14:$14)+100)/100</f>
        <v>1</v>
      </c>
      <c r="N282" s="961"/>
      <c r="O282" s="51">
        <f t="shared" ref="O282:O345" si="59">(SUMIF($15:$15,N282,$16:$16)-SUMIF($15:$15,$N$24,$16:$16)+100)/100</f>
        <v>1</v>
      </c>
      <c r="P282" s="961"/>
      <c r="Q282" s="51">
        <f t="shared" ref="Q282:Q345" si="60">(SUMIF($17:$17,P282,$18:$18)-SUMIF($17:$17,$P$24,$18:$18)+100)/100</f>
        <v>1</v>
      </c>
      <c r="R282" s="488">
        <f t="shared" ref="R282:R345" si="61">IF(B282="",0,ROUND($R$24*C282*E282*G282*I282*K282*M282*O282*Q282,0))</f>
        <v>0</v>
      </c>
      <c r="S282" s="797">
        <f t="shared" si="52"/>
        <v>0</v>
      </c>
    </row>
    <row r="283" spans="1:19">
      <c r="A283" s="963"/>
      <c r="B283" s="135"/>
      <c r="C283" s="51">
        <f t="shared" si="53"/>
        <v>1</v>
      </c>
      <c r="D283" s="961"/>
      <c r="E283" s="51">
        <f t="shared" si="54"/>
        <v>1</v>
      </c>
      <c r="F283" s="961"/>
      <c r="G283" s="51">
        <f t="shared" si="55"/>
        <v>1</v>
      </c>
      <c r="H283" s="961"/>
      <c r="I283" s="51">
        <f t="shared" si="56"/>
        <v>1</v>
      </c>
      <c r="J283" s="961"/>
      <c r="K283" s="51">
        <f t="shared" si="57"/>
        <v>1</v>
      </c>
      <c r="L283" s="961"/>
      <c r="M283" s="51">
        <f t="shared" si="58"/>
        <v>1</v>
      </c>
      <c r="N283" s="961"/>
      <c r="O283" s="51">
        <f t="shared" si="59"/>
        <v>1</v>
      </c>
      <c r="P283" s="961"/>
      <c r="Q283" s="51">
        <f t="shared" si="60"/>
        <v>1</v>
      </c>
      <c r="R283" s="488">
        <f t="shared" si="61"/>
        <v>0</v>
      </c>
      <c r="S283" s="797">
        <f t="shared" si="52"/>
        <v>0</v>
      </c>
    </row>
    <row r="284" spans="1:19">
      <c r="A284" s="963"/>
      <c r="B284" s="135"/>
      <c r="C284" s="51">
        <f t="shared" si="53"/>
        <v>1</v>
      </c>
      <c r="D284" s="961"/>
      <c r="E284" s="51">
        <f t="shared" si="54"/>
        <v>1</v>
      </c>
      <c r="F284" s="961"/>
      <c r="G284" s="51">
        <f t="shared" si="55"/>
        <v>1</v>
      </c>
      <c r="H284" s="961"/>
      <c r="I284" s="51">
        <f t="shared" si="56"/>
        <v>1</v>
      </c>
      <c r="J284" s="961"/>
      <c r="K284" s="51">
        <f t="shared" si="57"/>
        <v>1</v>
      </c>
      <c r="L284" s="961"/>
      <c r="M284" s="51">
        <f t="shared" si="58"/>
        <v>1</v>
      </c>
      <c r="N284" s="961"/>
      <c r="O284" s="51">
        <f t="shared" si="59"/>
        <v>1</v>
      </c>
      <c r="P284" s="961"/>
      <c r="Q284" s="51">
        <f t="shared" si="60"/>
        <v>1</v>
      </c>
      <c r="R284" s="488">
        <f t="shared" si="61"/>
        <v>0</v>
      </c>
      <c r="S284" s="797">
        <f t="shared" si="52"/>
        <v>0</v>
      </c>
    </row>
    <row r="285" spans="1:19">
      <c r="A285" s="963"/>
      <c r="B285" s="135"/>
      <c r="C285" s="51">
        <f t="shared" si="53"/>
        <v>1</v>
      </c>
      <c r="D285" s="961"/>
      <c r="E285" s="51">
        <f t="shared" si="54"/>
        <v>1</v>
      </c>
      <c r="F285" s="961"/>
      <c r="G285" s="51">
        <f t="shared" si="55"/>
        <v>1</v>
      </c>
      <c r="H285" s="961"/>
      <c r="I285" s="51">
        <f t="shared" si="56"/>
        <v>1</v>
      </c>
      <c r="J285" s="961"/>
      <c r="K285" s="51">
        <f t="shared" si="57"/>
        <v>1</v>
      </c>
      <c r="L285" s="961"/>
      <c r="M285" s="51">
        <f t="shared" si="58"/>
        <v>1</v>
      </c>
      <c r="N285" s="961"/>
      <c r="O285" s="51">
        <f t="shared" si="59"/>
        <v>1</v>
      </c>
      <c r="P285" s="961"/>
      <c r="Q285" s="51">
        <f t="shared" si="60"/>
        <v>1</v>
      </c>
      <c r="R285" s="488">
        <f t="shared" si="61"/>
        <v>0</v>
      </c>
      <c r="S285" s="797">
        <f t="shared" si="52"/>
        <v>0</v>
      </c>
    </row>
    <row r="286" spans="1:19">
      <c r="A286" s="963"/>
      <c r="B286" s="135"/>
      <c r="C286" s="51">
        <f t="shared" si="53"/>
        <v>1</v>
      </c>
      <c r="D286" s="961"/>
      <c r="E286" s="51">
        <f t="shared" si="54"/>
        <v>1</v>
      </c>
      <c r="F286" s="961"/>
      <c r="G286" s="51">
        <f t="shared" si="55"/>
        <v>1</v>
      </c>
      <c r="H286" s="961"/>
      <c r="I286" s="51">
        <f t="shared" si="56"/>
        <v>1</v>
      </c>
      <c r="J286" s="961"/>
      <c r="K286" s="51">
        <f t="shared" si="57"/>
        <v>1</v>
      </c>
      <c r="L286" s="961"/>
      <c r="M286" s="51">
        <f t="shared" si="58"/>
        <v>1</v>
      </c>
      <c r="N286" s="961"/>
      <c r="O286" s="51">
        <f t="shared" si="59"/>
        <v>1</v>
      </c>
      <c r="P286" s="961"/>
      <c r="Q286" s="51">
        <f t="shared" si="60"/>
        <v>1</v>
      </c>
      <c r="R286" s="488">
        <f t="shared" si="61"/>
        <v>0</v>
      </c>
      <c r="S286" s="797">
        <f t="shared" si="52"/>
        <v>0</v>
      </c>
    </row>
    <row r="287" spans="1:19">
      <c r="A287" s="963"/>
      <c r="B287" s="135"/>
      <c r="C287" s="51">
        <f t="shared" si="53"/>
        <v>1</v>
      </c>
      <c r="D287" s="961"/>
      <c r="E287" s="51">
        <f t="shared" si="54"/>
        <v>1</v>
      </c>
      <c r="F287" s="961"/>
      <c r="G287" s="51">
        <f t="shared" si="55"/>
        <v>1</v>
      </c>
      <c r="H287" s="961"/>
      <c r="I287" s="51">
        <f t="shared" si="56"/>
        <v>1</v>
      </c>
      <c r="J287" s="961"/>
      <c r="K287" s="51">
        <f t="shared" si="57"/>
        <v>1</v>
      </c>
      <c r="L287" s="961"/>
      <c r="M287" s="51">
        <f t="shared" si="58"/>
        <v>1</v>
      </c>
      <c r="N287" s="961"/>
      <c r="O287" s="51">
        <f t="shared" si="59"/>
        <v>1</v>
      </c>
      <c r="P287" s="961"/>
      <c r="Q287" s="51">
        <f t="shared" si="60"/>
        <v>1</v>
      </c>
      <c r="R287" s="488">
        <f t="shared" si="61"/>
        <v>0</v>
      </c>
      <c r="S287" s="797">
        <f t="shared" ref="S287:S320" si="62">ROUND(R287*B287/10000,0)</f>
        <v>0</v>
      </c>
    </row>
    <row r="288" spans="1:19">
      <c r="A288" s="963"/>
      <c r="B288" s="135"/>
      <c r="C288" s="51">
        <f t="shared" si="53"/>
        <v>1</v>
      </c>
      <c r="D288" s="961"/>
      <c r="E288" s="51">
        <f t="shared" si="54"/>
        <v>1</v>
      </c>
      <c r="F288" s="961"/>
      <c r="G288" s="51">
        <f t="shared" si="55"/>
        <v>1</v>
      </c>
      <c r="H288" s="961"/>
      <c r="I288" s="51">
        <f t="shared" si="56"/>
        <v>1</v>
      </c>
      <c r="J288" s="961"/>
      <c r="K288" s="51">
        <f t="shared" si="57"/>
        <v>1</v>
      </c>
      <c r="L288" s="961"/>
      <c r="M288" s="51">
        <f t="shared" si="58"/>
        <v>1</v>
      </c>
      <c r="N288" s="961"/>
      <c r="O288" s="51">
        <f t="shared" si="59"/>
        <v>1</v>
      </c>
      <c r="P288" s="961"/>
      <c r="Q288" s="51">
        <f t="shared" si="60"/>
        <v>1</v>
      </c>
      <c r="R288" s="488">
        <f t="shared" si="61"/>
        <v>0</v>
      </c>
      <c r="S288" s="797">
        <f t="shared" si="62"/>
        <v>0</v>
      </c>
    </row>
    <row r="289" spans="1:19">
      <c r="A289" s="963"/>
      <c r="B289" s="135"/>
      <c r="C289" s="51">
        <f t="shared" si="53"/>
        <v>1</v>
      </c>
      <c r="D289" s="961"/>
      <c r="E289" s="51">
        <f t="shared" si="54"/>
        <v>1</v>
      </c>
      <c r="F289" s="961"/>
      <c r="G289" s="51">
        <f t="shared" si="55"/>
        <v>1</v>
      </c>
      <c r="H289" s="961"/>
      <c r="I289" s="51">
        <f t="shared" si="56"/>
        <v>1</v>
      </c>
      <c r="J289" s="961"/>
      <c r="K289" s="51">
        <f t="shared" si="57"/>
        <v>1</v>
      </c>
      <c r="L289" s="961"/>
      <c r="M289" s="51">
        <f t="shared" si="58"/>
        <v>1</v>
      </c>
      <c r="N289" s="961"/>
      <c r="O289" s="51">
        <f t="shared" si="59"/>
        <v>1</v>
      </c>
      <c r="P289" s="961"/>
      <c r="Q289" s="51">
        <f t="shared" si="60"/>
        <v>1</v>
      </c>
      <c r="R289" s="488">
        <f t="shared" si="61"/>
        <v>0</v>
      </c>
      <c r="S289" s="797">
        <f t="shared" si="62"/>
        <v>0</v>
      </c>
    </row>
    <row r="290" spans="1:19">
      <c r="A290" s="963"/>
      <c r="B290" s="135"/>
      <c r="C290" s="51">
        <f t="shared" si="53"/>
        <v>1</v>
      </c>
      <c r="D290" s="961"/>
      <c r="E290" s="51">
        <f t="shared" si="54"/>
        <v>1</v>
      </c>
      <c r="F290" s="961"/>
      <c r="G290" s="51">
        <f t="shared" si="55"/>
        <v>1</v>
      </c>
      <c r="H290" s="961"/>
      <c r="I290" s="51">
        <f t="shared" si="56"/>
        <v>1</v>
      </c>
      <c r="J290" s="961"/>
      <c r="K290" s="51">
        <f t="shared" si="57"/>
        <v>1</v>
      </c>
      <c r="L290" s="961"/>
      <c r="M290" s="51">
        <f t="shared" si="58"/>
        <v>1</v>
      </c>
      <c r="N290" s="961"/>
      <c r="O290" s="51">
        <f t="shared" si="59"/>
        <v>1</v>
      </c>
      <c r="P290" s="961"/>
      <c r="Q290" s="51">
        <f t="shared" si="60"/>
        <v>1</v>
      </c>
      <c r="R290" s="488">
        <f t="shared" si="61"/>
        <v>0</v>
      </c>
      <c r="S290" s="797">
        <f t="shared" si="62"/>
        <v>0</v>
      </c>
    </row>
    <row r="291" spans="1:19">
      <c r="A291" s="963"/>
      <c r="B291" s="135"/>
      <c r="C291" s="51">
        <f t="shared" si="53"/>
        <v>1</v>
      </c>
      <c r="D291" s="961"/>
      <c r="E291" s="51">
        <f t="shared" si="54"/>
        <v>1</v>
      </c>
      <c r="F291" s="961"/>
      <c r="G291" s="51">
        <f t="shared" si="55"/>
        <v>1</v>
      </c>
      <c r="H291" s="961"/>
      <c r="I291" s="51">
        <f t="shared" si="56"/>
        <v>1</v>
      </c>
      <c r="J291" s="961"/>
      <c r="K291" s="51">
        <f t="shared" si="57"/>
        <v>1</v>
      </c>
      <c r="L291" s="961"/>
      <c r="M291" s="51">
        <f t="shared" si="58"/>
        <v>1</v>
      </c>
      <c r="N291" s="961"/>
      <c r="O291" s="51">
        <f t="shared" si="59"/>
        <v>1</v>
      </c>
      <c r="P291" s="961"/>
      <c r="Q291" s="51">
        <f t="shared" si="60"/>
        <v>1</v>
      </c>
      <c r="R291" s="488">
        <f t="shared" si="61"/>
        <v>0</v>
      </c>
      <c r="S291" s="797">
        <f t="shared" si="62"/>
        <v>0</v>
      </c>
    </row>
    <row r="292" spans="1:19">
      <c r="A292" s="963"/>
      <c r="B292" s="135"/>
      <c r="C292" s="51">
        <f t="shared" si="53"/>
        <v>1</v>
      </c>
      <c r="D292" s="961"/>
      <c r="E292" s="51">
        <f t="shared" si="54"/>
        <v>1</v>
      </c>
      <c r="F292" s="961"/>
      <c r="G292" s="51">
        <f t="shared" si="55"/>
        <v>1</v>
      </c>
      <c r="H292" s="961"/>
      <c r="I292" s="51">
        <f t="shared" si="56"/>
        <v>1</v>
      </c>
      <c r="J292" s="961"/>
      <c r="K292" s="51">
        <f t="shared" si="57"/>
        <v>1</v>
      </c>
      <c r="L292" s="961"/>
      <c r="M292" s="51">
        <f t="shared" si="58"/>
        <v>1</v>
      </c>
      <c r="N292" s="961"/>
      <c r="O292" s="51">
        <f t="shared" si="59"/>
        <v>1</v>
      </c>
      <c r="P292" s="961"/>
      <c r="Q292" s="51">
        <f t="shared" si="60"/>
        <v>1</v>
      </c>
      <c r="R292" s="488">
        <f t="shared" si="61"/>
        <v>0</v>
      </c>
      <c r="S292" s="797">
        <f t="shared" si="62"/>
        <v>0</v>
      </c>
    </row>
    <row r="293" spans="1:19">
      <c r="A293" s="963"/>
      <c r="B293" s="135"/>
      <c r="C293" s="51">
        <f t="shared" si="53"/>
        <v>1</v>
      </c>
      <c r="D293" s="961"/>
      <c r="E293" s="51">
        <f t="shared" si="54"/>
        <v>1</v>
      </c>
      <c r="F293" s="961"/>
      <c r="G293" s="51">
        <f t="shared" si="55"/>
        <v>1</v>
      </c>
      <c r="H293" s="961"/>
      <c r="I293" s="51">
        <f t="shared" si="56"/>
        <v>1</v>
      </c>
      <c r="J293" s="961"/>
      <c r="K293" s="51">
        <f t="shared" si="57"/>
        <v>1</v>
      </c>
      <c r="L293" s="961"/>
      <c r="M293" s="51">
        <f t="shared" si="58"/>
        <v>1</v>
      </c>
      <c r="N293" s="961"/>
      <c r="O293" s="51">
        <f t="shared" si="59"/>
        <v>1</v>
      </c>
      <c r="P293" s="961"/>
      <c r="Q293" s="51">
        <f t="shared" si="60"/>
        <v>1</v>
      </c>
      <c r="R293" s="488">
        <f t="shared" si="61"/>
        <v>0</v>
      </c>
      <c r="S293" s="797">
        <f t="shared" si="62"/>
        <v>0</v>
      </c>
    </row>
    <row r="294" spans="1:19">
      <c r="A294" s="963"/>
      <c r="B294" s="135"/>
      <c r="C294" s="51">
        <f t="shared" si="53"/>
        <v>1</v>
      </c>
      <c r="D294" s="961"/>
      <c r="E294" s="51">
        <f t="shared" si="54"/>
        <v>1</v>
      </c>
      <c r="F294" s="961"/>
      <c r="G294" s="51">
        <f t="shared" si="55"/>
        <v>1</v>
      </c>
      <c r="H294" s="961"/>
      <c r="I294" s="51">
        <f t="shared" si="56"/>
        <v>1</v>
      </c>
      <c r="J294" s="961"/>
      <c r="K294" s="51">
        <f t="shared" si="57"/>
        <v>1</v>
      </c>
      <c r="L294" s="961"/>
      <c r="M294" s="51">
        <f t="shared" si="58"/>
        <v>1</v>
      </c>
      <c r="N294" s="961"/>
      <c r="O294" s="51">
        <f t="shared" si="59"/>
        <v>1</v>
      </c>
      <c r="P294" s="961"/>
      <c r="Q294" s="51">
        <f t="shared" si="60"/>
        <v>1</v>
      </c>
      <c r="R294" s="488">
        <f t="shared" si="61"/>
        <v>0</v>
      </c>
      <c r="S294" s="797">
        <f t="shared" si="62"/>
        <v>0</v>
      </c>
    </row>
    <row r="295" spans="1:19">
      <c r="A295" s="963"/>
      <c r="B295" s="135"/>
      <c r="C295" s="51">
        <f t="shared" si="53"/>
        <v>1</v>
      </c>
      <c r="D295" s="961"/>
      <c r="E295" s="51">
        <f t="shared" si="54"/>
        <v>1</v>
      </c>
      <c r="F295" s="961"/>
      <c r="G295" s="51">
        <f t="shared" si="55"/>
        <v>1</v>
      </c>
      <c r="H295" s="961"/>
      <c r="I295" s="51">
        <f t="shared" si="56"/>
        <v>1</v>
      </c>
      <c r="J295" s="961"/>
      <c r="K295" s="51">
        <f t="shared" si="57"/>
        <v>1</v>
      </c>
      <c r="L295" s="961"/>
      <c r="M295" s="51">
        <f t="shared" si="58"/>
        <v>1</v>
      </c>
      <c r="N295" s="961"/>
      <c r="O295" s="51">
        <f t="shared" si="59"/>
        <v>1</v>
      </c>
      <c r="P295" s="961"/>
      <c r="Q295" s="51">
        <f t="shared" si="60"/>
        <v>1</v>
      </c>
      <c r="R295" s="488">
        <f t="shared" si="61"/>
        <v>0</v>
      </c>
      <c r="S295" s="797">
        <f t="shared" si="62"/>
        <v>0</v>
      </c>
    </row>
    <row r="296" spans="1:19">
      <c r="A296" s="963"/>
      <c r="B296" s="135"/>
      <c r="C296" s="51">
        <f t="shared" si="53"/>
        <v>1</v>
      </c>
      <c r="D296" s="961"/>
      <c r="E296" s="51">
        <f t="shared" si="54"/>
        <v>1</v>
      </c>
      <c r="F296" s="961"/>
      <c r="G296" s="51">
        <f t="shared" si="55"/>
        <v>1</v>
      </c>
      <c r="H296" s="961"/>
      <c r="I296" s="51">
        <f t="shared" si="56"/>
        <v>1</v>
      </c>
      <c r="J296" s="961"/>
      <c r="K296" s="51">
        <f t="shared" si="57"/>
        <v>1</v>
      </c>
      <c r="L296" s="961"/>
      <c r="M296" s="51">
        <f t="shared" si="58"/>
        <v>1</v>
      </c>
      <c r="N296" s="961"/>
      <c r="O296" s="51">
        <f t="shared" si="59"/>
        <v>1</v>
      </c>
      <c r="P296" s="961"/>
      <c r="Q296" s="51">
        <f t="shared" si="60"/>
        <v>1</v>
      </c>
      <c r="R296" s="488">
        <f t="shared" si="61"/>
        <v>0</v>
      </c>
      <c r="S296" s="797">
        <f t="shared" si="62"/>
        <v>0</v>
      </c>
    </row>
    <row r="297" spans="1:19">
      <c r="A297" s="963"/>
      <c r="B297" s="135"/>
      <c r="C297" s="51">
        <f t="shared" si="53"/>
        <v>1</v>
      </c>
      <c r="D297" s="961"/>
      <c r="E297" s="51">
        <f t="shared" si="54"/>
        <v>1</v>
      </c>
      <c r="F297" s="961"/>
      <c r="G297" s="51">
        <f t="shared" si="55"/>
        <v>1</v>
      </c>
      <c r="H297" s="961"/>
      <c r="I297" s="51">
        <f t="shared" si="56"/>
        <v>1</v>
      </c>
      <c r="J297" s="961"/>
      <c r="K297" s="51">
        <f t="shared" si="57"/>
        <v>1</v>
      </c>
      <c r="L297" s="961"/>
      <c r="M297" s="51">
        <f t="shared" si="58"/>
        <v>1</v>
      </c>
      <c r="N297" s="961"/>
      <c r="O297" s="51">
        <f t="shared" si="59"/>
        <v>1</v>
      </c>
      <c r="P297" s="961"/>
      <c r="Q297" s="51">
        <f t="shared" si="60"/>
        <v>1</v>
      </c>
      <c r="R297" s="488">
        <f t="shared" si="61"/>
        <v>0</v>
      </c>
      <c r="S297" s="797">
        <f t="shared" si="62"/>
        <v>0</v>
      </c>
    </row>
    <row r="298" spans="1:19">
      <c r="A298" s="963"/>
      <c r="B298" s="135"/>
      <c r="C298" s="51">
        <f t="shared" si="53"/>
        <v>1</v>
      </c>
      <c r="D298" s="961"/>
      <c r="E298" s="51">
        <f t="shared" si="54"/>
        <v>1</v>
      </c>
      <c r="F298" s="961"/>
      <c r="G298" s="51">
        <f t="shared" si="55"/>
        <v>1</v>
      </c>
      <c r="H298" s="961"/>
      <c r="I298" s="51">
        <f t="shared" si="56"/>
        <v>1</v>
      </c>
      <c r="J298" s="961"/>
      <c r="K298" s="51">
        <f t="shared" si="57"/>
        <v>1</v>
      </c>
      <c r="L298" s="961"/>
      <c r="M298" s="51">
        <f t="shared" si="58"/>
        <v>1</v>
      </c>
      <c r="N298" s="961"/>
      <c r="O298" s="51">
        <f t="shared" si="59"/>
        <v>1</v>
      </c>
      <c r="P298" s="961"/>
      <c r="Q298" s="51">
        <f t="shared" si="60"/>
        <v>1</v>
      </c>
      <c r="R298" s="488">
        <f t="shared" si="61"/>
        <v>0</v>
      </c>
      <c r="S298" s="797">
        <f t="shared" si="62"/>
        <v>0</v>
      </c>
    </row>
    <row r="299" spans="1:19">
      <c r="A299" s="963"/>
      <c r="B299" s="135"/>
      <c r="C299" s="51">
        <f t="shared" si="53"/>
        <v>1</v>
      </c>
      <c r="D299" s="961"/>
      <c r="E299" s="51">
        <f t="shared" si="54"/>
        <v>1</v>
      </c>
      <c r="F299" s="961"/>
      <c r="G299" s="51">
        <f t="shared" si="55"/>
        <v>1</v>
      </c>
      <c r="H299" s="961"/>
      <c r="I299" s="51">
        <f t="shared" si="56"/>
        <v>1</v>
      </c>
      <c r="J299" s="961"/>
      <c r="K299" s="51">
        <f t="shared" si="57"/>
        <v>1</v>
      </c>
      <c r="L299" s="961"/>
      <c r="M299" s="51">
        <f t="shared" si="58"/>
        <v>1</v>
      </c>
      <c r="N299" s="961"/>
      <c r="O299" s="51">
        <f t="shared" si="59"/>
        <v>1</v>
      </c>
      <c r="P299" s="961"/>
      <c r="Q299" s="51">
        <f t="shared" si="60"/>
        <v>1</v>
      </c>
      <c r="R299" s="488">
        <f t="shared" si="61"/>
        <v>0</v>
      </c>
      <c r="S299" s="797">
        <f t="shared" si="62"/>
        <v>0</v>
      </c>
    </row>
    <row r="300" spans="1:19">
      <c r="A300" s="963"/>
      <c r="B300" s="135"/>
      <c r="C300" s="51">
        <f t="shared" si="53"/>
        <v>1</v>
      </c>
      <c r="D300" s="961"/>
      <c r="E300" s="51">
        <f t="shared" si="54"/>
        <v>1</v>
      </c>
      <c r="F300" s="961"/>
      <c r="G300" s="51">
        <f t="shared" si="55"/>
        <v>1</v>
      </c>
      <c r="H300" s="961"/>
      <c r="I300" s="51">
        <f t="shared" si="56"/>
        <v>1</v>
      </c>
      <c r="J300" s="961"/>
      <c r="K300" s="51">
        <f t="shared" si="57"/>
        <v>1</v>
      </c>
      <c r="L300" s="961"/>
      <c r="M300" s="51">
        <f t="shared" si="58"/>
        <v>1</v>
      </c>
      <c r="N300" s="961"/>
      <c r="O300" s="51">
        <f t="shared" si="59"/>
        <v>1</v>
      </c>
      <c r="P300" s="961"/>
      <c r="Q300" s="51">
        <f t="shared" si="60"/>
        <v>1</v>
      </c>
      <c r="R300" s="488">
        <f t="shared" si="61"/>
        <v>0</v>
      </c>
      <c r="S300" s="797">
        <f t="shared" si="62"/>
        <v>0</v>
      </c>
    </row>
    <row r="301" spans="1:19">
      <c r="A301" s="963"/>
      <c r="B301" s="135"/>
      <c r="C301" s="51">
        <f t="shared" si="53"/>
        <v>1</v>
      </c>
      <c r="D301" s="961"/>
      <c r="E301" s="51">
        <f t="shared" si="54"/>
        <v>1</v>
      </c>
      <c r="F301" s="961"/>
      <c r="G301" s="51">
        <f t="shared" si="55"/>
        <v>1</v>
      </c>
      <c r="H301" s="961"/>
      <c r="I301" s="51">
        <f t="shared" si="56"/>
        <v>1</v>
      </c>
      <c r="J301" s="961"/>
      <c r="K301" s="51">
        <f t="shared" si="57"/>
        <v>1</v>
      </c>
      <c r="L301" s="961"/>
      <c r="M301" s="51">
        <f t="shared" si="58"/>
        <v>1</v>
      </c>
      <c r="N301" s="961"/>
      <c r="O301" s="51">
        <f t="shared" si="59"/>
        <v>1</v>
      </c>
      <c r="P301" s="961"/>
      <c r="Q301" s="51">
        <f t="shared" si="60"/>
        <v>1</v>
      </c>
      <c r="R301" s="488">
        <f t="shared" si="61"/>
        <v>0</v>
      </c>
      <c r="S301" s="797">
        <f t="shared" si="62"/>
        <v>0</v>
      </c>
    </row>
    <row r="302" spans="1:19">
      <c r="A302" s="963"/>
      <c r="B302" s="135"/>
      <c r="C302" s="51">
        <f t="shared" si="53"/>
        <v>1</v>
      </c>
      <c r="D302" s="961"/>
      <c r="E302" s="51">
        <f t="shared" si="54"/>
        <v>1</v>
      </c>
      <c r="F302" s="961"/>
      <c r="G302" s="51">
        <f t="shared" si="55"/>
        <v>1</v>
      </c>
      <c r="H302" s="961"/>
      <c r="I302" s="51">
        <f t="shared" si="56"/>
        <v>1</v>
      </c>
      <c r="J302" s="961"/>
      <c r="K302" s="51">
        <f t="shared" si="57"/>
        <v>1</v>
      </c>
      <c r="L302" s="961"/>
      <c r="M302" s="51">
        <f t="shared" si="58"/>
        <v>1</v>
      </c>
      <c r="N302" s="961"/>
      <c r="O302" s="51">
        <f t="shared" si="59"/>
        <v>1</v>
      </c>
      <c r="P302" s="961"/>
      <c r="Q302" s="51">
        <f t="shared" si="60"/>
        <v>1</v>
      </c>
      <c r="R302" s="488">
        <f t="shared" si="61"/>
        <v>0</v>
      </c>
      <c r="S302" s="797">
        <f t="shared" si="62"/>
        <v>0</v>
      </c>
    </row>
    <row r="303" spans="1:19">
      <c r="A303" s="963"/>
      <c r="B303" s="135"/>
      <c r="C303" s="51">
        <f t="shared" si="53"/>
        <v>1</v>
      </c>
      <c r="D303" s="961"/>
      <c r="E303" s="51">
        <f t="shared" si="54"/>
        <v>1</v>
      </c>
      <c r="F303" s="961"/>
      <c r="G303" s="51">
        <f t="shared" si="55"/>
        <v>1</v>
      </c>
      <c r="H303" s="961"/>
      <c r="I303" s="51">
        <f t="shared" si="56"/>
        <v>1</v>
      </c>
      <c r="J303" s="961"/>
      <c r="K303" s="51">
        <f t="shared" si="57"/>
        <v>1</v>
      </c>
      <c r="L303" s="961"/>
      <c r="M303" s="51">
        <f t="shared" si="58"/>
        <v>1</v>
      </c>
      <c r="N303" s="961"/>
      <c r="O303" s="51">
        <f t="shared" si="59"/>
        <v>1</v>
      </c>
      <c r="P303" s="961"/>
      <c r="Q303" s="51">
        <f t="shared" si="60"/>
        <v>1</v>
      </c>
      <c r="R303" s="488">
        <f t="shared" si="61"/>
        <v>0</v>
      </c>
      <c r="S303" s="797">
        <f t="shared" si="62"/>
        <v>0</v>
      </c>
    </row>
    <row r="304" spans="1:19">
      <c r="A304" s="963"/>
      <c r="B304" s="135"/>
      <c r="C304" s="51">
        <f t="shared" si="53"/>
        <v>1</v>
      </c>
      <c r="D304" s="961"/>
      <c r="E304" s="51">
        <f t="shared" si="54"/>
        <v>1</v>
      </c>
      <c r="F304" s="961"/>
      <c r="G304" s="51">
        <f t="shared" si="55"/>
        <v>1</v>
      </c>
      <c r="H304" s="961"/>
      <c r="I304" s="51">
        <f t="shared" si="56"/>
        <v>1</v>
      </c>
      <c r="J304" s="961"/>
      <c r="K304" s="51">
        <f t="shared" si="57"/>
        <v>1</v>
      </c>
      <c r="L304" s="961"/>
      <c r="M304" s="51">
        <f t="shared" si="58"/>
        <v>1</v>
      </c>
      <c r="N304" s="961"/>
      <c r="O304" s="51">
        <f t="shared" si="59"/>
        <v>1</v>
      </c>
      <c r="P304" s="961"/>
      <c r="Q304" s="51">
        <f t="shared" si="60"/>
        <v>1</v>
      </c>
      <c r="R304" s="488">
        <f t="shared" si="61"/>
        <v>0</v>
      </c>
      <c r="S304" s="797">
        <f t="shared" si="62"/>
        <v>0</v>
      </c>
    </row>
    <row r="305" spans="1:19">
      <c r="A305" s="963"/>
      <c r="B305" s="135"/>
      <c r="C305" s="51">
        <f t="shared" si="53"/>
        <v>1</v>
      </c>
      <c r="D305" s="961"/>
      <c r="E305" s="51">
        <f t="shared" si="54"/>
        <v>1</v>
      </c>
      <c r="F305" s="961"/>
      <c r="G305" s="51">
        <f t="shared" si="55"/>
        <v>1</v>
      </c>
      <c r="H305" s="961"/>
      <c r="I305" s="51">
        <f t="shared" si="56"/>
        <v>1</v>
      </c>
      <c r="J305" s="961"/>
      <c r="K305" s="51">
        <f t="shared" si="57"/>
        <v>1</v>
      </c>
      <c r="L305" s="961"/>
      <c r="M305" s="51">
        <f t="shared" si="58"/>
        <v>1</v>
      </c>
      <c r="N305" s="961"/>
      <c r="O305" s="51">
        <f t="shared" si="59"/>
        <v>1</v>
      </c>
      <c r="P305" s="961"/>
      <c r="Q305" s="51">
        <f t="shared" si="60"/>
        <v>1</v>
      </c>
      <c r="R305" s="488">
        <f t="shared" si="61"/>
        <v>0</v>
      </c>
      <c r="S305" s="797">
        <f t="shared" si="62"/>
        <v>0</v>
      </c>
    </row>
    <row r="306" spans="1:19">
      <c r="A306" s="963"/>
      <c r="B306" s="135"/>
      <c r="C306" s="51">
        <f t="shared" si="53"/>
        <v>1</v>
      </c>
      <c r="D306" s="961"/>
      <c r="E306" s="51">
        <f t="shared" si="54"/>
        <v>1</v>
      </c>
      <c r="F306" s="961"/>
      <c r="G306" s="51">
        <f t="shared" si="55"/>
        <v>1</v>
      </c>
      <c r="H306" s="961"/>
      <c r="I306" s="51">
        <f t="shared" si="56"/>
        <v>1</v>
      </c>
      <c r="J306" s="961"/>
      <c r="K306" s="51">
        <f t="shared" si="57"/>
        <v>1</v>
      </c>
      <c r="L306" s="961"/>
      <c r="M306" s="51">
        <f t="shared" si="58"/>
        <v>1</v>
      </c>
      <c r="N306" s="961"/>
      <c r="O306" s="51">
        <f t="shared" si="59"/>
        <v>1</v>
      </c>
      <c r="P306" s="961"/>
      <c r="Q306" s="51">
        <f t="shared" si="60"/>
        <v>1</v>
      </c>
      <c r="R306" s="488">
        <f t="shared" si="61"/>
        <v>0</v>
      </c>
      <c r="S306" s="797">
        <f t="shared" si="62"/>
        <v>0</v>
      </c>
    </row>
    <row r="307" spans="1:19">
      <c r="A307" s="963"/>
      <c r="B307" s="135"/>
      <c r="C307" s="51">
        <f t="shared" si="53"/>
        <v>1</v>
      </c>
      <c r="D307" s="961"/>
      <c r="E307" s="51">
        <f t="shared" si="54"/>
        <v>1</v>
      </c>
      <c r="F307" s="961"/>
      <c r="G307" s="51">
        <f t="shared" si="55"/>
        <v>1</v>
      </c>
      <c r="H307" s="961"/>
      <c r="I307" s="51">
        <f t="shared" si="56"/>
        <v>1</v>
      </c>
      <c r="J307" s="961"/>
      <c r="K307" s="51">
        <f t="shared" si="57"/>
        <v>1</v>
      </c>
      <c r="L307" s="961"/>
      <c r="M307" s="51">
        <f t="shared" si="58"/>
        <v>1</v>
      </c>
      <c r="N307" s="961"/>
      <c r="O307" s="51">
        <f t="shared" si="59"/>
        <v>1</v>
      </c>
      <c r="P307" s="961"/>
      <c r="Q307" s="51">
        <f t="shared" si="60"/>
        <v>1</v>
      </c>
      <c r="R307" s="488">
        <f t="shared" si="61"/>
        <v>0</v>
      </c>
      <c r="S307" s="797">
        <f t="shared" si="62"/>
        <v>0</v>
      </c>
    </row>
    <row r="308" spans="1:19">
      <c r="A308" s="963"/>
      <c r="B308" s="135"/>
      <c r="C308" s="51">
        <f t="shared" si="53"/>
        <v>1</v>
      </c>
      <c r="D308" s="961"/>
      <c r="E308" s="51">
        <f t="shared" si="54"/>
        <v>1</v>
      </c>
      <c r="F308" s="961"/>
      <c r="G308" s="51">
        <f t="shared" si="55"/>
        <v>1</v>
      </c>
      <c r="H308" s="961"/>
      <c r="I308" s="51">
        <f t="shared" si="56"/>
        <v>1</v>
      </c>
      <c r="J308" s="961"/>
      <c r="K308" s="51">
        <f t="shared" si="57"/>
        <v>1</v>
      </c>
      <c r="L308" s="961"/>
      <c r="M308" s="51">
        <f t="shared" si="58"/>
        <v>1</v>
      </c>
      <c r="N308" s="961"/>
      <c r="O308" s="51">
        <f t="shared" si="59"/>
        <v>1</v>
      </c>
      <c r="P308" s="961"/>
      <c r="Q308" s="51">
        <f t="shared" si="60"/>
        <v>1</v>
      </c>
      <c r="R308" s="488">
        <f t="shared" si="61"/>
        <v>0</v>
      </c>
      <c r="S308" s="797">
        <f t="shared" si="62"/>
        <v>0</v>
      </c>
    </row>
    <row r="309" spans="1:19">
      <c r="A309" s="963"/>
      <c r="B309" s="135"/>
      <c r="C309" s="51">
        <f t="shared" si="53"/>
        <v>1</v>
      </c>
      <c r="D309" s="961"/>
      <c r="E309" s="51">
        <f t="shared" si="54"/>
        <v>1</v>
      </c>
      <c r="F309" s="961"/>
      <c r="G309" s="51">
        <f t="shared" si="55"/>
        <v>1</v>
      </c>
      <c r="H309" s="961"/>
      <c r="I309" s="51">
        <f t="shared" si="56"/>
        <v>1</v>
      </c>
      <c r="J309" s="961"/>
      <c r="K309" s="51">
        <f t="shared" si="57"/>
        <v>1</v>
      </c>
      <c r="L309" s="961"/>
      <c r="M309" s="51">
        <f t="shared" si="58"/>
        <v>1</v>
      </c>
      <c r="N309" s="961"/>
      <c r="O309" s="51">
        <f t="shared" si="59"/>
        <v>1</v>
      </c>
      <c r="P309" s="961"/>
      <c r="Q309" s="51">
        <f t="shared" si="60"/>
        <v>1</v>
      </c>
      <c r="R309" s="488">
        <f t="shared" si="61"/>
        <v>0</v>
      </c>
      <c r="S309" s="797">
        <f t="shared" si="62"/>
        <v>0</v>
      </c>
    </row>
    <row r="310" spans="1:19">
      <c r="A310" s="963"/>
      <c r="B310" s="135"/>
      <c r="C310" s="51">
        <f t="shared" si="53"/>
        <v>1</v>
      </c>
      <c r="D310" s="961"/>
      <c r="E310" s="51">
        <f t="shared" si="54"/>
        <v>1</v>
      </c>
      <c r="F310" s="961"/>
      <c r="G310" s="51">
        <f t="shared" si="55"/>
        <v>1</v>
      </c>
      <c r="H310" s="961"/>
      <c r="I310" s="51">
        <f t="shared" si="56"/>
        <v>1</v>
      </c>
      <c r="J310" s="961"/>
      <c r="K310" s="51">
        <f t="shared" si="57"/>
        <v>1</v>
      </c>
      <c r="L310" s="961"/>
      <c r="M310" s="51">
        <f t="shared" si="58"/>
        <v>1</v>
      </c>
      <c r="N310" s="961"/>
      <c r="O310" s="51">
        <f t="shared" si="59"/>
        <v>1</v>
      </c>
      <c r="P310" s="961"/>
      <c r="Q310" s="51">
        <f t="shared" si="60"/>
        <v>1</v>
      </c>
      <c r="R310" s="488">
        <f t="shared" si="61"/>
        <v>0</v>
      </c>
      <c r="S310" s="797">
        <f t="shared" si="62"/>
        <v>0</v>
      </c>
    </row>
    <row r="311" spans="1:19">
      <c r="A311" s="963"/>
      <c r="B311" s="135"/>
      <c r="C311" s="51">
        <f t="shared" si="53"/>
        <v>1</v>
      </c>
      <c r="D311" s="961"/>
      <c r="E311" s="51">
        <f t="shared" si="54"/>
        <v>1</v>
      </c>
      <c r="F311" s="961"/>
      <c r="G311" s="51">
        <f t="shared" si="55"/>
        <v>1</v>
      </c>
      <c r="H311" s="961"/>
      <c r="I311" s="51">
        <f t="shared" si="56"/>
        <v>1</v>
      </c>
      <c r="J311" s="961"/>
      <c r="K311" s="51">
        <f t="shared" si="57"/>
        <v>1</v>
      </c>
      <c r="L311" s="961"/>
      <c r="M311" s="51">
        <f t="shared" si="58"/>
        <v>1</v>
      </c>
      <c r="N311" s="961"/>
      <c r="O311" s="51">
        <f t="shared" si="59"/>
        <v>1</v>
      </c>
      <c r="P311" s="961"/>
      <c r="Q311" s="51">
        <f t="shared" si="60"/>
        <v>1</v>
      </c>
      <c r="R311" s="488">
        <f t="shared" si="61"/>
        <v>0</v>
      </c>
      <c r="S311" s="797">
        <f t="shared" si="62"/>
        <v>0</v>
      </c>
    </row>
    <row r="312" spans="1:19">
      <c r="A312" s="963"/>
      <c r="B312" s="135"/>
      <c r="C312" s="51">
        <f t="shared" si="53"/>
        <v>1</v>
      </c>
      <c r="D312" s="961"/>
      <c r="E312" s="51">
        <f t="shared" si="54"/>
        <v>1</v>
      </c>
      <c r="F312" s="961"/>
      <c r="G312" s="51">
        <f t="shared" si="55"/>
        <v>1</v>
      </c>
      <c r="H312" s="961"/>
      <c r="I312" s="51">
        <f t="shared" si="56"/>
        <v>1</v>
      </c>
      <c r="J312" s="961"/>
      <c r="K312" s="51">
        <f t="shared" si="57"/>
        <v>1</v>
      </c>
      <c r="L312" s="961"/>
      <c r="M312" s="51">
        <f t="shared" si="58"/>
        <v>1</v>
      </c>
      <c r="N312" s="961"/>
      <c r="O312" s="51">
        <f t="shared" si="59"/>
        <v>1</v>
      </c>
      <c r="P312" s="961"/>
      <c r="Q312" s="51">
        <f t="shared" si="60"/>
        <v>1</v>
      </c>
      <c r="R312" s="488">
        <f t="shared" si="61"/>
        <v>0</v>
      </c>
      <c r="S312" s="797">
        <f t="shared" si="62"/>
        <v>0</v>
      </c>
    </row>
    <row r="313" spans="1:19">
      <c r="A313" s="963"/>
      <c r="B313" s="135"/>
      <c r="C313" s="51">
        <f t="shared" si="53"/>
        <v>1</v>
      </c>
      <c r="D313" s="961"/>
      <c r="E313" s="51">
        <f t="shared" si="54"/>
        <v>1</v>
      </c>
      <c r="F313" s="961"/>
      <c r="G313" s="51">
        <f t="shared" si="55"/>
        <v>1</v>
      </c>
      <c r="H313" s="961"/>
      <c r="I313" s="51">
        <f t="shared" si="56"/>
        <v>1</v>
      </c>
      <c r="J313" s="961"/>
      <c r="K313" s="51">
        <f t="shared" si="57"/>
        <v>1</v>
      </c>
      <c r="L313" s="961"/>
      <c r="M313" s="51">
        <f t="shared" si="58"/>
        <v>1</v>
      </c>
      <c r="N313" s="961"/>
      <c r="O313" s="51">
        <f t="shared" si="59"/>
        <v>1</v>
      </c>
      <c r="P313" s="961"/>
      <c r="Q313" s="51">
        <f t="shared" si="60"/>
        <v>1</v>
      </c>
      <c r="R313" s="488">
        <f t="shared" si="61"/>
        <v>0</v>
      </c>
      <c r="S313" s="797">
        <f t="shared" si="62"/>
        <v>0</v>
      </c>
    </row>
    <row r="314" spans="1:19">
      <c r="A314" s="963"/>
      <c r="B314" s="135"/>
      <c r="C314" s="51">
        <f t="shared" si="53"/>
        <v>1</v>
      </c>
      <c r="D314" s="961"/>
      <c r="E314" s="51">
        <f t="shared" si="54"/>
        <v>1</v>
      </c>
      <c r="F314" s="961"/>
      <c r="G314" s="51">
        <f t="shared" si="55"/>
        <v>1</v>
      </c>
      <c r="H314" s="961"/>
      <c r="I314" s="51">
        <f t="shared" si="56"/>
        <v>1</v>
      </c>
      <c r="J314" s="961"/>
      <c r="K314" s="51">
        <f t="shared" si="57"/>
        <v>1</v>
      </c>
      <c r="L314" s="961"/>
      <c r="M314" s="51">
        <f t="shared" si="58"/>
        <v>1</v>
      </c>
      <c r="N314" s="961"/>
      <c r="O314" s="51">
        <f t="shared" si="59"/>
        <v>1</v>
      </c>
      <c r="P314" s="961"/>
      <c r="Q314" s="51">
        <f t="shared" si="60"/>
        <v>1</v>
      </c>
      <c r="R314" s="488">
        <f t="shared" si="61"/>
        <v>0</v>
      </c>
      <c r="S314" s="797">
        <f t="shared" si="62"/>
        <v>0</v>
      </c>
    </row>
    <row r="315" spans="1:19">
      <c r="A315" s="963"/>
      <c r="B315" s="135"/>
      <c r="C315" s="51">
        <f t="shared" si="53"/>
        <v>1</v>
      </c>
      <c r="D315" s="961"/>
      <c r="E315" s="51">
        <f t="shared" si="54"/>
        <v>1</v>
      </c>
      <c r="F315" s="961"/>
      <c r="G315" s="51">
        <f t="shared" si="55"/>
        <v>1</v>
      </c>
      <c r="H315" s="961"/>
      <c r="I315" s="51">
        <f t="shared" si="56"/>
        <v>1</v>
      </c>
      <c r="J315" s="961"/>
      <c r="K315" s="51">
        <f t="shared" si="57"/>
        <v>1</v>
      </c>
      <c r="L315" s="961"/>
      <c r="M315" s="51">
        <f t="shared" si="58"/>
        <v>1</v>
      </c>
      <c r="N315" s="961"/>
      <c r="O315" s="51">
        <f t="shared" si="59"/>
        <v>1</v>
      </c>
      <c r="P315" s="961"/>
      <c r="Q315" s="51">
        <f t="shared" si="60"/>
        <v>1</v>
      </c>
      <c r="R315" s="488">
        <f t="shared" si="61"/>
        <v>0</v>
      </c>
      <c r="S315" s="797">
        <f t="shared" si="62"/>
        <v>0</v>
      </c>
    </row>
    <row r="316" spans="1:19">
      <c r="A316" s="963"/>
      <c r="B316" s="135"/>
      <c r="C316" s="51">
        <f t="shared" si="53"/>
        <v>1</v>
      </c>
      <c r="D316" s="961"/>
      <c r="E316" s="51">
        <f t="shared" si="54"/>
        <v>1</v>
      </c>
      <c r="F316" s="961"/>
      <c r="G316" s="51">
        <f t="shared" si="55"/>
        <v>1</v>
      </c>
      <c r="H316" s="961"/>
      <c r="I316" s="51">
        <f t="shared" si="56"/>
        <v>1</v>
      </c>
      <c r="J316" s="961"/>
      <c r="K316" s="51">
        <f t="shared" si="57"/>
        <v>1</v>
      </c>
      <c r="L316" s="961"/>
      <c r="M316" s="51">
        <f t="shared" si="58"/>
        <v>1</v>
      </c>
      <c r="N316" s="961"/>
      <c r="O316" s="51">
        <f t="shared" si="59"/>
        <v>1</v>
      </c>
      <c r="P316" s="961"/>
      <c r="Q316" s="51">
        <f t="shared" si="60"/>
        <v>1</v>
      </c>
      <c r="R316" s="488">
        <f t="shared" si="61"/>
        <v>0</v>
      </c>
      <c r="S316" s="797">
        <f t="shared" si="62"/>
        <v>0</v>
      </c>
    </row>
    <row r="317" spans="1:19">
      <c r="A317" s="963"/>
      <c r="B317" s="135"/>
      <c r="C317" s="51">
        <f t="shared" si="53"/>
        <v>1</v>
      </c>
      <c r="D317" s="961"/>
      <c r="E317" s="51">
        <f t="shared" si="54"/>
        <v>1</v>
      </c>
      <c r="F317" s="961"/>
      <c r="G317" s="51">
        <f t="shared" si="55"/>
        <v>1</v>
      </c>
      <c r="H317" s="961"/>
      <c r="I317" s="51">
        <f t="shared" si="56"/>
        <v>1</v>
      </c>
      <c r="J317" s="961"/>
      <c r="K317" s="51">
        <f t="shared" si="57"/>
        <v>1</v>
      </c>
      <c r="L317" s="961"/>
      <c r="M317" s="51">
        <f t="shared" si="58"/>
        <v>1</v>
      </c>
      <c r="N317" s="961"/>
      <c r="O317" s="51">
        <f t="shared" si="59"/>
        <v>1</v>
      </c>
      <c r="P317" s="961"/>
      <c r="Q317" s="51">
        <f t="shared" si="60"/>
        <v>1</v>
      </c>
      <c r="R317" s="488">
        <f t="shared" si="61"/>
        <v>0</v>
      </c>
      <c r="S317" s="797">
        <f t="shared" si="62"/>
        <v>0</v>
      </c>
    </row>
    <row r="318" spans="1:19">
      <c r="A318" s="963"/>
      <c r="B318" s="135"/>
      <c r="C318" s="51">
        <f t="shared" si="53"/>
        <v>1</v>
      </c>
      <c r="D318" s="961"/>
      <c r="E318" s="51">
        <f t="shared" si="54"/>
        <v>1</v>
      </c>
      <c r="F318" s="961"/>
      <c r="G318" s="51">
        <f t="shared" si="55"/>
        <v>1</v>
      </c>
      <c r="H318" s="961"/>
      <c r="I318" s="51">
        <f t="shared" si="56"/>
        <v>1</v>
      </c>
      <c r="J318" s="961"/>
      <c r="K318" s="51">
        <f t="shared" si="57"/>
        <v>1</v>
      </c>
      <c r="L318" s="961"/>
      <c r="M318" s="51">
        <f t="shared" si="58"/>
        <v>1</v>
      </c>
      <c r="N318" s="961"/>
      <c r="O318" s="51">
        <f t="shared" si="59"/>
        <v>1</v>
      </c>
      <c r="P318" s="961"/>
      <c r="Q318" s="51">
        <f t="shared" si="60"/>
        <v>1</v>
      </c>
      <c r="R318" s="488">
        <f t="shared" si="61"/>
        <v>0</v>
      </c>
      <c r="S318" s="797">
        <f t="shared" si="62"/>
        <v>0</v>
      </c>
    </row>
    <row r="319" spans="1:19">
      <c r="A319" s="963"/>
      <c r="B319" s="135"/>
      <c r="C319" s="51">
        <f t="shared" si="53"/>
        <v>1</v>
      </c>
      <c r="D319" s="961"/>
      <c r="E319" s="51">
        <f t="shared" si="54"/>
        <v>1</v>
      </c>
      <c r="F319" s="961"/>
      <c r="G319" s="51">
        <f t="shared" si="55"/>
        <v>1</v>
      </c>
      <c r="H319" s="961"/>
      <c r="I319" s="51">
        <f t="shared" si="56"/>
        <v>1</v>
      </c>
      <c r="J319" s="961"/>
      <c r="K319" s="51">
        <f t="shared" si="57"/>
        <v>1</v>
      </c>
      <c r="L319" s="961"/>
      <c r="M319" s="51">
        <f t="shared" si="58"/>
        <v>1</v>
      </c>
      <c r="N319" s="961"/>
      <c r="O319" s="51">
        <f t="shared" si="59"/>
        <v>1</v>
      </c>
      <c r="P319" s="961"/>
      <c r="Q319" s="51">
        <f t="shared" si="60"/>
        <v>1</v>
      </c>
      <c r="R319" s="488">
        <f t="shared" si="61"/>
        <v>0</v>
      </c>
      <c r="S319" s="797">
        <f t="shared" si="62"/>
        <v>0</v>
      </c>
    </row>
    <row r="320" spans="1:19">
      <c r="A320" s="963"/>
      <c r="B320" s="135"/>
      <c r="C320" s="51">
        <f t="shared" si="53"/>
        <v>1</v>
      </c>
      <c r="D320" s="961"/>
      <c r="E320" s="51">
        <f t="shared" si="54"/>
        <v>1</v>
      </c>
      <c r="F320" s="961"/>
      <c r="G320" s="51">
        <f t="shared" si="55"/>
        <v>1</v>
      </c>
      <c r="H320" s="961"/>
      <c r="I320" s="51">
        <f t="shared" si="56"/>
        <v>1</v>
      </c>
      <c r="J320" s="961"/>
      <c r="K320" s="51">
        <f t="shared" si="57"/>
        <v>1</v>
      </c>
      <c r="L320" s="961"/>
      <c r="M320" s="51">
        <f t="shared" si="58"/>
        <v>1</v>
      </c>
      <c r="N320" s="961"/>
      <c r="O320" s="51">
        <f t="shared" si="59"/>
        <v>1</v>
      </c>
      <c r="P320" s="961"/>
      <c r="Q320" s="51">
        <f t="shared" si="60"/>
        <v>1</v>
      </c>
      <c r="R320" s="488">
        <f t="shared" si="61"/>
        <v>0</v>
      </c>
      <c r="S320" s="797">
        <f t="shared" si="62"/>
        <v>0</v>
      </c>
    </row>
    <row r="321" spans="1:19">
      <c r="A321" s="963"/>
      <c r="B321" s="135"/>
      <c r="C321" s="51">
        <f t="shared" si="53"/>
        <v>1</v>
      </c>
      <c r="D321" s="961"/>
      <c r="E321" s="51">
        <f t="shared" si="54"/>
        <v>1</v>
      </c>
      <c r="F321" s="961"/>
      <c r="G321" s="51">
        <f t="shared" si="55"/>
        <v>1</v>
      </c>
      <c r="H321" s="961"/>
      <c r="I321" s="51">
        <f t="shared" si="56"/>
        <v>1</v>
      </c>
      <c r="J321" s="961"/>
      <c r="K321" s="51">
        <f t="shared" si="57"/>
        <v>1</v>
      </c>
      <c r="L321" s="961"/>
      <c r="M321" s="51">
        <f t="shared" si="58"/>
        <v>1</v>
      </c>
      <c r="N321" s="961"/>
      <c r="O321" s="51">
        <f t="shared" si="59"/>
        <v>1</v>
      </c>
      <c r="P321" s="961"/>
      <c r="Q321" s="51">
        <f t="shared" si="60"/>
        <v>1</v>
      </c>
      <c r="R321" s="488">
        <f t="shared" si="61"/>
        <v>0</v>
      </c>
      <c r="S321" s="797">
        <f t="shared" ref="S321:S384" si="63">ROUND(R321*B321/10000,0)</f>
        <v>0</v>
      </c>
    </row>
    <row r="322" spans="1:19">
      <c r="A322" s="963"/>
      <c r="B322" s="135"/>
      <c r="C322" s="51">
        <f t="shared" si="53"/>
        <v>1</v>
      </c>
      <c r="D322" s="961"/>
      <c r="E322" s="51">
        <f t="shared" si="54"/>
        <v>1</v>
      </c>
      <c r="F322" s="961"/>
      <c r="G322" s="51">
        <f t="shared" si="55"/>
        <v>1</v>
      </c>
      <c r="H322" s="961"/>
      <c r="I322" s="51">
        <f t="shared" si="56"/>
        <v>1</v>
      </c>
      <c r="J322" s="961"/>
      <c r="K322" s="51">
        <f t="shared" si="57"/>
        <v>1</v>
      </c>
      <c r="L322" s="961"/>
      <c r="M322" s="51">
        <f t="shared" si="58"/>
        <v>1</v>
      </c>
      <c r="N322" s="961"/>
      <c r="O322" s="51">
        <f t="shared" si="59"/>
        <v>1</v>
      </c>
      <c r="P322" s="961"/>
      <c r="Q322" s="51">
        <f t="shared" si="60"/>
        <v>1</v>
      </c>
      <c r="R322" s="488">
        <f t="shared" si="61"/>
        <v>0</v>
      </c>
      <c r="S322" s="797">
        <f t="shared" si="63"/>
        <v>0</v>
      </c>
    </row>
    <row r="323" spans="1:19">
      <c r="A323" s="963"/>
      <c r="B323" s="135"/>
      <c r="C323" s="51">
        <f t="shared" si="53"/>
        <v>1</v>
      </c>
      <c r="D323" s="961"/>
      <c r="E323" s="51">
        <f t="shared" si="54"/>
        <v>1</v>
      </c>
      <c r="F323" s="961"/>
      <c r="G323" s="51">
        <f t="shared" si="55"/>
        <v>1</v>
      </c>
      <c r="H323" s="961"/>
      <c r="I323" s="51">
        <f t="shared" si="56"/>
        <v>1</v>
      </c>
      <c r="J323" s="961"/>
      <c r="K323" s="51">
        <f t="shared" si="57"/>
        <v>1</v>
      </c>
      <c r="L323" s="961"/>
      <c r="M323" s="51">
        <f t="shared" si="58"/>
        <v>1</v>
      </c>
      <c r="N323" s="961"/>
      <c r="O323" s="51">
        <f t="shared" si="59"/>
        <v>1</v>
      </c>
      <c r="P323" s="961"/>
      <c r="Q323" s="51">
        <f t="shared" si="60"/>
        <v>1</v>
      </c>
      <c r="R323" s="488">
        <f t="shared" si="61"/>
        <v>0</v>
      </c>
      <c r="S323" s="797">
        <f t="shared" si="63"/>
        <v>0</v>
      </c>
    </row>
    <row r="324" spans="1:19">
      <c r="A324" s="963"/>
      <c r="B324" s="135"/>
      <c r="C324" s="51">
        <f t="shared" si="53"/>
        <v>1</v>
      </c>
      <c r="D324" s="961"/>
      <c r="E324" s="51">
        <f t="shared" si="54"/>
        <v>1</v>
      </c>
      <c r="F324" s="961"/>
      <c r="G324" s="51">
        <f t="shared" si="55"/>
        <v>1</v>
      </c>
      <c r="H324" s="961"/>
      <c r="I324" s="51">
        <f t="shared" si="56"/>
        <v>1</v>
      </c>
      <c r="J324" s="961"/>
      <c r="K324" s="51">
        <f t="shared" si="57"/>
        <v>1</v>
      </c>
      <c r="L324" s="961"/>
      <c r="M324" s="51">
        <f t="shared" si="58"/>
        <v>1</v>
      </c>
      <c r="N324" s="961"/>
      <c r="O324" s="51">
        <f t="shared" si="59"/>
        <v>1</v>
      </c>
      <c r="P324" s="961"/>
      <c r="Q324" s="51">
        <f t="shared" si="60"/>
        <v>1</v>
      </c>
      <c r="R324" s="488">
        <f t="shared" si="61"/>
        <v>0</v>
      </c>
      <c r="S324" s="797">
        <f t="shared" si="63"/>
        <v>0</v>
      </c>
    </row>
    <row r="325" spans="1:19">
      <c r="A325" s="963"/>
      <c r="B325" s="135"/>
      <c r="C325" s="51">
        <f t="shared" si="53"/>
        <v>1</v>
      </c>
      <c r="D325" s="961"/>
      <c r="E325" s="51">
        <f t="shared" si="54"/>
        <v>1</v>
      </c>
      <c r="F325" s="961"/>
      <c r="G325" s="51">
        <f t="shared" si="55"/>
        <v>1</v>
      </c>
      <c r="H325" s="961"/>
      <c r="I325" s="51">
        <f t="shared" si="56"/>
        <v>1</v>
      </c>
      <c r="J325" s="961"/>
      <c r="K325" s="51">
        <f t="shared" si="57"/>
        <v>1</v>
      </c>
      <c r="L325" s="961"/>
      <c r="M325" s="51">
        <f t="shared" si="58"/>
        <v>1</v>
      </c>
      <c r="N325" s="961"/>
      <c r="O325" s="51">
        <f t="shared" si="59"/>
        <v>1</v>
      </c>
      <c r="P325" s="961"/>
      <c r="Q325" s="51">
        <f t="shared" si="60"/>
        <v>1</v>
      </c>
      <c r="R325" s="488">
        <f t="shared" si="61"/>
        <v>0</v>
      </c>
      <c r="S325" s="797">
        <f t="shared" si="63"/>
        <v>0</v>
      </c>
    </row>
    <row r="326" spans="1:19">
      <c r="A326" s="963"/>
      <c r="B326" s="135"/>
      <c r="C326" s="51">
        <f t="shared" si="53"/>
        <v>1</v>
      </c>
      <c r="D326" s="961"/>
      <c r="E326" s="51">
        <f t="shared" si="54"/>
        <v>1</v>
      </c>
      <c r="F326" s="961"/>
      <c r="G326" s="51">
        <f t="shared" si="55"/>
        <v>1</v>
      </c>
      <c r="H326" s="961"/>
      <c r="I326" s="51">
        <f t="shared" si="56"/>
        <v>1</v>
      </c>
      <c r="J326" s="961"/>
      <c r="K326" s="51">
        <f t="shared" si="57"/>
        <v>1</v>
      </c>
      <c r="L326" s="961"/>
      <c r="M326" s="51">
        <f t="shared" si="58"/>
        <v>1</v>
      </c>
      <c r="N326" s="961"/>
      <c r="O326" s="51">
        <f t="shared" si="59"/>
        <v>1</v>
      </c>
      <c r="P326" s="961"/>
      <c r="Q326" s="51">
        <f t="shared" si="60"/>
        <v>1</v>
      </c>
      <c r="R326" s="488">
        <f t="shared" si="61"/>
        <v>0</v>
      </c>
      <c r="S326" s="797">
        <f t="shared" si="63"/>
        <v>0</v>
      </c>
    </row>
    <row r="327" spans="1:19">
      <c r="A327" s="963"/>
      <c r="B327" s="135"/>
      <c r="C327" s="51">
        <f t="shared" si="53"/>
        <v>1</v>
      </c>
      <c r="D327" s="961"/>
      <c r="E327" s="51">
        <f t="shared" si="54"/>
        <v>1</v>
      </c>
      <c r="F327" s="961"/>
      <c r="G327" s="51">
        <f t="shared" si="55"/>
        <v>1</v>
      </c>
      <c r="H327" s="961"/>
      <c r="I327" s="51">
        <f t="shared" si="56"/>
        <v>1</v>
      </c>
      <c r="J327" s="961"/>
      <c r="K327" s="51">
        <f t="shared" si="57"/>
        <v>1</v>
      </c>
      <c r="L327" s="961"/>
      <c r="M327" s="51">
        <f t="shared" si="58"/>
        <v>1</v>
      </c>
      <c r="N327" s="961"/>
      <c r="O327" s="51">
        <f t="shared" si="59"/>
        <v>1</v>
      </c>
      <c r="P327" s="961"/>
      <c r="Q327" s="51">
        <f t="shared" si="60"/>
        <v>1</v>
      </c>
      <c r="R327" s="488">
        <f t="shared" si="61"/>
        <v>0</v>
      </c>
      <c r="S327" s="797">
        <f t="shared" si="63"/>
        <v>0</v>
      </c>
    </row>
    <row r="328" spans="1:19">
      <c r="A328" s="963"/>
      <c r="B328" s="135"/>
      <c r="C328" s="51">
        <f t="shared" si="53"/>
        <v>1</v>
      </c>
      <c r="D328" s="961"/>
      <c r="E328" s="51">
        <f t="shared" si="54"/>
        <v>1</v>
      </c>
      <c r="F328" s="961"/>
      <c r="G328" s="51">
        <f t="shared" si="55"/>
        <v>1</v>
      </c>
      <c r="H328" s="961"/>
      <c r="I328" s="51">
        <f t="shared" si="56"/>
        <v>1</v>
      </c>
      <c r="J328" s="961"/>
      <c r="K328" s="51">
        <f t="shared" si="57"/>
        <v>1</v>
      </c>
      <c r="L328" s="961"/>
      <c r="M328" s="51">
        <f t="shared" si="58"/>
        <v>1</v>
      </c>
      <c r="N328" s="961"/>
      <c r="O328" s="51">
        <f t="shared" si="59"/>
        <v>1</v>
      </c>
      <c r="P328" s="961"/>
      <c r="Q328" s="51">
        <f t="shared" si="60"/>
        <v>1</v>
      </c>
      <c r="R328" s="488">
        <f t="shared" si="61"/>
        <v>0</v>
      </c>
      <c r="S328" s="797">
        <f t="shared" si="63"/>
        <v>0</v>
      </c>
    </row>
    <row r="329" spans="1:19">
      <c r="A329" s="963"/>
      <c r="B329" s="135"/>
      <c r="C329" s="51">
        <f t="shared" si="53"/>
        <v>1</v>
      </c>
      <c r="D329" s="961"/>
      <c r="E329" s="51">
        <f t="shared" si="54"/>
        <v>1</v>
      </c>
      <c r="F329" s="961"/>
      <c r="G329" s="51">
        <f t="shared" si="55"/>
        <v>1</v>
      </c>
      <c r="H329" s="961"/>
      <c r="I329" s="51">
        <f t="shared" si="56"/>
        <v>1</v>
      </c>
      <c r="J329" s="961"/>
      <c r="K329" s="51">
        <f t="shared" si="57"/>
        <v>1</v>
      </c>
      <c r="L329" s="961"/>
      <c r="M329" s="51">
        <f t="shared" si="58"/>
        <v>1</v>
      </c>
      <c r="N329" s="961"/>
      <c r="O329" s="51">
        <f t="shared" si="59"/>
        <v>1</v>
      </c>
      <c r="P329" s="961"/>
      <c r="Q329" s="51">
        <f t="shared" si="60"/>
        <v>1</v>
      </c>
      <c r="R329" s="488">
        <f t="shared" si="61"/>
        <v>0</v>
      </c>
      <c r="S329" s="797">
        <f t="shared" si="63"/>
        <v>0</v>
      </c>
    </row>
    <row r="330" spans="1:19">
      <c r="A330" s="963"/>
      <c r="B330" s="135"/>
      <c r="C330" s="51">
        <f t="shared" si="53"/>
        <v>1</v>
      </c>
      <c r="D330" s="961"/>
      <c r="E330" s="51">
        <f t="shared" si="54"/>
        <v>1</v>
      </c>
      <c r="F330" s="961"/>
      <c r="G330" s="51">
        <f t="shared" si="55"/>
        <v>1</v>
      </c>
      <c r="H330" s="961"/>
      <c r="I330" s="51">
        <f t="shared" si="56"/>
        <v>1</v>
      </c>
      <c r="J330" s="961"/>
      <c r="K330" s="51">
        <f t="shared" si="57"/>
        <v>1</v>
      </c>
      <c r="L330" s="961"/>
      <c r="M330" s="51">
        <f t="shared" si="58"/>
        <v>1</v>
      </c>
      <c r="N330" s="961"/>
      <c r="O330" s="51">
        <f t="shared" si="59"/>
        <v>1</v>
      </c>
      <c r="P330" s="961"/>
      <c r="Q330" s="51">
        <f t="shared" si="60"/>
        <v>1</v>
      </c>
      <c r="R330" s="488">
        <f t="shared" si="61"/>
        <v>0</v>
      </c>
      <c r="S330" s="797">
        <f t="shared" si="63"/>
        <v>0</v>
      </c>
    </row>
    <row r="331" spans="1:19">
      <c r="A331" s="963"/>
      <c r="B331" s="135"/>
      <c r="C331" s="51">
        <f t="shared" si="53"/>
        <v>1</v>
      </c>
      <c r="D331" s="961"/>
      <c r="E331" s="51">
        <f t="shared" si="54"/>
        <v>1</v>
      </c>
      <c r="F331" s="961"/>
      <c r="G331" s="51">
        <f t="shared" si="55"/>
        <v>1</v>
      </c>
      <c r="H331" s="961"/>
      <c r="I331" s="51">
        <f t="shared" si="56"/>
        <v>1</v>
      </c>
      <c r="J331" s="961"/>
      <c r="K331" s="51">
        <f t="shared" si="57"/>
        <v>1</v>
      </c>
      <c r="L331" s="961"/>
      <c r="M331" s="51">
        <f t="shared" si="58"/>
        <v>1</v>
      </c>
      <c r="N331" s="961"/>
      <c r="O331" s="51">
        <f t="shared" si="59"/>
        <v>1</v>
      </c>
      <c r="P331" s="961"/>
      <c r="Q331" s="51">
        <f t="shared" si="60"/>
        <v>1</v>
      </c>
      <c r="R331" s="488">
        <f t="shared" si="61"/>
        <v>0</v>
      </c>
      <c r="S331" s="797">
        <f t="shared" si="63"/>
        <v>0</v>
      </c>
    </row>
    <row r="332" spans="1:19">
      <c r="A332" s="963"/>
      <c r="B332" s="135"/>
      <c r="C332" s="51">
        <f t="shared" si="53"/>
        <v>1</v>
      </c>
      <c r="D332" s="961"/>
      <c r="E332" s="51">
        <f t="shared" si="54"/>
        <v>1</v>
      </c>
      <c r="F332" s="961"/>
      <c r="G332" s="51">
        <f t="shared" si="55"/>
        <v>1</v>
      </c>
      <c r="H332" s="961"/>
      <c r="I332" s="51">
        <f t="shared" si="56"/>
        <v>1</v>
      </c>
      <c r="J332" s="961"/>
      <c r="K332" s="51">
        <f t="shared" si="57"/>
        <v>1</v>
      </c>
      <c r="L332" s="961"/>
      <c r="M332" s="51">
        <f t="shared" si="58"/>
        <v>1</v>
      </c>
      <c r="N332" s="961"/>
      <c r="O332" s="51">
        <f t="shared" si="59"/>
        <v>1</v>
      </c>
      <c r="P332" s="961"/>
      <c r="Q332" s="51">
        <f t="shared" si="60"/>
        <v>1</v>
      </c>
      <c r="R332" s="488">
        <f t="shared" si="61"/>
        <v>0</v>
      </c>
      <c r="S332" s="797">
        <f t="shared" si="63"/>
        <v>0</v>
      </c>
    </row>
    <row r="333" spans="1:19">
      <c r="A333" s="963"/>
      <c r="B333" s="135"/>
      <c r="C333" s="51">
        <f t="shared" si="53"/>
        <v>1</v>
      </c>
      <c r="D333" s="961"/>
      <c r="E333" s="51">
        <f t="shared" si="54"/>
        <v>1</v>
      </c>
      <c r="F333" s="961"/>
      <c r="G333" s="51">
        <f t="shared" si="55"/>
        <v>1</v>
      </c>
      <c r="H333" s="961"/>
      <c r="I333" s="51">
        <f t="shared" si="56"/>
        <v>1</v>
      </c>
      <c r="J333" s="961"/>
      <c r="K333" s="51">
        <f t="shared" si="57"/>
        <v>1</v>
      </c>
      <c r="L333" s="961"/>
      <c r="M333" s="51">
        <f t="shared" si="58"/>
        <v>1</v>
      </c>
      <c r="N333" s="961"/>
      <c r="O333" s="51">
        <f t="shared" si="59"/>
        <v>1</v>
      </c>
      <c r="P333" s="961"/>
      <c r="Q333" s="51">
        <f t="shared" si="60"/>
        <v>1</v>
      </c>
      <c r="R333" s="488">
        <f t="shared" si="61"/>
        <v>0</v>
      </c>
      <c r="S333" s="797">
        <f t="shared" si="63"/>
        <v>0</v>
      </c>
    </row>
    <row r="334" spans="1:19">
      <c r="A334" s="963"/>
      <c r="B334" s="135"/>
      <c r="C334" s="51">
        <f t="shared" si="53"/>
        <v>1</v>
      </c>
      <c r="D334" s="961"/>
      <c r="E334" s="51">
        <f t="shared" si="54"/>
        <v>1</v>
      </c>
      <c r="F334" s="961"/>
      <c r="G334" s="51">
        <f t="shared" si="55"/>
        <v>1</v>
      </c>
      <c r="H334" s="961"/>
      <c r="I334" s="51">
        <f t="shared" si="56"/>
        <v>1</v>
      </c>
      <c r="J334" s="961"/>
      <c r="K334" s="51">
        <f t="shared" si="57"/>
        <v>1</v>
      </c>
      <c r="L334" s="961"/>
      <c r="M334" s="51">
        <f t="shared" si="58"/>
        <v>1</v>
      </c>
      <c r="N334" s="961"/>
      <c r="O334" s="51">
        <f t="shared" si="59"/>
        <v>1</v>
      </c>
      <c r="P334" s="961"/>
      <c r="Q334" s="51">
        <f t="shared" si="60"/>
        <v>1</v>
      </c>
      <c r="R334" s="488">
        <f t="shared" si="61"/>
        <v>0</v>
      </c>
      <c r="S334" s="797">
        <f t="shared" si="63"/>
        <v>0</v>
      </c>
    </row>
    <row r="335" spans="1:19">
      <c r="A335" s="963"/>
      <c r="B335" s="135"/>
      <c r="C335" s="51">
        <f t="shared" si="53"/>
        <v>1</v>
      </c>
      <c r="D335" s="961"/>
      <c r="E335" s="51">
        <f t="shared" si="54"/>
        <v>1</v>
      </c>
      <c r="F335" s="961"/>
      <c r="G335" s="51">
        <f t="shared" si="55"/>
        <v>1</v>
      </c>
      <c r="H335" s="961"/>
      <c r="I335" s="51">
        <f t="shared" si="56"/>
        <v>1</v>
      </c>
      <c r="J335" s="961"/>
      <c r="K335" s="51">
        <f t="shared" si="57"/>
        <v>1</v>
      </c>
      <c r="L335" s="961"/>
      <c r="M335" s="51">
        <f t="shared" si="58"/>
        <v>1</v>
      </c>
      <c r="N335" s="961"/>
      <c r="O335" s="51">
        <f t="shared" si="59"/>
        <v>1</v>
      </c>
      <c r="P335" s="961"/>
      <c r="Q335" s="51">
        <f t="shared" si="60"/>
        <v>1</v>
      </c>
      <c r="R335" s="488">
        <f t="shared" si="61"/>
        <v>0</v>
      </c>
      <c r="S335" s="797">
        <f t="shared" si="63"/>
        <v>0</v>
      </c>
    </row>
    <row r="336" spans="1:19">
      <c r="A336" s="963"/>
      <c r="B336" s="135"/>
      <c r="C336" s="51">
        <f t="shared" si="53"/>
        <v>1</v>
      </c>
      <c r="D336" s="961"/>
      <c r="E336" s="51">
        <f t="shared" si="54"/>
        <v>1</v>
      </c>
      <c r="F336" s="961"/>
      <c r="G336" s="51">
        <f t="shared" si="55"/>
        <v>1</v>
      </c>
      <c r="H336" s="961"/>
      <c r="I336" s="51">
        <f t="shared" si="56"/>
        <v>1</v>
      </c>
      <c r="J336" s="961"/>
      <c r="K336" s="51">
        <f t="shared" si="57"/>
        <v>1</v>
      </c>
      <c r="L336" s="961"/>
      <c r="M336" s="51">
        <f t="shared" si="58"/>
        <v>1</v>
      </c>
      <c r="N336" s="961"/>
      <c r="O336" s="51">
        <f t="shared" si="59"/>
        <v>1</v>
      </c>
      <c r="P336" s="961"/>
      <c r="Q336" s="51">
        <f t="shared" si="60"/>
        <v>1</v>
      </c>
      <c r="R336" s="488">
        <f t="shared" si="61"/>
        <v>0</v>
      </c>
      <c r="S336" s="797">
        <f t="shared" si="63"/>
        <v>0</v>
      </c>
    </row>
    <row r="337" spans="1:19">
      <c r="A337" s="963"/>
      <c r="B337" s="135"/>
      <c r="C337" s="51">
        <f t="shared" si="53"/>
        <v>1</v>
      </c>
      <c r="D337" s="961"/>
      <c r="E337" s="51">
        <f t="shared" si="54"/>
        <v>1</v>
      </c>
      <c r="F337" s="961"/>
      <c r="G337" s="51">
        <f t="shared" si="55"/>
        <v>1</v>
      </c>
      <c r="H337" s="961"/>
      <c r="I337" s="51">
        <f t="shared" si="56"/>
        <v>1</v>
      </c>
      <c r="J337" s="961"/>
      <c r="K337" s="51">
        <f t="shared" si="57"/>
        <v>1</v>
      </c>
      <c r="L337" s="961"/>
      <c r="M337" s="51">
        <f t="shared" si="58"/>
        <v>1</v>
      </c>
      <c r="N337" s="961"/>
      <c r="O337" s="51">
        <f t="shared" si="59"/>
        <v>1</v>
      </c>
      <c r="P337" s="961"/>
      <c r="Q337" s="51">
        <f t="shared" si="60"/>
        <v>1</v>
      </c>
      <c r="R337" s="488">
        <f t="shared" si="61"/>
        <v>0</v>
      </c>
      <c r="S337" s="797">
        <f t="shared" si="63"/>
        <v>0</v>
      </c>
    </row>
    <row r="338" spans="1:19">
      <c r="A338" s="963"/>
      <c r="B338" s="135"/>
      <c r="C338" s="51">
        <f t="shared" si="53"/>
        <v>1</v>
      </c>
      <c r="D338" s="961"/>
      <c r="E338" s="51">
        <f t="shared" si="54"/>
        <v>1</v>
      </c>
      <c r="F338" s="961"/>
      <c r="G338" s="51">
        <f t="shared" si="55"/>
        <v>1</v>
      </c>
      <c r="H338" s="961"/>
      <c r="I338" s="51">
        <f t="shared" si="56"/>
        <v>1</v>
      </c>
      <c r="J338" s="961"/>
      <c r="K338" s="51">
        <f t="shared" si="57"/>
        <v>1</v>
      </c>
      <c r="L338" s="961"/>
      <c r="M338" s="51">
        <f t="shared" si="58"/>
        <v>1</v>
      </c>
      <c r="N338" s="961"/>
      <c r="O338" s="51">
        <f t="shared" si="59"/>
        <v>1</v>
      </c>
      <c r="P338" s="961"/>
      <c r="Q338" s="51">
        <f t="shared" si="60"/>
        <v>1</v>
      </c>
      <c r="R338" s="488">
        <f t="shared" si="61"/>
        <v>0</v>
      </c>
      <c r="S338" s="797">
        <f t="shared" si="63"/>
        <v>0</v>
      </c>
    </row>
    <row r="339" spans="1:19">
      <c r="A339" s="963"/>
      <c r="B339" s="135"/>
      <c r="C339" s="51">
        <f t="shared" si="53"/>
        <v>1</v>
      </c>
      <c r="D339" s="961"/>
      <c r="E339" s="51">
        <f t="shared" si="54"/>
        <v>1</v>
      </c>
      <c r="F339" s="961"/>
      <c r="G339" s="51">
        <f t="shared" si="55"/>
        <v>1</v>
      </c>
      <c r="H339" s="961"/>
      <c r="I339" s="51">
        <f t="shared" si="56"/>
        <v>1</v>
      </c>
      <c r="J339" s="961"/>
      <c r="K339" s="51">
        <f t="shared" si="57"/>
        <v>1</v>
      </c>
      <c r="L339" s="961"/>
      <c r="M339" s="51">
        <f t="shared" si="58"/>
        <v>1</v>
      </c>
      <c r="N339" s="961"/>
      <c r="O339" s="51">
        <f t="shared" si="59"/>
        <v>1</v>
      </c>
      <c r="P339" s="961"/>
      <c r="Q339" s="51">
        <f t="shared" si="60"/>
        <v>1</v>
      </c>
      <c r="R339" s="488">
        <f t="shared" si="61"/>
        <v>0</v>
      </c>
      <c r="S339" s="797">
        <f t="shared" si="63"/>
        <v>0</v>
      </c>
    </row>
    <row r="340" spans="1:19">
      <c r="A340" s="963"/>
      <c r="B340" s="135"/>
      <c r="C340" s="51">
        <f t="shared" si="53"/>
        <v>1</v>
      </c>
      <c r="D340" s="961"/>
      <c r="E340" s="51">
        <f t="shared" si="54"/>
        <v>1</v>
      </c>
      <c r="F340" s="961"/>
      <c r="G340" s="51">
        <f t="shared" si="55"/>
        <v>1</v>
      </c>
      <c r="H340" s="961"/>
      <c r="I340" s="51">
        <f t="shared" si="56"/>
        <v>1</v>
      </c>
      <c r="J340" s="961"/>
      <c r="K340" s="51">
        <f t="shared" si="57"/>
        <v>1</v>
      </c>
      <c r="L340" s="961"/>
      <c r="M340" s="51">
        <f t="shared" si="58"/>
        <v>1</v>
      </c>
      <c r="N340" s="961"/>
      <c r="O340" s="51">
        <f t="shared" si="59"/>
        <v>1</v>
      </c>
      <c r="P340" s="961"/>
      <c r="Q340" s="51">
        <f t="shared" si="60"/>
        <v>1</v>
      </c>
      <c r="R340" s="488">
        <f t="shared" si="61"/>
        <v>0</v>
      </c>
      <c r="S340" s="797">
        <f t="shared" si="63"/>
        <v>0</v>
      </c>
    </row>
    <row r="341" spans="1:19">
      <c r="A341" s="963"/>
      <c r="B341" s="135"/>
      <c r="C341" s="51">
        <f t="shared" si="53"/>
        <v>1</v>
      </c>
      <c r="D341" s="961"/>
      <c r="E341" s="51">
        <f t="shared" si="54"/>
        <v>1</v>
      </c>
      <c r="F341" s="961"/>
      <c r="G341" s="51">
        <f t="shared" si="55"/>
        <v>1</v>
      </c>
      <c r="H341" s="961"/>
      <c r="I341" s="51">
        <f t="shared" si="56"/>
        <v>1</v>
      </c>
      <c r="J341" s="961"/>
      <c r="K341" s="51">
        <f t="shared" si="57"/>
        <v>1</v>
      </c>
      <c r="L341" s="961"/>
      <c r="M341" s="51">
        <f t="shared" si="58"/>
        <v>1</v>
      </c>
      <c r="N341" s="961"/>
      <c r="O341" s="51">
        <f t="shared" si="59"/>
        <v>1</v>
      </c>
      <c r="P341" s="961"/>
      <c r="Q341" s="51">
        <f t="shared" si="60"/>
        <v>1</v>
      </c>
      <c r="R341" s="488">
        <f t="shared" si="61"/>
        <v>0</v>
      </c>
      <c r="S341" s="797">
        <f t="shared" si="63"/>
        <v>0</v>
      </c>
    </row>
    <row r="342" spans="1:19">
      <c r="A342" s="963"/>
      <c r="B342" s="135"/>
      <c r="C342" s="51">
        <f t="shared" si="53"/>
        <v>1</v>
      </c>
      <c r="D342" s="961"/>
      <c r="E342" s="51">
        <f t="shared" si="54"/>
        <v>1</v>
      </c>
      <c r="F342" s="961"/>
      <c r="G342" s="51">
        <f t="shared" si="55"/>
        <v>1</v>
      </c>
      <c r="H342" s="961"/>
      <c r="I342" s="51">
        <f t="shared" si="56"/>
        <v>1</v>
      </c>
      <c r="J342" s="961"/>
      <c r="K342" s="51">
        <f t="shared" si="57"/>
        <v>1</v>
      </c>
      <c r="L342" s="961"/>
      <c r="M342" s="51">
        <f t="shared" si="58"/>
        <v>1</v>
      </c>
      <c r="N342" s="961"/>
      <c r="O342" s="51">
        <f t="shared" si="59"/>
        <v>1</v>
      </c>
      <c r="P342" s="961"/>
      <c r="Q342" s="51">
        <f t="shared" si="60"/>
        <v>1</v>
      </c>
      <c r="R342" s="488">
        <f t="shared" si="61"/>
        <v>0</v>
      </c>
      <c r="S342" s="797">
        <f t="shared" si="63"/>
        <v>0</v>
      </c>
    </row>
    <row r="343" spans="1:19">
      <c r="A343" s="963"/>
      <c r="B343" s="135"/>
      <c r="C343" s="51">
        <f t="shared" si="53"/>
        <v>1</v>
      </c>
      <c r="D343" s="961"/>
      <c r="E343" s="51">
        <f t="shared" si="54"/>
        <v>1</v>
      </c>
      <c r="F343" s="961"/>
      <c r="G343" s="51">
        <f t="shared" si="55"/>
        <v>1</v>
      </c>
      <c r="H343" s="961"/>
      <c r="I343" s="51">
        <f t="shared" si="56"/>
        <v>1</v>
      </c>
      <c r="J343" s="961"/>
      <c r="K343" s="51">
        <f t="shared" si="57"/>
        <v>1</v>
      </c>
      <c r="L343" s="961"/>
      <c r="M343" s="51">
        <f t="shared" si="58"/>
        <v>1</v>
      </c>
      <c r="N343" s="961"/>
      <c r="O343" s="51">
        <f t="shared" si="59"/>
        <v>1</v>
      </c>
      <c r="P343" s="961"/>
      <c r="Q343" s="51">
        <f t="shared" si="60"/>
        <v>1</v>
      </c>
      <c r="R343" s="488">
        <f t="shared" si="61"/>
        <v>0</v>
      </c>
      <c r="S343" s="797">
        <f t="shared" si="63"/>
        <v>0</v>
      </c>
    </row>
    <row r="344" spans="1:19">
      <c r="A344" s="963"/>
      <c r="B344" s="135"/>
      <c r="C344" s="51">
        <f t="shared" si="53"/>
        <v>1</v>
      </c>
      <c r="D344" s="961"/>
      <c r="E344" s="51">
        <f t="shared" si="54"/>
        <v>1</v>
      </c>
      <c r="F344" s="961"/>
      <c r="G344" s="51">
        <f t="shared" si="55"/>
        <v>1</v>
      </c>
      <c r="H344" s="961"/>
      <c r="I344" s="51">
        <f t="shared" si="56"/>
        <v>1</v>
      </c>
      <c r="J344" s="961"/>
      <c r="K344" s="51">
        <f t="shared" si="57"/>
        <v>1</v>
      </c>
      <c r="L344" s="961"/>
      <c r="M344" s="51">
        <f t="shared" si="58"/>
        <v>1</v>
      </c>
      <c r="N344" s="961"/>
      <c r="O344" s="51">
        <f t="shared" si="59"/>
        <v>1</v>
      </c>
      <c r="P344" s="961"/>
      <c r="Q344" s="51">
        <f t="shared" si="60"/>
        <v>1</v>
      </c>
      <c r="R344" s="488">
        <f t="shared" si="61"/>
        <v>0</v>
      </c>
      <c r="S344" s="797">
        <f t="shared" si="63"/>
        <v>0</v>
      </c>
    </row>
    <row r="345" spans="1:19">
      <c r="A345" s="963"/>
      <c r="B345" s="135"/>
      <c r="C345" s="51">
        <f t="shared" si="53"/>
        <v>1</v>
      </c>
      <c r="D345" s="961"/>
      <c r="E345" s="51">
        <f t="shared" si="54"/>
        <v>1</v>
      </c>
      <c r="F345" s="961"/>
      <c r="G345" s="51">
        <f t="shared" si="55"/>
        <v>1</v>
      </c>
      <c r="H345" s="961"/>
      <c r="I345" s="51">
        <f t="shared" si="56"/>
        <v>1</v>
      </c>
      <c r="J345" s="961"/>
      <c r="K345" s="51">
        <f t="shared" si="57"/>
        <v>1</v>
      </c>
      <c r="L345" s="961"/>
      <c r="M345" s="51">
        <f t="shared" si="58"/>
        <v>1</v>
      </c>
      <c r="N345" s="961"/>
      <c r="O345" s="51">
        <f t="shared" si="59"/>
        <v>1</v>
      </c>
      <c r="P345" s="961"/>
      <c r="Q345" s="51">
        <f t="shared" si="60"/>
        <v>1</v>
      </c>
      <c r="R345" s="488">
        <f t="shared" si="61"/>
        <v>0</v>
      </c>
      <c r="S345" s="797">
        <f t="shared" si="63"/>
        <v>0</v>
      </c>
    </row>
    <row r="346" spans="1:19">
      <c r="A346" s="963"/>
      <c r="B346" s="135"/>
      <c r="C346" s="51">
        <f t="shared" ref="C346:C409" si="64">IF(B346="",1,(LOOKUP(B346,$3:$3,$4:$4)-LOOKUP($B$24,$3:$3,$4:$4)+100)/100)</f>
        <v>1</v>
      </c>
      <c r="D346" s="961"/>
      <c r="E346" s="51">
        <f t="shared" ref="E346:E409" si="65">(SUMIF($5:$5,D346,$6:$6)-SUMIF($5:$5,$D$24,$6:$6)+100)/100</f>
        <v>1</v>
      </c>
      <c r="F346" s="961"/>
      <c r="G346" s="51">
        <f t="shared" ref="G346:G409" si="66">(SUMIF($7:$7,F346,$8:$8)-SUMIF($7:$7,$F$24,$8:$8)+100)/100</f>
        <v>1</v>
      </c>
      <c r="H346" s="961"/>
      <c r="I346" s="51">
        <f t="shared" ref="I346:I409" si="67">(SUMIF($9:$9,H346,$10:$10)-SUMIF($9:$9,$H$24,$10:$10)+100)/100</f>
        <v>1</v>
      </c>
      <c r="J346" s="961"/>
      <c r="K346" s="51">
        <f t="shared" ref="K346:K409" si="68">(SUMIF($11:$11,J346,$12:$12)-SUMIF($11:$11,$J$24,$12:$12)+100)/100</f>
        <v>1</v>
      </c>
      <c r="L346" s="961"/>
      <c r="M346" s="51">
        <f t="shared" ref="M346:M409" si="69">(SUMIF($13:$13,L346,$14:$14)-SUMIF($13:$13,$L$24,$14:$14)+100)/100</f>
        <v>1</v>
      </c>
      <c r="N346" s="961"/>
      <c r="O346" s="51">
        <f t="shared" ref="O346:O409" si="70">(SUMIF($15:$15,N346,$16:$16)-SUMIF($15:$15,$N$24,$16:$16)+100)/100</f>
        <v>1</v>
      </c>
      <c r="P346" s="961"/>
      <c r="Q346" s="51">
        <f t="shared" ref="Q346:Q409" si="71">(SUMIF($17:$17,P346,$18:$18)-SUMIF($17:$17,$P$24,$18:$18)+100)/100</f>
        <v>1</v>
      </c>
      <c r="R346" s="488">
        <f t="shared" ref="R346:R409" si="72">IF(B346="",0,ROUND($R$24*C346*E346*G346*I346*K346*M346*O346*Q346,0))</f>
        <v>0</v>
      </c>
      <c r="S346" s="797">
        <f t="shared" si="63"/>
        <v>0</v>
      </c>
    </row>
    <row r="347" spans="1:19">
      <c r="A347" s="963"/>
      <c r="B347" s="135"/>
      <c r="C347" s="51">
        <f t="shared" si="64"/>
        <v>1</v>
      </c>
      <c r="D347" s="961"/>
      <c r="E347" s="51">
        <f t="shared" si="65"/>
        <v>1</v>
      </c>
      <c r="F347" s="961"/>
      <c r="G347" s="51">
        <f t="shared" si="66"/>
        <v>1</v>
      </c>
      <c r="H347" s="961"/>
      <c r="I347" s="51">
        <f t="shared" si="67"/>
        <v>1</v>
      </c>
      <c r="J347" s="961"/>
      <c r="K347" s="51">
        <f t="shared" si="68"/>
        <v>1</v>
      </c>
      <c r="L347" s="961"/>
      <c r="M347" s="51">
        <f t="shared" si="69"/>
        <v>1</v>
      </c>
      <c r="N347" s="961"/>
      <c r="O347" s="51">
        <f t="shared" si="70"/>
        <v>1</v>
      </c>
      <c r="P347" s="961"/>
      <c r="Q347" s="51">
        <f t="shared" si="71"/>
        <v>1</v>
      </c>
      <c r="R347" s="488">
        <f t="shared" si="72"/>
        <v>0</v>
      </c>
      <c r="S347" s="797">
        <f t="shared" si="63"/>
        <v>0</v>
      </c>
    </row>
    <row r="348" spans="1:19">
      <c r="A348" s="963"/>
      <c r="B348" s="135"/>
      <c r="C348" s="51">
        <f t="shared" si="64"/>
        <v>1</v>
      </c>
      <c r="D348" s="961"/>
      <c r="E348" s="51">
        <f t="shared" si="65"/>
        <v>1</v>
      </c>
      <c r="F348" s="961"/>
      <c r="G348" s="51">
        <f t="shared" si="66"/>
        <v>1</v>
      </c>
      <c r="H348" s="961"/>
      <c r="I348" s="51">
        <f t="shared" si="67"/>
        <v>1</v>
      </c>
      <c r="J348" s="961"/>
      <c r="K348" s="51">
        <f t="shared" si="68"/>
        <v>1</v>
      </c>
      <c r="L348" s="961"/>
      <c r="M348" s="51">
        <f t="shared" si="69"/>
        <v>1</v>
      </c>
      <c r="N348" s="961"/>
      <c r="O348" s="51">
        <f t="shared" si="70"/>
        <v>1</v>
      </c>
      <c r="P348" s="961"/>
      <c r="Q348" s="51">
        <f t="shared" si="71"/>
        <v>1</v>
      </c>
      <c r="R348" s="488">
        <f t="shared" si="72"/>
        <v>0</v>
      </c>
      <c r="S348" s="797">
        <f t="shared" si="63"/>
        <v>0</v>
      </c>
    </row>
    <row r="349" spans="1:19">
      <c r="A349" s="963"/>
      <c r="B349" s="135"/>
      <c r="C349" s="51">
        <f t="shared" si="64"/>
        <v>1</v>
      </c>
      <c r="D349" s="961"/>
      <c r="E349" s="51">
        <f t="shared" si="65"/>
        <v>1</v>
      </c>
      <c r="F349" s="961"/>
      <c r="G349" s="51">
        <f t="shared" si="66"/>
        <v>1</v>
      </c>
      <c r="H349" s="961"/>
      <c r="I349" s="51">
        <f t="shared" si="67"/>
        <v>1</v>
      </c>
      <c r="J349" s="961"/>
      <c r="K349" s="51">
        <f t="shared" si="68"/>
        <v>1</v>
      </c>
      <c r="L349" s="961"/>
      <c r="M349" s="51">
        <f t="shared" si="69"/>
        <v>1</v>
      </c>
      <c r="N349" s="961"/>
      <c r="O349" s="51">
        <f t="shared" si="70"/>
        <v>1</v>
      </c>
      <c r="P349" s="961"/>
      <c r="Q349" s="51">
        <f t="shared" si="71"/>
        <v>1</v>
      </c>
      <c r="R349" s="488">
        <f t="shared" si="72"/>
        <v>0</v>
      </c>
      <c r="S349" s="797">
        <f t="shared" si="63"/>
        <v>0</v>
      </c>
    </row>
    <row r="350" spans="1:19">
      <c r="A350" s="963"/>
      <c r="B350" s="135"/>
      <c r="C350" s="51">
        <f t="shared" si="64"/>
        <v>1</v>
      </c>
      <c r="D350" s="961"/>
      <c r="E350" s="51">
        <f t="shared" si="65"/>
        <v>1</v>
      </c>
      <c r="F350" s="961"/>
      <c r="G350" s="51">
        <f t="shared" si="66"/>
        <v>1</v>
      </c>
      <c r="H350" s="961"/>
      <c r="I350" s="51">
        <f t="shared" si="67"/>
        <v>1</v>
      </c>
      <c r="J350" s="961"/>
      <c r="K350" s="51">
        <f t="shared" si="68"/>
        <v>1</v>
      </c>
      <c r="L350" s="961"/>
      <c r="M350" s="51">
        <f t="shared" si="69"/>
        <v>1</v>
      </c>
      <c r="N350" s="961"/>
      <c r="O350" s="51">
        <f t="shared" si="70"/>
        <v>1</v>
      </c>
      <c r="P350" s="961"/>
      <c r="Q350" s="51">
        <f t="shared" si="71"/>
        <v>1</v>
      </c>
      <c r="R350" s="488">
        <f t="shared" si="72"/>
        <v>0</v>
      </c>
      <c r="S350" s="797">
        <f t="shared" si="63"/>
        <v>0</v>
      </c>
    </row>
    <row r="351" spans="1:19">
      <c r="A351" s="963"/>
      <c r="B351" s="135"/>
      <c r="C351" s="51">
        <f t="shared" si="64"/>
        <v>1</v>
      </c>
      <c r="D351" s="961"/>
      <c r="E351" s="51">
        <f t="shared" si="65"/>
        <v>1</v>
      </c>
      <c r="F351" s="961"/>
      <c r="G351" s="51">
        <f t="shared" si="66"/>
        <v>1</v>
      </c>
      <c r="H351" s="961"/>
      <c r="I351" s="51">
        <f t="shared" si="67"/>
        <v>1</v>
      </c>
      <c r="J351" s="961"/>
      <c r="K351" s="51">
        <f t="shared" si="68"/>
        <v>1</v>
      </c>
      <c r="L351" s="961"/>
      <c r="M351" s="51">
        <f t="shared" si="69"/>
        <v>1</v>
      </c>
      <c r="N351" s="961"/>
      <c r="O351" s="51">
        <f t="shared" si="70"/>
        <v>1</v>
      </c>
      <c r="P351" s="961"/>
      <c r="Q351" s="51">
        <f t="shared" si="71"/>
        <v>1</v>
      </c>
      <c r="R351" s="488">
        <f t="shared" si="72"/>
        <v>0</v>
      </c>
      <c r="S351" s="797">
        <f t="shared" si="63"/>
        <v>0</v>
      </c>
    </row>
    <row r="352" spans="1:19">
      <c r="A352" s="963"/>
      <c r="B352" s="135"/>
      <c r="C352" s="51">
        <f t="shared" si="64"/>
        <v>1</v>
      </c>
      <c r="D352" s="961"/>
      <c r="E352" s="51">
        <f t="shared" si="65"/>
        <v>1</v>
      </c>
      <c r="F352" s="961"/>
      <c r="G352" s="51">
        <f t="shared" si="66"/>
        <v>1</v>
      </c>
      <c r="H352" s="961"/>
      <c r="I352" s="51">
        <f t="shared" si="67"/>
        <v>1</v>
      </c>
      <c r="J352" s="961"/>
      <c r="K352" s="51">
        <f t="shared" si="68"/>
        <v>1</v>
      </c>
      <c r="L352" s="961"/>
      <c r="M352" s="51">
        <f t="shared" si="69"/>
        <v>1</v>
      </c>
      <c r="N352" s="961"/>
      <c r="O352" s="51">
        <f t="shared" si="70"/>
        <v>1</v>
      </c>
      <c r="P352" s="961"/>
      <c r="Q352" s="51">
        <f t="shared" si="71"/>
        <v>1</v>
      </c>
      <c r="R352" s="488">
        <f t="shared" si="72"/>
        <v>0</v>
      </c>
      <c r="S352" s="797">
        <f t="shared" si="63"/>
        <v>0</v>
      </c>
    </row>
    <row r="353" spans="1:19">
      <c r="A353" s="963"/>
      <c r="B353" s="135"/>
      <c r="C353" s="51">
        <f t="shared" si="64"/>
        <v>1</v>
      </c>
      <c r="D353" s="961"/>
      <c r="E353" s="51">
        <f t="shared" si="65"/>
        <v>1</v>
      </c>
      <c r="F353" s="961"/>
      <c r="G353" s="51">
        <f t="shared" si="66"/>
        <v>1</v>
      </c>
      <c r="H353" s="961"/>
      <c r="I353" s="51">
        <f t="shared" si="67"/>
        <v>1</v>
      </c>
      <c r="J353" s="961"/>
      <c r="K353" s="51">
        <f t="shared" si="68"/>
        <v>1</v>
      </c>
      <c r="L353" s="961"/>
      <c r="M353" s="51">
        <f t="shared" si="69"/>
        <v>1</v>
      </c>
      <c r="N353" s="961"/>
      <c r="O353" s="51">
        <f t="shared" si="70"/>
        <v>1</v>
      </c>
      <c r="P353" s="961"/>
      <c r="Q353" s="51">
        <f t="shared" si="71"/>
        <v>1</v>
      </c>
      <c r="R353" s="488">
        <f t="shared" si="72"/>
        <v>0</v>
      </c>
      <c r="S353" s="797">
        <f t="shared" si="63"/>
        <v>0</v>
      </c>
    </row>
    <row r="354" spans="1:19">
      <c r="A354" s="963"/>
      <c r="B354" s="135"/>
      <c r="C354" s="51">
        <f t="shared" si="64"/>
        <v>1</v>
      </c>
      <c r="D354" s="961"/>
      <c r="E354" s="51">
        <f t="shared" si="65"/>
        <v>1</v>
      </c>
      <c r="F354" s="961"/>
      <c r="G354" s="51">
        <f t="shared" si="66"/>
        <v>1</v>
      </c>
      <c r="H354" s="961"/>
      <c r="I354" s="51">
        <f t="shared" si="67"/>
        <v>1</v>
      </c>
      <c r="J354" s="961"/>
      <c r="K354" s="51">
        <f t="shared" si="68"/>
        <v>1</v>
      </c>
      <c r="L354" s="961"/>
      <c r="M354" s="51">
        <f t="shared" si="69"/>
        <v>1</v>
      </c>
      <c r="N354" s="961"/>
      <c r="O354" s="51">
        <f t="shared" si="70"/>
        <v>1</v>
      </c>
      <c r="P354" s="961"/>
      <c r="Q354" s="51">
        <f t="shared" si="71"/>
        <v>1</v>
      </c>
      <c r="R354" s="488">
        <f t="shared" si="72"/>
        <v>0</v>
      </c>
      <c r="S354" s="797">
        <f t="shared" si="63"/>
        <v>0</v>
      </c>
    </row>
    <row r="355" spans="1:19">
      <c r="A355" s="963"/>
      <c r="B355" s="135"/>
      <c r="C355" s="51">
        <f t="shared" si="64"/>
        <v>1</v>
      </c>
      <c r="D355" s="961"/>
      <c r="E355" s="51">
        <f t="shared" si="65"/>
        <v>1</v>
      </c>
      <c r="F355" s="961"/>
      <c r="G355" s="51">
        <f t="shared" si="66"/>
        <v>1</v>
      </c>
      <c r="H355" s="961"/>
      <c r="I355" s="51">
        <f t="shared" si="67"/>
        <v>1</v>
      </c>
      <c r="J355" s="961"/>
      <c r="K355" s="51">
        <f t="shared" si="68"/>
        <v>1</v>
      </c>
      <c r="L355" s="961"/>
      <c r="M355" s="51">
        <f t="shared" si="69"/>
        <v>1</v>
      </c>
      <c r="N355" s="961"/>
      <c r="O355" s="51">
        <f t="shared" si="70"/>
        <v>1</v>
      </c>
      <c r="P355" s="961"/>
      <c r="Q355" s="51">
        <f t="shared" si="71"/>
        <v>1</v>
      </c>
      <c r="R355" s="488">
        <f t="shared" si="72"/>
        <v>0</v>
      </c>
      <c r="S355" s="797">
        <f t="shared" si="63"/>
        <v>0</v>
      </c>
    </row>
    <row r="356" spans="1:19">
      <c r="A356" s="963"/>
      <c r="B356" s="135"/>
      <c r="C356" s="51">
        <f t="shared" si="64"/>
        <v>1</v>
      </c>
      <c r="D356" s="961"/>
      <c r="E356" s="51">
        <f t="shared" si="65"/>
        <v>1</v>
      </c>
      <c r="F356" s="961"/>
      <c r="G356" s="51">
        <f t="shared" si="66"/>
        <v>1</v>
      </c>
      <c r="H356" s="961"/>
      <c r="I356" s="51">
        <f t="shared" si="67"/>
        <v>1</v>
      </c>
      <c r="J356" s="961"/>
      <c r="K356" s="51">
        <f t="shared" si="68"/>
        <v>1</v>
      </c>
      <c r="L356" s="961"/>
      <c r="M356" s="51">
        <f t="shared" si="69"/>
        <v>1</v>
      </c>
      <c r="N356" s="961"/>
      <c r="O356" s="51">
        <f t="shared" si="70"/>
        <v>1</v>
      </c>
      <c r="P356" s="961"/>
      <c r="Q356" s="51">
        <f t="shared" si="71"/>
        <v>1</v>
      </c>
      <c r="R356" s="488">
        <f t="shared" si="72"/>
        <v>0</v>
      </c>
      <c r="S356" s="797">
        <f t="shared" si="63"/>
        <v>0</v>
      </c>
    </row>
    <row r="357" spans="1:19">
      <c r="A357" s="963"/>
      <c r="B357" s="135"/>
      <c r="C357" s="51">
        <f t="shared" si="64"/>
        <v>1</v>
      </c>
      <c r="D357" s="961"/>
      <c r="E357" s="51">
        <f t="shared" si="65"/>
        <v>1</v>
      </c>
      <c r="F357" s="961"/>
      <c r="G357" s="51">
        <f t="shared" si="66"/>
        <v>1</v>
      </c>
      <c r="H357" s="961"/>
      <c r="I357" s="51">
        <f t="shared" si="67"/>
        <v>1</v>
      </c>
      <c r="J357" s="961"/>
      <c r="K357" s="51">
        <f t="shared" si="68"/>
        <v>1</v>
      </c>
      <c r="L357" s="961"/>
      <c r="M357" s="51">
        <f t="shared" si="69"/>
        <v>1</v>
      </c>
      <c r="N357" s="961"/>
      <c r="O357" s="51">
        <f t="shared" si="70"/>
        <v>1</v>
      </c>
      <c r="P357" s="961"/>
      <c r="Q357" s="51">
        <f t="shared" si="71"/>
        <v>1</v>
      </c>
      <c r="R357" s="488">
        <f t="shared" si="72"/>
        <v>0</v>
      </c>
      <c r="S357" s="797">
        <f t="shared" si="63"/>
        <v>0</v>
      </c>
    </row>
    <row r="358" spans="1:19">
      <c r="A358" s="963"/>
      <c r="B358" s="135"/>
      <c r="C358" s="51">
        <f t="shared" si="64"/>
        <v>1</v>
      </c>
      <c r="D358" s="961"/>
      <c r="E358" s="51">
        <f t="shared" si="65"/>
        <v>1</v>
      </c>
      <c r="F358" s="961"/>
      <c r="G358" s="51">
        <f t="shared" si="66"/>
        <v>1</v>
      </c>
      <c r="H358" s="961"/>
      <c r="I358" s="51">
        <f t="shared" si="67"/>
        <v>1</v>
      </c>
      <c r="J358" s="961"/>
      <c r="K358" s="51">
        <f t="shared" si="68"/>
        <v>1</v>
      </c>
      <c r="L358" s="961"/>
      <c r="M358" s="51">
        <f t="shared" si="69"/>
        <v>1</v>
      </c>
      <c r="N358" s="961"/>
      <c r="O358" s="51">
        <f t="shared" si="70"/>
        <v>1</v>
      </c>
      <c r="P358" s="961"/>
      <c r="Q358" s="51">
        <f t="shared" si="71"/>
        <v>1</v>
      </c>
      <c r="R358" s="488">
        <f t="shared" si="72"/>
        <v>0</v>
      </c>
      <c r="S358" s="797">
        <f t="shared" si="63"/>
        <v>0</v>
      </c>
    </row>
    <row r="359" spans="1:19">
      <c r="A359" s="963"/>
      <c r="B359" s="135"/>
      <c r="C359" s="51">
        <f t="shared" si="64"/>
        <v>1</v>
      </c>
      <c r="D359" s="961"/>
      <c r="E359" s="51">
        <f t="shared" si="65"/>
        <v>1</v>
      </c>
      <c r="F359" s="961"/>
      <c r="G359" s="51">
        <f t="shared" si="66"/>
        <v>1</v>
      </c>
      <c r="H359" s="961"/>
      <c r="I359" s="51">
        <f t="shared" si="67"/>
        <v>1</v>
      </c>
      <c r="J359" s="961"/>
      <c r="K359" s="51">
        <f t="shared" si="68"/>
        <v>1</v>
      </c>
      <c r="L359" s="961"/>
      <c r="M359" s="51">
        <f t="shared" si="69"/>
        <v>1</v>
      </c>
      <c r="N359" s="961"/>
      <c r="O359" s="51">
        <f t="shared" si="70"/>
        <v>1</v>
      </c>
      <c r="P359" s="961"/>
      <c r="Q359" s="51">
        <f t="shared" si="71"/>
        <v>1</v>
      </c>
      <c r="R359" s="488">
        <f t="shared" si="72"/>
        <v>0</v>
      </c>
      <c r="S359" s="797">
        <f t="shared" si="63"/>
        <v>0</v>
      </c>
    </row>
    <row r="360" spans="1:19">
      <c r="A360" s="963"/>
      <c r="B360" s="135"/>
      <c r="C360" s="51">
        <f t="shared" si="64"/>
        <v>1</v>
      </c>
      <c r="D360" s="961"/>
      <c r="E360" s="51">
        <f t="shared" si="65"/>
        <v>1</v>
      </c>
      <c r="F360" s="961"/>
      <c r="G360" s="51">
        <f t="shared" si="66"/>
        <v>1</v>
      </c>
      <c r="H360" s="961"/>
      <c r="I360" s="51">
        <f t="shared" si="67"/>
        <v>1</v>
      </c>
      <c r="J360" s="961"/>
      <c r="K360" s="51">
        <f t="shared" si="68"/>
        <v>1</v>
      </c>
      <c r="L360" s="961"/>
      <c r="M360" s="51">
        <f t="shared" si="69"/>
        <v>1</v>
      </c>
      <c r="N360" s="961"/>
      <c r="O360" s="51">
        <f t="shared" si="70"/>
        <v>1</v>
      </c>
      <c r="P360" s="961"/>
      <c r="Q360" s="51">
        <f t="shared" si="71"/>
        <v>1</v>
      </c>
      <c r="R360" s="488">
        <f t="shared" si="72"/>
        <v>0</v>
      </c>
      <c r="S360" s="797">
        <f t="shared" si="63"/>
        <v>0</v>
      </c>
    </row>
    <row r="361" spans="1:19">
      <c r="A361" s="963"/>
      <c r="B361" s="135"/>
      <c r="C361" s="51">
        <f t="shared" si="64"/>
        <v>1</v>
      </c>
      <c r="D361" s="961"/>
      <c r="E361" s="51">
        <f t="shared" si="65"/>
        <v>1</v>
      </c>
      <c r="F361" s="961"/>
      <c r="G361" s="51">
        <f t="shared" si="66"/>
        <v>1</v>
      </c>
      <c r="H361" s="961"/>
      <c r="I361" s="51">
        <f t="shared" si="67"/>
        <v>1</v>
      </c>
      <c r="J361" s="961"/>
      <c r="K361" s="51">
        <f t="shared" si="68"/>
        <v>1</v>
      </c>
      <c r="L361" s="961"/>
      <c r="M361" s="51">
        <f t="shared" si="69"/>
        <v>1</v>
      </c>
      <c r="N361" s="961"/>
      <c r="O361" s="51">
        <f t="shared" si="70"/>
        <v>1</v>
      </c>
      <c r="P361" s="961"/>
      <c r="Q361" s="51">
        <f t="shared" si="71"/>
        <v>1</v>
      </c>
      <c r="R361" s="488">
        <f t="shared" si="72"/>
        <v>0</v>
      </c>
      <c r="S361" s="797">
        <f t="shared" si="63"/>
        <v>0</v>
      </c>
    </row>
    <row r="362" spans="1:19">
      <c r="A362" s="963"/>
      <c r="B362" s="135"/>
      <c r="C362" s="51">
        <f t="shared" si="64"/>
        <v>1</v>
      </c>
      <c r="D362" s="961"/>
      <c r="E362" s="51">
        <f t="shared" si="65"/>
        <v>1</v>
      </c>
      <c r="F362" s="961"/>
      <c r="G362" s="51">
        <f t="shared" si="66"/>
        <v>1</v>
      </c>
      <c r="H362" s="961"/>
      <c r="I362" s="51">
        <f t="shared" si="67"/>
        <v>1</v>
      </c>
      <c r="J362" s="961"/>
      <c r="K362" s="51">
        <f t="shared" si="68"/>
        <v>1</v>
      </c>
      <c r="L362" s="961"/>
      <c r="M362" s="51">
        <f t="shared" si="69"/>
        <v>1</v>
      </c>
      <c r="N362" s="961"/>
      <c r="O362" s="51">
        <f t="shared" si="70"/>
        <v>1</v>
      </c>
      <c r="P362" s="961"/>
      <c r="Q362" s="51">
        <f t="shared" si="71"/>
        <v>1</v>
      </c>
      <c r="R362" s="488">
        <f t="shared" si="72"/>
        <v>0</v>
      </c>
      <c r="S362" s="797">
        <f t="shared" si="63"/>
        <v>0</v>
      </c>
    </row>
    <row r="363" spans="1:19">
      <c r="A363" s="963"/>
      <c r="B363" s="135"/>
      <c r="C363" s="51">
        <f t="shared" si="64"/>
        <v>1</v>
      </c>
      <c r="D363" s="961"/>
      <c r="E363" s="51">
        <f t="shared" si="65"/>
        <v>1</v>
      </c>
      <c r="F363" s="961"/>
      <c r="G363" s="51">
        <f t="shared" si="66"/>
        <v>1</v>
      </c>
      <c r="H363" s="961"/>
      <c r="I363" s="51">
        <f t="shared" si="67"/>
        <v>1</v>
      </c>
      <c r="J363" s="961"/>
      <c r="K363" s="51">
        <f t="shared" si="68"/>
        <v>1</v>
      </c>
      <c r="L363" s="961"/>
      <c r="M363" s="51">
        <f t="shared" si="69"/>
        <v>1</v>
      </c>
      <c r="N363" s="961"/>
      <c r="O363" s="51">
        <f t="shared" si="70"/>
        <v>1</v>
      </c>
      <c r="P363" s="961"/>
      <c r="Q363" s="51">
        <f t="shared" si="71"/>
        <v>1</v>
      </c>
      <c r="R363" s="488">
        <f t="shared" si="72"/>
        <v>0</v>
      </c>
      <c r="S363" s="797">
        <f t="shared" si="63"/>
        <v>0</v>
      </c>
    </row>
    <row r="364" spans="1:19">
      <c r="A364" s="963"/>
      <c r="B364" s="135"/>
      <c r="C364" s="51">
        <f t="shared" si="64"/>
        <v>1</v>
      </c>
      <c r="D364" s="961"/>
      <c r="E364" s="51">
        <f t="shared" si="65"/>
        <v>1</v>
      </c>
      <c r="F364" s="961"/>
      <c r="G364" s="51">
        <f t="shared" si="66"/>
        <v>1</v>
      </c>
      <c r="H364" s="961"/>
      <c r="I364" s="51">
        <f t="shared" si="67"/>
        <v>1</v>
      </c>
      <c r="J364" s="961"/>
      <c r="K364" s="51">
        <f t="shared" si="68"/>
        <v>1</v>
      </c>
      <c r="L364" s="961"/>
      <c r="M364" s="51">
        <f t="shared" si="69"/>
        <v>1</v>
      </c>
      <c r="N364" s="961"/>
      <c r="O364" s="51">
        <f t="shared" si="70"/>
        <v>1</v>
      </c>
      <c r="P364" s="961"/>
      <c r="Q364" s="51">
        <f t="shared" si="71"/>
        <v>1</v>
      </c>
      <c r="R364" s="488">
        <f t="shared" si="72"/>
        <v>0</v>
      </c>
      <c r="S364" s="797">
        <f t="shared" si="63"/>
        <v>0</v>
      </c>
    </row>
    <row r="365" spans="1:19">
      <c r="A365" s="963"/>
      <c r="B365" s="135"/>
      <c r="C365" s="51">
        <f t="shared" si="64"/>
        <v>1</v>
      </c>
      <c r="D365" s="961"/>
      <c r="E365" s="51">
        <f t="shared" si="65"/>
        <v>1</v>
      </c>
      <c r="F365" s="961"/>
      <c r="G365" s="51">
        <f t="shared" si="66"/>
        <v>1</v>
      </c>
      <c r="H365" s="961"/>
      <c r="I365" s="51">
        <f t="shared" si="67"/>
        <v>1</v>
      </c>
      <c r="J365" s="961"/>
      <c r="K365" s="51">
        <f t="shared" si="68"/>
        <v>1</v>
      </c>
      <c r="L365" s="961"/>
      <c r="M365" s="51">
        <f t="shared" si="69"/>
        <v>1</v>
      </c>
      <c r="N365" s="961"/>
      <c r="O365" s="51">
        <f t="shared" si="70"/>
        <v>1</v>
      </c>
      <c r="P365" s="961"/>
      <c r="Q365" s="51">
        <f t="shared" si="71"/>
        <v>1</v>
      </c>
      <c r="R365" s="488">
        <f t="shared" si="72"/>
        <v>0</v>
      </c>
      <c r="S365" s="797">
        <f t="shared" si="63"/>
        <v>0</v>
      </c>
    </row>
    <row r="366" spans="1:19">
      <c r="A366" s="963"/>
      <c r="B366" s="135"/>
      <c r="C366" s="51">
        <f t="shared" si="64"/>
        <v>1</v>
      </c>
      <c r="D366" s="961"/>
      <c r="E366" s="51">
        <f t="shared" si="65"/>
        <v>1</v>
      </c>
      <c r="F366" s="961"/>
      <c r="G366" s="51">
        <f t="shared" si="66"/>
        <v>1</v>
      </c>
      <c r="H366" s="961"/>
      <c r="I366" s="51">
        <f t="shared" si="67"/>
        <v>1</v>
      </c>
      <c r="J366" s="961"/>
      <c r="K366" s="51">
        <f t="shared" si="68"/>
        <v>1</v>
      </c>
      <c r="L366" s="961"/>
      <c r="M366" s="51">
        <f t="shared" si="69"/>
        <v>1</v>
      </c>
      <c r="N366" s="961"/>
      <c r="O366" s="51">
        <f t="shared" si="70"/>
        <v>1</v>
      </c>
      <c r="P366" s="961"/>
      <c r="Q366" s="51">
        <f t="shared" si="71"/>
        <v>1</v>
      </c>
      <c r="R366" s="488">
        <f t="shared" si="72"/>
        <v>0</v>
      </c>
      <c r="S366" s="797">
        <f t="shared" si="63"/>
        <v>0</v>
      </c>
    </row>
    <row r="367" spans="1:19">
      <c r="A367" s="963"/>
      <c r="B367" s="135"/>
      <c r="C367" s="51">
        <f t="shared" si="64"/>
        <v>1</v>
      </c>
      <c r="D367" s="961"/>
      <c r="E367" s="51">
        <f t="shared" si="65"/>
        <v>1</v>
      </c>
      <c r="F367" s="961"/>
      <c r="G367" s="51">
        <f t="shared" si="66"/>
        <v>1</v>
      </c>
      <c r="H367" s="961"/>
      <c r="I367" s="51">
        <f t="shared" si="67"/>
        <v>1</v>
      </c>
      <c r="J367" s="961"/>
      <c r="K367" s="51">
        <f t="shared" si="68"/>
        <v>1</v>
      </c>
      <c r="L367" s="961"/>
      <c r="M367" s="51">
        <f t="shared" si="69"/>
        <v>1</v>
      </c>
      <c r="N367" s="961"/>
      <c r="O367" s="51">
        <f t="shared" si="70"/>
        <v>1</v>
      </c>
      <c r="P367" s="961"/>
      <c r="Q367" s="51">
        <f t="shared" si="71"/>
        <v>1</v>
      </c>
      <c r="R367" s="488">
        <f t="shared" si="72"/>
        <v>0</v>
      </c>
      <c r="S367" s="797">
        <f t="shared" si="63"/>
        <v>0</v>
      </c>
    </row>
    <row r="368" spans="1:19">
      <c r="A368" s="963"/>
      <c r="B368" s="135"/>
      <c r="C368" s="51">
        <f t="shared" si="64"/>
        <v>1</v>
      </c>
      <c r="D368" s="961"/>
      <c r="E368" s="51">
        <f t="shared" si="65"/>
        <v>1</v>
      </c>
      <c r="F368" s="961"/>
      <c r="G368" s="51">
        <f t="shared" si="66"/>
        <v>1</v>
      </c>
      <c r="H368" s="961"/>
      <c r="I368" s="51">
        <f t="shared" si="67"/>
        <v>1</v>
      </c>
      <c r="J368" s="961"/>
      <c r="K368" s="51">
        <f t="shared" si="68"/>
        <v>1</v>
      </c>
      <c r="L368" s="961"/>
      <c r="M368" s="51">
        <f t="shared" si="69"/>
        <v>1</v>
      </c>
      <c r="N368" s="961"/>
      <c r="O368" s="51">
        <f t="shared" si="70"/>
        <v>1</v>
      </c>
      <c r="P368" s="961"/>
      <c r="Q368" s="51">
        <f t="shared" si="71"/>
        <v>1</v>
      </c>
      <c r="R368" s="488">
        <f t="shared" si="72"/>
        <v>0</v>
      </c>
      <c r="S368" s="797">
        <f t="shared" si="63"/>
        <v>0</v>
      </c>
    </row>
    <row r="369" spans="1:19">
      <c r="A369" s="963"/>
      <c r="B369" s="135"/>
      <c r="C369" s="51">
        <f t="shared" si="64"/>
        <v>1</v>
      </c>
      <c r="D369" s="961"/>
      <c r="E369" s="51">
        <f t="shared" si="65"/>
        <v>1</v>
      </c>
      <c r="F369" s="961"/>
      <c r="G369" s="51">
        <f t="shared" si="66"/>
        <v>1</v>
      </c>
      <c r="H369" s="961"/>
      <c r="I369" s="51">
        <f t="shared" si="67"/>
        <v>1</v>
      </c>
      <c r="J369" s="961"/>
      <c r="K369" s="51">
        <f t="shared" si="68"/>
        <v>1</v>
      </c>
      <c r="L369" s="961"/>
      <c r="M369" s="51">
        <f t="shared" si="69"/>
        <v>1</v>
      </c>
      <c r="N369" s="961"/>
      <c r="O369" s="51">
        <f t="shared" si="70"/>
        <v>1</v>
      </c>
      <c r="P369" s="961"/>
      <c r="Q369" s="51">
        <f t="shared" si="71"/>
        <v>1</v>
      </c>
      <c r="R369" s="488">
        <f t="shared" si="72"/>
        <v>0</v>
      </c>
      <c r="S369" s="797">
        <f t="shared" si="63"/>
        <v>0</v>
      </c>
    </row>
    <row r="370" spans="1:19">
      <c r="A370" s="963"/>
      <c r="B370" s="135"/>
      <c r="C370" s="51">
        <f t="shared" si="64"/>
        <v>1</v>
      </c>
      <c r="D370" s="961"/>
      <c r="E370" s="51">
        <f t="shared" si="65"/>
        <v>1</v>
      </c>
      <c r="F370" s="961"/>
      <c r="G370" s="51">
        <f t="shared" si="66"/>
        <v>1</v>
      </c>
      <c r="H370" s="961"/>
      <c r="I370" s="51">
        <f t="shared" si="67"/>
        <v>1</v>
      </c>
      <c r="J370" s="961"/>
      <c r="K370" s="51">
        <f t="shared" si="68"/>
        <v>1</v>
      </c>
      <c r="L370" s="961"/>
      <c r="M370" s="51">
        <f t="shared" si="69"/>
        <v>1</v>
      </c>
      <c r="N370" s="961"/>
      <c r="O370" s="51">
        <f t="shared" si="70"/>
        <v>1</v>
      </c>
      <c r="P370" s="961"/>
      <c r="Q370" s="51">
        <f t="shared" si="71"/>
        <v>1</v>
      </c>
      <c r="R370" s="488">
        <f t="shared" si="72"/>
        <v>0</v>
      </c>
      <c r="S370" s="797">
        <f t="shared" si="63"/>
        <v>0</v>
      </c>
    </row>
    <row r="371" spans="1:19">
      <c r="A371" s="963"/>
      <c r="B371" s="135"/>
      <c r="C371" s="51">
        <f t="shared" si="64"/>
        <v>1</v>
      </c>
      <c r="D371" s="961"/>
      <c r="E371" s="51">
        <f t="shared" si="65"/>
        <v>1</v>
      </c>
      <c r="F371" s="961"/>
      <c r="G371" s="51">
        <f t="shared" si="66"/>
        <v>1</v>
      </c>
      <c r="H371" s="961"/>
      <c r="I371" s="51">
        <f t="shared" si="67"/>
        <v>1</v>
      </c>
      <c r="J371" s="961"/>
      <c r="K371" s="51">
        <f t="shared" si="68"/>
        <v>1</v>
      </c>
      <c r="L371" s="961"/>
      <c r="M371" s="51">
        <f t="shared" si="69"/>
        <v>1</v>
      </c>
      <c r="N371" s="961"/>
      <c r="O371" s="51">
        <f t="shared" si="70"/>
        <v>1</v>
      </c>
      <c r="P371" s="961"/>
      <c r="Q371" s="51">
        <f t="shared" si="71"/>
        <v>1</v>
      </c>
      <c r="R371" s="488">
        <f t="shared" si="72"/>
        <v>0</v>
      </c>
      <c r="S371" s="797">
        <f t="shared" si="63"/>
        <v>0</v>
      </c>
    </row>
    <row r="372" spans="1:19">
      <c r="A372" s="963"/>
      <c r="B372" s="135"/>
      <c r="C372" s="51">
        <f t="shared" si="64"/>
        <v>1</v>
      </c>
      <c r="D372" s="961"/>
      <c r="E372" s="51">
        <f t="shared" si="65"/>
        <v>1</v>
      </c>
      <c r="F372" s="961"/>
      <c r="G372" s="51">
        <f t="shared" si="66"/>
        <v>1</v>
      </c>
      <c r="H372" s="961"/>
      <c r="I372" s="51">
        <f t="shared" si="67"/>
        <v>1</v>
      </c>
      <c r="J372" s="961"/>
      <c r="K372" s="51">
        <f t="shared" si="68"/>
        <v>1</v>
      </c>
      <c r="L372" s="961"/>
      <c r="M372" s="51">
        <f t="shared" si="69"/>
        <v>1</v>
      </c>
      <c r="N372" s="961"/>
      <c r="O372" s="51">
        <f t="shared" si="70"/>
        <v>1</v>
      </c>
      <c r="P372" s="961"/>
      <c r="Q372" s="51">
        <f t="shared" si="71"/>
        <v>1</v>
      </c>
      <c r="R372" s="488">
        <f t="shared" si="72"/>
        <v>0</v>
      </c>
      <c r="S372" s="797">
        <f t="shared" si="63"/>
        <v>0</v>
      </c>
    </row>
    <row r="373" spans="1:19">
      <c r="A373" s="963"/>
      <c r="B373" s="135"/>
      <c r="C373" s="51">
        <f t="shared" si="64"/>
        <v>1</v>
      </c>
      <c r="D373" s="961"/>
      <c r="E373" s="51">
        <f t="shared" si="65"/>
        <v>1</v>
      </c>
      <c r="F373" s="961"/>
      <c r="G373" s="51">
        <f t="shared" si="66"/>
        <v>1</v>
      </c>
      <c r="H373" s="961"/>
      <c r="I373" s="51">
        <f t="shared" si="67"/>
        <v>1</v>
      </c>
      <c r="J373" s="961"/>
      <c r="K373" s="51">
        <f t="shared" si="68"/>
        <v>1</v>
      </c>
      <c r="L373" s="961"/>
      <c r="M373" s="51">
        <f t="shared" si="69"/>
        <v>1</v>
      </c>
      <c r="N373" s="961"/>
      <c r="O373" s="51">
        <f t="shared" si="70"/>
        <v>1</v>
      </c>
      <c r="P373" s="961"/>
      <c r="Q373" s="51">
        <f t="shared" si="71"/>
        <v>1</v>
      </c>
      <c r="R373" s="488">
        <f t="shared" si="72"/>
        <v>0</v>
      </c>
      <c r="S373" s="797">
        <f t="shared" si="63"/>
        <v>0</v>
      </c>
    </row>
    <row r="374" spans="1:19">
      <c r="A374" s="963"/>
      <c r="B374" s="135"/>
      <c r="C374" s="51">
        <f t="shared" si="64"/>
        <v>1</v>
      </c>
      <c r="D374" s="961"/>
      <c r="E374" s="51">
        <f t="shared" si="65"/>
        <v>1</v>
      </c>
      <c r="F374" s="961"/>
      <c r="G374" s="51">
        <f t="shared" si="66"/>
        <v>1</v>
      </c>
      <c r="H374" s="961"/>
      <c r="I374" s="51">
        <f t="shared" si="67"/>
        <v>1</v>
      </c>
      <c r="J374" s="961"/>
      <c r="K374" s="51">
        <f t="shared" si="68"/>
        <v>1</v>
      </c>
      <c r="L374" s="961"/>
      <c r="M374" s="51">
        <f t="shared" si="69"/>
        <v>1</v>
      </c>
      <c r="N374" s="961"/>
      <c r="O374" s="51">
        <f t="shared" si="70"/>
        <v>1</v>
      </c>
      <c r="P374" s="961"/>
      <c r="Q374" s="51">
        <f t="shared" si="71"/>
        <v>1</v>
      </c>
      <c r="R374" s="488">
        <f t="shared" si="72"/>
        <v>0</v>
      </c>
      <c r="S374" s="797">
        <f t="shared" si="63"/>
        <v>0</v>
      </c>
    </row>
    <row r="375" spans="1:19">
      <c r="A375" s="963"/>
      <c r="B375" s="135"/>
      <c r="C375" s="51">
        <f t="shared" si="64"/>
        <v>1</v>
      </c>
      <c r="D375" s="961"/>
      <c r="E375" s="51">
        <f t="shared" si="65"/>
        <v>1</v>
      </c>
      <c r="F375" s="961"/>
      <c r="G375" s="51">
        <f t="shared" si="66"/>
        <v>1</v>
      </c>
      <c r="H375" s="961"/>
      <c r="I375" s="51">
        <f t="shared" si="67"/>
        <v>1</v>
      </c>
      <c r="J375" s="961"/>
      <c r="K375" s="51">
        <f t="shared" si="68"/>
        <v>1</v>
      </c>
      <c r="L375" s="961"/>
      <c r="M375" s="51">
        <f t="shared" si="69"/>
        <v>1</v>
      </c>
      <c r="N375" s="961"/>
      <c r="O375" s="51">
        <f t="shared" si="70"/>
        <v>1</v>
      </c>
      <c r="P375" s="961"/>
      <c r="Q375" s="51">
        <f t="shared" si="71"/>
        <v>1</v>
      </c>
      <c r="R375" s="488">
        <f t="shared" si="72"/>
        <v>0</v>
      </c>
      <c r="S375" s="797">
        <f t="shared" si="63"/>
        <v>0</v>
      </c>
    </row>
    <row r="376" spans="1:19">
      <c r="A376" s="963"/>
      <c r="B376" s="135"/>
      <c r="C376" s="51">
        <f t="shared" si="64"/>
        <v>1</v>
      </c>
      <c r="D376" s="961"/>
      <c r="E376" s="51">
        <f t="shared" si="65"/>
        <v>1</v>
      </c>
      <c r="F376" s="961"/>
      <c r="G376" s="51">
        <f t="shared" si="66"/>
        <v>1</v>
      </c>
      <c r="H376" s="961"/>
      <c r="I376" s="51">
        <f t="shared" si="67"/>
        <v>1</v>
      </c>
      <c r="J376" s="961"/>
      <c r="K376" s="51">
        <f t="shared" si="68"/>
        <v>1</v>
      </c>
      <c r="L376" s="961"/>
      <c r="M376" s="51">
        <f t="shared" si="69"/>
        <v>1</v>
      </c>
      <c r="N376" s="961"/>
      <c r="O376" s="51">
        <f t="shared" si="70"/>
        <v>1</v>
      </c>
      <c r="P376" s="961"/>
      <c r="Q376" s="51">
        <f t="shared" si="71"/>
        <v>1</v>
      </c>
      <c r="R376" s="488">
        <f t="shared" si="72"/>
        <v>0</v>
      </c>
      <c r="S376" s="797">
        <f t="shared" si="63"/>
        <v>0</v>
      </c>
    </row>
    <row r="377" spans="1:19">
      <c r="A377" s="963"/>
      <c r="B377" s="135"/>
      <c r="C377" s="51">
        <f t="shared" si="64"/>
        <v>1</v>
      </c>
      <c r="D377" s="961"/>
      <c r="E377" s="51">
        <f t="shared" si="65"/>
        <v>1</v>
      </c>
      <c r="F377" s="961"/>
      <c r="G377" s="51">
        <f t="shared" si="66"/>
        <v>1</v>
      </c>
      <c r="H377" s="961"/>
      <c r="I377" s="51">
        <f t="shared" si="67"/>
        <v>1</v>
      </c>
      <c r="J377" s="961"/>
      <c r="K377" s="51">
        <f t="shared" si="68"/>
        <v>1</v>
      </c>
      <c r="L377" s="961"/>
      <c r="M377" s="51">
        <f t="shared" si="69"/>
        <v>1</v>
      </c>
      <c r="N377" s="961"/>
      <c r="O377" s="51">
        <f t="shared" si="70"/>
        <v>1</v>
      </c>
      <c r="P377" s="961"/>
      <c r="Q377" s="51">
        <f t="shared" si="71"/>
        <v>1</v>
      </c>
      <c r="R377" s="488">
        <f t="shared" si="72"/>
        <v>0</v>
      </c>
      <c r="S377" s="797">
        <f t="shared" si="63"/>
        <v>0</v>
      </c>
    </row>
    <row r="378" spans="1:19">
      <c r="A378" s="963"/>
      <c r="B378" s="135"/>
      <c r="C378" s="51">
        <f t="shared" si="64"/>
        <v>1</v>
      </c>
      <c r="D378" s="961"/>
      <c r="E378" s="51">
        <f t="shared" si="65"/>
        <v>1</v>
      </c>
      <c r="F378" s="961"/>
      <c r="G378" s="51">
        <f t="shared" si="66"/>
        <v>1</v>
      </c>
      <c r="H378" s="961"/>
      <c r="I378" s="51">
        <f t="shared" si="67"/>
        <v>1</v>
      </c>
      <c r="J378" s="961"/>
      <c r="K378" s="51">
        <f t="shared" si="68"/>
        <v>1</v>
      </c>
      <c r="L378" s="961"/>
      <c r="M378" s="51">
        <f t="shared" si="69"/>
        <v>1</v>
      </c>
      <c r="N378" s="961"/>
      <c r="O378" s="51">
        <f t="shared" si="70"/>
        <v>1</v>
      </c>
      <c r="P378" s="961"/>
      <c r="Q378" s="51">
        <f t="shared" si="71"/>
        <v>1</v>
      </c>
      <c r="R378" s="488">
        <f t="shared" si="72"/>
        <v>0</v>
      </c>
      <c r="S378" s="797">
        <f t="shared" si="63"/>
        <v>0</v>
      </c>
    </row>
    <row r="379" spans="1:19">
      <c r="A379" s="963"/>
      <c r="B379" s="135"/>
      <c r="C379" s="51">
        <f t="shared" si="64"/>
        <v>1</v>
      </c>
      <c r="D379" s="961"/>
      <c r="E379" s="51">
        <f t="shared" si="65"/>
        <v>1</v>
      </c>
      <c r="F379" s="961"/>
      <c r="G379" s="51">
        <f t="shared" si="66"/>
        <v>1</v>
      </c>
      <c r="H379" s="961"/>
      <c r="I379" s="51">
        <f t="shared" si="67"/>
        <v>1</v>
      </c>
      <c r="J379" s="961"/>
      <c r="K379" s="51">
        <f t="shared" si="68"/>
        <v>1</v>
      </c>
      <c r="L379" s="961"/>
      <c r="M379" s="51">
        <f t="shared" si="69"/>
        <v>1</v>
      </c>
      <c r="N379" s="961"/>
      <c r="O379" s="51">
        <f t="shared" si="70"/>
        <v>1</v>
      </c>
      <c r="P379" s="961"/>
      <c r="Q379" s="51">
        <f t="shared" si="71"/>
        <v>1</v>
      </c>
      <c r="R379" s="488">
        <f t="shared" si="72"/>
        <v>0</v>
      </c>
      <c r="S379" s="797">
        <f t="shared" si="63"/>
        <v>0</v>
      </c>
    </row>
    <row r="380" spans="1:19">
      <c r="A380" s="963"/>
      <c r="B380" s="135"/>
      <c r="C380" s="51">
        <f t="shared" si="64"/>
        <v>1</v>
      </c>
      <c r="D380" s="961"/>
      <c r="E380" s="51">
        <f t="shared" si="65"/>
        <v>1</v>
      </c>
      <c r="F380" s="961"/>
      <c r="G380" s="51">
        <f t="shared" si="66"/>
        <v>1</v>
      </c>
      <c r="H380" s="961"/>
      <c r="I380" s="51">
        <f t="shared" si="67"/>
        <v>1</v>
      </c>
      <c r="J380" s="961"/>
      <c r="K380" s="51">
        <f t="shared" si="68"/>
        <v>1</v>
      </c>
      <c r="L380" s="961"/>
      <c r="M380" s="51">
        <f t="shared" si="69"/>
        <v>1</v>
      </c>
      <c r="N380" s="961"/>
      <c r="O380" s="51">
        <f t="shared" si="70"/>
        <v>1</v>
      </c>
      <c r="P380" s="961"/>
      <c r="Q380" s="51">
        <f t="shared" si="71"/>
        <v>1</v>
      </c>
      <c r="R380" s="488">
        <f t="shared" si="72"/>
        <v>0</v>
      </c>
      <c r="S380" s="797">
        <f t="shared" si="63"/>
        <v>0</v>
      </c>
    </row>
    <row r="381" spans="1:19">
      <c r="A381" s="963"/>
      <c r="B381" s="135"/>
      <c r="C381" s="51">
        <f t="shared" si="64"/>
        <v>1</v>
      </c>
      <c r="D381" s="961"/>
      <c r="E381" s="51">
        <f t="shared" si="65"/>
        <v>1</v>
      </c>
      <c r="F381" s="961"/>
      <c r="G381" s="51">
        <f t="shared" si="66"/>
        <v>1</v>
      </c>
      <c r="H381" s="961"/>
      <c r="I381" s="51">
        <f t="shared" si="67"/>
        <v>1</v>
      </c>
      <c r="J381" s="961"/>
      <c r="K381" s="51">
        <f t="shared" si="68"/>
        <v>1</v>
      </c>
      <c r="L381" s="961"/>
      <c r="M381" s="51">
        <f t="shared" si="69"/>
        <v>1</v>
      </c>
      <c r="N381" s="961"/>
      <c r="O381" s="51">
        <f t="shared" si="70"/>
        <v>1</v>
      </c>
      <c r="P381" s="961"/>
      <c r="Q381" s="51">
        <f t="shared" si="71"/>
        <v>1</v>
      </c>
      <c r="R381" s="488">
        <f t="shared" si="72"/>
        <v>0</v>
      </c>
      <c r="S381" s="797">
        <f t="shared" si="63"/>
        <v>0</v>
      </c>
    </row>
    <row r="382" spans="1:19">
      <c r="A382" s="963"/>
      <c r="B382" s="135"/>
      <c r="C382" s="51">
        <f t="shared" si="64"/>
        <v>1</v>
      </c>
      <c r="D382" s="961"/>
      <c r="E382" s="51">
        <f t="shared" si="65"/>
        <v>1</v>
      </c>
      <c r="F382" s="961"/>
      <c r="G382" s="51">
        <f t="shared" si="66"/>
        <v>1</v>
      </c>
      <c r="H382" s="961"/>
      <c r="I382" s="51">
        <f t="shared" si="67"/>
        <v>1</v>
      </c>
      <c r="J382" s="961"/>
      <c r="K382" s="51">
        <f t="shared" si="68"/>
        <v>1</v>
      </c>
      <c r="L382" s="961"/>
      <c r="M382" s="51">
        <f t="shared" si="69"/>
        <v>1</v>
      </c>
      <c r="N382" s="961"/>
      <c r="O382" s="51">
        <f t="shared" si="70"/>
        <v>1</v>
      </c>
      <c r="P382" s="961"/>
      <c r="Q382" s="51">
        <f t="shared" si="71"/>
        <v>1</v>
      </c>
      <c r="R382" s="488">
        <f t="shared" si="72"/>
        <v>0</v>
      </c>
      <c r="S382" s="797">
        <f t="shared" si="63"/>
        <v>0</v>
      </c>
    </row>
    <row r="383" spans="1:19">
      <c r="A383" s="963"/>
      <c r="B383" s="135"/>
      <c r="C383" s="51">
        <f t="shared" si="64"/>
        <v>1</v>
      </c>
      <c r="D383" s="961"/>
      <c r="E383" s="51">
        <f t="shared" si="65"/>
        <v>1</v>
      </c>
      <c r="F383" s="961"/>
      <c r="G383" s="51">
        <f t="shared" si="66"/>
        <v>1</v>
      </c>
      <c r="H383" s="961"/>
      <c r="I383" s="51">
        <f t="shared" si="67"/>
        <v>1</v>
      </c>
      <c r="J383" s="961"/>
      <c r="K383" s="51">
        <f t="shared" si="68"/>
        <v>1</v>
      </c>
      <c r="L383" s="961"/>
      <c r="M383" s="51">
        <f t="shared" si="69"/>
        <v>1</v>
      </c>
      <c r="N383" s="961"/>
      <c r="O383" s="51">
        <f t="shared" si="70"/>
        <v>1</v>
      </c>
      <c r="P383" s="961"/>
      <c r="Q383" s="51">
        <f t="shared" si="71"/>
        <v>1</v>
      </c>
      <c r="R383" s="488">
        <f t="shared" si="72"/>
        <v>0</v>
      </c>
      <c r="S383" s="797">
        <f t="shared" si="63"/>
        <v>0</v>
      </c>
    </row>
    <row r="384" spans="1:19">
      <c r="A384" s="963"/>
      <c r="B384" s="135"/>
      <c r="C384" s="51">
        <f t="shared" si="64"/>
        <v>1</v>
      </c>
      <c r="D384" s="961"/>
      <c r="E384" s="51">
        <f t="shared" si="65"/>
        <v>1</v>
      </c>
      <c r="F384" s="961"/>
      <c r="G384" s="51">
        <f t="shared" si="66"/>
        <v>1</v>
      </c>
      <c r="H384" s="961"/>
      <c r="I384" s="51">
        <f t="shared" si="67"/>
        <v>1</v>
      </c>
      <c r="J384" s="961"/>
      <c r="K384" s="51">
        <f t="shared" si="68"/>
        <v>1</v>
      </c>
      <c r="L384" s="961"/>
      <c r="M384" s="51">
        <f t="shared" si="69"/>
        <v>1</v>
      </c>
      <c r="N384" s="961"/>
      <c r="O384" s="51">
        <f t="shared" si="70"/>
        <v>1</v>
      </c>
      <c r="P384" s="961"/>
      <c r="Q384" s="51">
        <f t="shared" si="71"/>
        <v>1</v>
      </c>
      <c r="R384" s="488">
        <f t="shared" si="72"/>
        <v>0</v>
      </c>
      <c r="S384" s="797">
        <f t="shared" si="63"/>
        <v>0</v>
      </c>
    </row>
    <row r="385" spans="1:19">
      <c r="A385" s="963"/>
      <c r="B385" s="135"/>
      <c r="C385" s="51">
        <f t="shared" si="64"/>
        <v>1</v>
      </c>
      <c r="D385" s="961"/>
      <c r="E385" s="51">
        <f t="shared" si="65"/>
        <v>1</v>
      </c>
      <c r="F385" s="961"/>
      <c r="G385" s="51">
        <f t="shared" si="66"/>
        <v>1</v>
      </c>
      <c r="H385" s="961"/>
      <c r="I385" s="51">
        <f t="shared" si="67"/>
        <v>1</v>
      </c>
      <c r="J385" s="961"/>
      <c r="K385" s="51">
        <f t="shared" si="68"/>
        <v>1</v>
      </c>
      <c r="L385" s="961"/>
      <c r="M385" s="51">
        <f t="shared" si="69"/>
        <v>1</v>
      </c>
      <c r="N385" s="961"/>
      <c r="O385" s="51">
        <f t="shared" si="70"/>
        <v>1</v>
      </c>
      <c r="P385" s="961"/>
      <c r="Q385" s="51">
        <f t="shared" si="71"/>
        <v>1</v>
      </c>
      <c r="R385" s="488">
        <f t="shared" si="72"/>
        <v>0</v>
      </c>
      <c r="S385" s="797">
        <f t="shared" ref="S385:S422" si="73">ROUND(R385*B385/10000,0)</f>
        <v>0</v>
      </c>
    </row>
    <row r="386" spans="1:19">
      <c r="A386" s="963"/>
      <c r="B386" s="135"/>
      <c r="C386" s="51">
        <f t="shared" si="64"/>
        <v>1</v>
      </c>
      <c r="D386" s="961"/>
      <c r="E386" s="51">
        <f t="shared" si="65"/>
        <v>1</v>
      </c>
      <c r="F386" s="961"/>
      <c r="G386" s="51">
        <f t="shared" si="66"/>
        <v>1</v>
      </c>
      <c r="H386" s="961"/>
      <c r="I386" s="51">
        <f t="shared" si="67"/>
        <v>1</v>
      </c>
      <c r="J386" s="961"/>
      <c r="K386" s="51">
        <f t="shared" si="68"/>
        <v>1</v>
      </c>
      <c r="L386" s="961"/>
      <c r="M386" s="51">
        <f t="shared" si="69"/>
        <v>1</v>
      </c>
      <c r="N386" s="961"/>
      <c r="O386" s="51">
        <f t="shared" si="70"/>
        <v>1</v>
      </c>
      <c r="P386" s="961"/>
      <c r="Q386" s="51">
        <f t="shared" si="71"/>
        <v>1</v>
      </c>
      <c r="R386" s="488">
        <f t="shared" si="72"/>
        <v>0</v>
      </c>
      <c r="S386" s="797">
        <f t="shared" si="73"/>
        <v>0</v>
      </c>
    </row>
    <row r="387" spans="1:19">
      <c r="A387" s="963"/>
      <c r="B387" s="135"/>
      <c r="C387" s="51">
        <f t="shared" si="64"/>
        <v>1</v>
      </c>
      <c r="D387" s="961"/>
      <c r="E387" s="51">
        <f t="shared" si="65"/>
        <v>1</v>
      </c>
      <c r="F387" s="961"/>
      <c r="G387" s="51">
        <f t="shared" si="66"/>
        <v>1</v>
      </c>
      <c r="H387" s="961"/>
      <c r="I387" s="51">
        <f t="shared" si="67"/>
        <v>1</v>
      </c>
      <c r="J387" s="961"/>
      <c r="K387" s="51">
        <f t="shared" si="68"/>
        <v>1</v>
      </c>
      <c r="L387" s="961"/>
      <c r="M387" s="51">
        <f t="shared" si="69"/>
        <v>1</v>
      </c>
      <c r="N387" s="961"/>
      <c r="O387" s="51">
        <f t="shared" si="70"/>
        <v>1</v>
      </c>
      <c r="P387" s="961"/>
      <c r="Q387" s="51">
        <f t="shared" si="71"/>
        <v>1</v>
      </c>
      <c r="R387" s="488">
        <f t="shared" si="72"/>
        <v>0</v>
      </c>
      <c r="S387" s="797">
        <f t="shared" si="73"/>
        <v>0</v>
      </c>
    </row>
    <row r="388" spans="1:19">
      <c r="A388" s="963"/>
      <c r="B388" s="135"/>
      <c r="C388" s="51">
        <f t="shared" si="64"/>
        <v>1</v>
      </c>
      <c r="D388" s="961"/>
      <c r="E388" s="51">
        <f t="shared" si="65"/>
        <v>1</v>
      </c>
      <c r="F388" s="961"/>
      <c r="G388" s="51">
        <f t="shared" si="66"/>
        <v>1</v>
      </c>
      <c r="H388" s="961"/>
      <c r="I388" s="51">
        <f t="shared" si="67"/>
        <v>1</v>
      </c>
      <c r="J388" s="961"/>
      <c r="K388" s="51">
        <f t="shared" si="68"/>
        <v>1</v>
      </c>
      <c r="L388" s="961"/>
      <c r="M388" s="51">
        <f t="shared" si="69"/>
        <v>1</v>
      </c>
      <c r="N388" s="961"/>
      <c r="O388" s="51">
        <f t="shared" si="70"/>
        <v>1</v>
      </c>
      <c r="P388" s="961"/>
      <c r="Q388" s="51">
        <f t="shared" si="71"/>
        <v>1</v>
      </c>
      <c r="R388" s="488">
        <f t="shared" si="72"/>
        <v>0</v>
      </c>
      <c r="S388" s="797">
        <f t="shared" si="73"/>
        <v>0</v>
      </c>
    </row>
    <row r="389" spans="1:19">
      <c r="A389" s="963"/>
      <c r="B389" s="135"/>
      <c r="C389" s="51">
        <f t="shared" si="64"/>
        <v>1</v>
      </c>
      <c r="D389" s="961"/>
      <c r="E389" s="51">
        <f t="shared" si="65"/>
        <v>1</v>
      </c>
      <c r="F389" s="961"/>
      <c r="G389" s="51">
        <f t="shared" si="66"/>
        <v>1</v>
      </c>
      <c r="H389" s="961"/>
      <c r="I389" s="51">
        <f t="shared" si="67"/>
        <v>1</v>
      </c>
      <c r="J389" s="961"/>
      <c r="K389" s="51">
        <f t="shared" si="68"/>
        <v>1</v>
      </c>
      <c r="L389" s="961"/>
      <c r="M389" s="51">
        <f t="shared" si="69"/>
        <v>1</v>
      </c>
      <c r="N389" s="961"/>
      <c r="O389" s="51">
        <f t="shared" si="70"/>
        <v>1</v>
      </c>
      <c r="P389" s="961"/>
      <c r="Q389" s="51">
        <f t="shared" si="71"/>
        <v>1</v>
      </c>
      <c r="R389" s="488">
        <f t="shared" si="72"/>
        <v>0</v>
      </c>
      <c r="S389" s="797">
        <f t="shared" si="73"/>
        <v>0</v>
      </c>
    </row>
    <row r="390" spans="1:19">
      <c r="A390" s="963"/>
      <c r="B390" s="135"/>
      <c r="C390" s="51">
        <f t="shared" si="64"/>
        <v>1</v>
      </c>
      <c r="D390" s="961"/>
      <c r="E390" s="51">
        <f t="shared" si="65"/>
        <v>1</v>
      </c>
      <c r="F390" s="961"/>
      <c r="G390" s="51">
        <f t="shared" si="66"/>
        <v>1</v>
      </c>
      <c r="H390" s="961"/>
      <c r="I390" s="51">
        <f t="shared" si="67"/>
        <v>1</v>
      </c>
      <c r="J390" s="961"/>
      <c r="K390" s="51">
        <f t="shared" si="68"/>
        <v>1</v>
      </c>
      <c r="L390" s="961"/>
      <c r="M390" s="51">
        <f t="shared" si="69"/>
        <v>1</v>
      </c>
      <c r="N390" s="961"/>
      <c r="O390" s="51">
        <f t="shared" si="70"/>
        <v>1</v>
      </c>
      <c r="P390" s="961"/>
      <c r="Q390" s="51">
        <f t="shared" si="71"/>
        <v>1</v>
      </c>
      <c r="R390" s="488">
        <f t="shared" si="72"/>
        <v>0</v>
      </c>
      <c r="S390" s="797">
        <f t="shared" si="73"/>
        <v>0</v>
      </c>
    </row>
    <row r="391" spans="1:19">
      <c r="A391" s="963"/>
      <c r="B391" s="135"/>
      <c r="C391" s="51">
        <f t="shared" si="64"/>
        <v>1</v>
      </c>
      <c r="D391" s="961"/>
      <c r="E391" s="51">
        <f t="shared" si="65"/>
        <v>1</v>
      </c>
      <c r="F391" s="961"/>
      <c r="G391" s="51">
        <f t="shared" si="66"/>
        <v>1</v>
      </c>
      <c r="H391" s="961"/>
      <c r="I391" s="51">
        <f t="shared" si="67"/>
        <v>1</v>
      </c>
      <c r="J391" s="961"/>
      <c r="K391" s="51">
        <f t="shared" si="68"/>
        <v>1</v>
      </c>
      <c r="L391" s="961"/>
      <c r="M391" s="51">
        <f t="shared" si="69"/>
        <v>1</v>
      </c>
      <c r="N391" s="961"/>
      <c r="O391" s="51">
        <f t="shared" si="70"/>
        <v>1</v>
      </c>
      <c r="P391" s="961"/>
      <c r="Q391" s="51">
        <f t="shared" si="71"/>
        <v>1</v>
      </c>
      <c r="R391" s="488">
        <f t="shared" si="72"/>
        <v>0</v>
      </c>
      <c r="S391" s="797">
        <f t="shared" si="73"/>
        <v>0</v>
      </c>
    </row>
    <row r="392" spans="1:19">
      <c r="A392" s="963"/>
      <c r="B392" s="135"/>
      <c r="C392" s="51">
        <f t="shared" si="64"/>
        <v>1</v>
      </c>
      <c r="D392" s="961"/>
      <c r="E392" s="51">
        <f t="shared" si="65"/>
        <v>1</v>
      </c>
      <c r="F392" s="961"/>
      <c r="G392" s="51">
        <f t="shared" si="66"/>
        <v>1</v>
      </c>
      <c r="H392" s="961"/>
      <c r="I392" s="51">
        <f t="shared" si="67"/>
        <v>1</v>
      </c>
      <c r="J392" s="961"/>
      <c r="K392" s="51">
        <f t="shared" si="68"/>
        <v>1</v>
      </c>
      <c r="L392" s="961"/>
      <c r="M392" s="51">
        <f t="shared" si="69"/>
        <v>1</v>
      </c>
      <c r="N392" s="961"/>
      <c r="O392" s="51">
        <f t="shared" si="70"/>
        <v>1</v>
      </c>
      <c r="P392" s="961"/>
      <c r="Q392" s="51">
        <f t="shared" si="71"/>
        <v>1</v>
      </c>
      <c r="R392" s="488">
        <f t="shared" si="72"/>
        <v>0</v>
      </c>
      <c r="S392" s="797">
        <f t="shared" si="73"/>
        <v>0</v>
      </c>
    </row>
    <row r="393" spans="1:19">
      <c r="A393" s="963"/>
      <c r="B393" s="135"/>
      <c r="C393" s="51">
        <f t="shared" si="64"/>
        <v>1</v>
      </c>
      <c r="D393" s="961"/>
      <c r="E393" s="51">
        <f t="shared" si="65"/>
        <v>1</v>
      </c>
      <c r="F393" s="961"/>
      <c r="G393" s="51">
        <f t="shared" si="66"/>
        <v>1</v>
      </c>
      <c r="H393" s="961"/>
      <c r="I393" s="51">
        <f t="shared" si="67"/>
        <v>1</v>
      </c>
      <c r="J393" s="961"/>
      <c r="K393" s="51">
        <f t="shared" si="68"/>
        <v>1</v>
      </c>
      <c r="L393" s="961"/>
      <c r="M393" s="51">
        <f t="shared" si="69"/>
        <v>1</v>
      </c>
      <c r="N393" s="961"/>
      <c r="O393" s="51">
        <f t="shared" si="70"/>
        <v>1</v>
      </c>
      <c r="P393" s="961"/>
      <c r="Q393" s="51">
        <f t="shared" si="71"/>
        <v>1</v>
      </c>
      <c r="R393" s="488">
        <f t="shared" si="72"/>
        <v>0</v>
      </c>
      <c r="S393" s="797">
        <f t="shared" si="73"/>
        <v>0</v>
      </c>
    </row>
    <row r="394" spans="1:19">
      <c r="A394" s="963"/>
      <c r="B394" s="135"/>
      <c r="C394" s="51">
        <f t="shared" si="64"/>
        <v>1</v>
      </c>
      <c r="D394" s="961"/>
      <c r="E394" s="51">
        <f t="shared" si="65"/>
        <v>1</v>
      </c>
      <c r="F394" s="961"/>
      <c r="G394" s="51">
        <f t="shared" si="66"/>
        <v>1</v>
      </c>
      <c r="H394" s="961"/>
      <c r="I394" s="51">
        <f t="shared" si="67"/>
        <v>1</v>
      </c>
      <c r="J394" s="961"/>
      <c r="K394" s="51">
        <f t="shared" si="68"/>
        <v>1</v>
      </c>
      <c r="L394" s="961"/>
      <c r="M394" s="51">
        <f t="shared" si="69"/>
        <v>1</v>
      </c>
      <c r="N394" s="961"/>
      <c r="O394" s="51">
        <f t="shared" si="70"/>
        <v>1</v>
      </c>
      <c r="P394" s="961"/>
      <c r="Q394" s="51">
        <f t="shared" si="71"/>
        <v>1</v>
      </c>
      <c r="R394" s="488">
        <f t="shared" si="72"/>
        <v>0</v>
      </c>
      <c r="S394" s="797">
        <f t="shared" si="73"/>
        <v>0</v>
      </c>
    </row>
    <row r="395" spans="1:19">
      <c r="A395" s="963"/>
      <c r="B395" s="135"/>
      <c r="C395" s="51">
        <f t="shared" si="64"/>
        <v>1</v>
      </c>
      <c r="D395" s="961"/>
      <c r="E395" s="51">
        <f t="shared" si="65"/>
        <v>1</v>
      </c>
      <c r="F395" s="961"/>
      <c r="G395" s="51">
        <f t="shared" si="66"/>
        <v>1</v>
      </c>
      <c r="H395" s="961"/>
      <c r="I395" s="51">
        <f t="shared" si="67"/>
        <v>1</v>
      </c>
      <c r="J395" s="961"/>
      <c r="K395" s="51">
        <f t="shared" si="68"/>
        <v>1</v>
      </c>
      <c r="L395" s="961"/>
      <c r="M395" s="51">
        <f t="shared" si="69"/>
        <v>1</v>
      </c>
      <c r="N395" s="961"/>
      <c r="O395" s="51">
        <f t="shared" si="70"/>
        <v>1</v>
      </c>
      <c r="P395" s="961"/>
      <c r="Q395" s="51">
        <f t="shared" si="71"/>
        <v>1</v>
      </c>
      <c r="R395" s="488">
        <f t="shared" si="72"/>
        <v>0</v>
      </c>
      <c r="S395" s="797">
        <f t="shared" si="73"/>
        <v>0</v>
      </c>
    </row>
    <row r="396" spans="1:19">
      <c r="A396" s="963"/>
      <c r="B396" s="135"/>
      <c r="C396" s="51">
        <f t="shared" si="64"/>
        <v>1</v>
      </c>
      <c r="D396" s="961"/>
      <c r="E396" s="51">
        <f t="shared" si="65"/>
        <v>1</v>
      </c>
      <c r="F396" s="961"/>
      <c r="G396" s="51">
        <f t="shared" si="66"/>
        <v>1</v>
      </c>
      <c r="H396" s="961"/>
      <c r="I396" s="51">
        <f t="shared" si="67"/>
        <v>1</v>
      </c>
      <c r="J396" s="961"/>
      <c r="K396" s="51">
        <f t="shared" si="68"/>
        <v>1</v>
      </c>
      <c r="L396" s="961"/>
      <c r="M396" s="51">
        <f t="shared" si="69"/>
        <v>1</v>
      </c>
      <c r="N396" s="961"/>
      <c r="O396" s="51">
        <f t="shared" si="70"/>
        <v>1</v>
      </c>
      <c r="P396" s="961"/>
      <c r="Q396" s="51">
        <f t="shared" si="71"/>
        <v>1</v>
      </c>
      <c r="R396" s="488">
        <f t="shared" si="72"/>
        <v>0</v>
      </c>
      <c r="S396" s="797">
        <f t="shared" si="73"/>
        <v>0</v>
      </c>
    </row>
    <row r="397" spans="1:19">
      <c r="A397" s="963"/>
      <c r="B397" s="135"/>
      <c r="C397" s="51">
        <f t="shared" si="64"/>
        <v>1</v>
      </c>
      <c r="D397" s="961"/>
      <c r="E397" s="51">
        <f t="shared" si="65"/>
        <v>1</v>
      </c>
      <c r="F397" s="961"/>
      <c r="G397" s="51">
        <f t="shared" si="66"/>
        <v>1</v>
      </c>
      <c r="H397" s="961"/>
      <c r="I397" s="51">
        <f t="shared" si="67"/>
        <v>1</v>
      </c>
      <c r="J397" s="961"/>
      <c r="K397" s="51">
        <f t="shared" si="68"/>
        <v>1</v>
      </c>
      <c r="L397" s="961"/>
      <c r="M397" s="51">
        <f t="shared" si="69"/>
        <v>1</v>
      </c>
      <c r="N397" s="961"/>
      <c r="O397" s="51">
        <f t="shared" si="70"/>
        <v>1</v>
      </c>
      <c r="P397" s="961"/>
      <c r="Q397" s="51">
        <f t="shared" si="71"/>
        <v>1</v>
      </c>
      <c r="R397" s="488">
        <f t="shared" si="72"/>
        <v>0</v>
      </c>
      <c r="S397" s="797">
        <f t="shared" si="73"/>
        <v>0</v>
      </c>
    </row>
    <row r="398" spans="1:19">
      <c r="A398" s="963"/>
      <c r="B398" s="135"/>
      <c r="C398" s="51">
        <f t="shared" si="64"/>
        <v>1</v>
      </c>
      <c r="D398" s="961"/>
      <c r="E398" s="51">
        <f t="shared" si="65"/>
        <v>1</v>
      </c>
      <c r="F398" s="961"/>
      <c r="G398" s="51">
        <f t="shared" si="66"/>
        <v>1</v>
      </c>
      <c r="H398" s="961"/>
      <c r="I398" s="51">
        <f t="shared" si="67"/>
        <v>1</v>
      </c>
      <c r="J398" s="961"/>
      <c r="K398" s="51">
        <f t="shared" si="68"/>
        <v>1</v>
      </c>
      <c r="L398" s="961"/>
      <c r="M398" s="51">
        <f t="shared" si="69"/>
        <v>1</v>
      </c>
      <c r="N398" s="961"/>
      <c r="O398" s="51">
        <f t="shared" si="70"/>
        <v>1</v>
      </c>
      <c r="P398" s="961"/>
      <c r="Q398" s="51">
        <f t="shared" si="71"/>
        <v>1</v>
      </c>
      <c r="R398" s="488">
        <f t="shared" si="72"/>
        <v>0</v>
      </c>
      <c r="S398" s="797">
        <f t="shared" si="73"/>
        <v>0</v>
      </c>
    </row>
    <row r="399" spans="1:19">
      <c r="A399" s="963"/>
      <c r="B399" s="135"/>
      <c r="C399" s="51">
        <f t="shared" si="64"/>
        <v>1</v>
      </c>
      <c r="D399" s="961"/>
      <c r="E399" s="51">
        <f t="shared" si="65"/>
        <v>1</v>
      </c>
      <c r="F399" s="961"/>
      <c r="G399" s="51">
        <f t="shared" si="66"/>
        <v>1</v>
      </c>
      <c r="H399" s="961"/>
      <c r="I399" s="51">
        <f t="shared" si="67"/>
        <v>1</v>
      </c>
      <c r="J399" s="961"/>
      <c r="K399" s="51">
        <f t="shared" si="68"/>
        <v>1</v>
      </c>
      <c r="L399" s="961"/>
      <c r="M399" s="51">
        <f t="shared" si="69"/>
        <v>1</v>
      </c>
      <c r="N399" s="961"/>
      <c r="O399" s="51">
        <f t="shared" si="70"/>
        <v>1</v>
      </c>
      <c r="P399" s="961"/>
      <c r="Q399" s="51">
        <f t="shared" si="71"/>
        <v>1</v>
      </c>
      <c r="R399" s="488">
        <f t="shared" si="72"/>
        <v>0</v>
      </c>
      <c r="S399" s="797">
        <f t="shared" si="73"/>
        <v>0</v>
      </c>
    </row>
    <row r="400" spans="1:19">
      <c r="A400" s="963"/>
      <c r="B400" s="135"/>
      <c r="C400" s="51">
        <f t="shared" si="64"/>
        <v>1</v>
      </c>
      <c r="D400" s="961"/>
      <c r="E400" s="51">
        <f t="shared" si="65"/>
        <v>1</v>
      </c>
      <c r="F400" s="961"/>
      <c r="G400" s="51">
        <f t="shared" si="66"/>
        <v>1</v>
      </c>
      <c r="H400" s="961"/>
      <c r="I400" s="51">
        <f t="shared" si="67"/>
        <v>1</v>
      </c>
      <c r="J400" s="961"/>
      <c r="K400" s="51">
        <f t="shared" si="68"/>
        <v>1</v>
      </c>
      <c r="L400" s="961"/>
      <c r="M400" s="51">
        <f t="shared" si="69"/>
        <v>1</v>
      </c>
      <c r="N400" s="961"/>
      <c r="O400" s="51">
        <f t="shared" si="70"/>
        <v>1</v>
      </c>
      <c r="P400" s="961"/>
      <c r="Q400" s="51">
        <f t="shared" si="71"/>
        <v>1</v>
      </c>
      <c r="R400" s="488">
        <f t="shared" si="72"/>
        <v>0</v>
      </c>
      <c r="S400" s="797">
        <f t="shared" si="73"/>
        <v>0</v>
      </c>
    </row>
    <row r="401" spans="1:19">
      <c r="A401" s="963"/>
      <c r="B401" s="135"/>
      <c r="C401" s="51">
        <f t="shared" si="64"/>
        <v>1</v>
      </c>
      <c r="D401" s="961"/>
      <c r="E401" s="51">
        <f t="shared" si="65"/>
        <v>1</v>
      </c>
      <c r="F401" s="961"/>
      <c r="G401" s="51">
        <f t="shared" si="66"/>
        <v>1</v>
      </c>
      <c r="H401" s="961"/>
      <c r="I401" s="51">
        <f t="shared" si="67"/>
        <v>1</v>
      </c>
      <c r="J401" s="961"/>
      <c r="K401" s="51">
        <f t="shared" si="68"/>
        <v>1</v>
      </c>
      <c r="L401" s="961"/>
      <c r="M401" s="51">
        <f t="shared" si="69"/>
        <v>1</v>
      </c>
      <c r="N401" s="961"/>
      <c r="O401" s="51">
        <f t="shared" si="70"/>
        <v>1</v>
      </c>
      <c r="P401" s="961"/>
      <c r="Q401" s="51">
        <f t="shared" si="71"/>
        <v>1</v>
      </c>
      <c r="R401" s="488">
        <f t="shared" si="72"/>
        <v>0</v>
      </c>
      <c r="S401" s="797">
        <f t="shared" si="73"/>
        <v>0</v>
      </c>
    </row>
    <row r="402" spans="1:19">
      <c r="A402" s="963"/>
      <c r="B402" s="135"/>
      <c r="C402" s="51">
        <f t="shared" si="64"/>
        <v>1</v>
      </c>
      <c r="D402" s="961"/>
      <c r="E402" s="51">
        <f t="shared" si="65"/>
        <v>1</v>
      </c>
      <c r="F402" s="961"/>
      <c r="G402" s="51">
        <f t="shared" si="66"/>
        <v>1</v>
      </c>
      <c r="H402" s="961"/>
      <c r="I402" s="51">
        <f t="shared" si="67"/>
        <v>1</v>
      </c>
      <c r="J402" s="961"/>
      <c r="K402" s="51">
        <f t="shared" si="68"/>
        <v>1</v>
      </c>
      <c r="L402" s="961"/>
      <c r="M402" s="51">
        <f t="shared" si="69"/>
        <v>1</v>
      </c>
      <c r="N402" s="961"/>
      <c r="O402" s="51">
        <f t="shared" si="70"/>
        <v>1</v>
      </c>
      <c r="P402" s="961"/>
      <c r="Q402" s="51">
        <f t="shared" si="71"/>
        <v>1</v>
      </c>
      <c r="R402" s="488">
        <f t="shared" si="72"/>
        <v>0</v>
      </c>
      <c r="S402" s="797">
        <f t="shared" si="73"/>
        <v>0</v>
      </c>
    </row>
    <row r="403" spans="1:19">
      <c r="A403" s="963"/>
      <c r="B403" s="135"/>
      <c r="C403" s="51">
        <f t="shared" si="64"/>
        <v>1</v>
      </c>
      <c r="D403" s="961"/>
      <c r="E403" s="51">
        <f t="shared" si="65"/>
        <v>1</v>
      </c>
      <c r="F403" s="961"/>
      <c r="G403" s="51">
        <f t="shared" si="66"/>
        <v>1</v>
      </c>
      <c r="H403" s="961"/>
      <c r="I403" s="51">
        <f t="shared" si="67"/>
        <v>1</v>
      </c>
      <c r="J403" s="961"/>
      <c r="K403" s="51">
        <f t="shared" si="68"/>
        <v>1</v>
      </c>
      <c r="L403" s="961"/>
      <c r="M403" s="51">
        <f t="shared" si="69"/>
        <v>1</v>
      </c>
      <c r="N403" s="961"/>
      <c r="O403" s="51">
        <f t="shared" si="70"/>
        <v>1</v>
      </c>
      <c r="P403" s="961"/>
      <c r="Q403" s="51">
        <f t="shared" si="71"/>
        <v>1</v>
      </c>
      <c r="R403" s="488">
        <f t="shared" si="72"/>
        <v>0</v>
      </c>
      <c r="S403" s="797">
        <f t="shared" si="73"/>
        <v>0</v>
      </c>
    </row>
    <row r="404" spans="1:19">
      <c r="A404" s="963"/>
      <c r="B404" s="135"/>
      <c r="C404" s="51">
        <f t="shared" si="64"/>
        <v>1</v>
      </c>
      <c r="D404" s="961"/>
      <c r="E404" s="51">
        <f t="shared" si="65"/>
        <v>1</v>
      </c>
      <c r="F404" s="961"/>
      <c r="G404" s="51">
        <f t="shared" si="66"/>
        <v>1</v>
      </c>
      <c r="H404" s="961"/>
      <c r="I404" s="51">
        <f t="shared" si="67"/>
        <v>1</v>
      </c>
      <c r="J404" s="961"/>
      <c r="K404" s="51">
        <f t="shared" si="68"/>
        <v>1</v>
      </c>
      <c r="L404" s="961"/>
      <c r="M404" s="51">
        <f t="shared" si="69"/>
        <v>1</v>
      </c>
      <c r="N404" s="961"/>
      <c r="O404" s="51">
        <f t="shared" si="70"/>
        <v>1</v>
      </c>
      <c r="P404" s="961"/>
      <c r="Q404" s="51">
        <f t="shared" si="71"/>
        <v>1</v>
      </c>
      <c r="R404" s="488">
        <f t="shared" si="72"/>
        <v>0</v>
      </c>
      <c r="S404" s="797">
        <f t="shared" si="73"/>
        <v>0</v>
      </c>
    </row>
    <row r="405" spans="1:19">
      <c r="A405" s="963"/>
      <c r="B405" s="135"/>
      <c r="C405" s="51">
        <f t="shared" si="64"/>
        <v>1</v>
      </c>
      <c r="D405" s="961"/>
      <c r="E405" s="51">
        <f t="shared" si="65"/>
        <v>1</v>
      </c>
      <c r="F405" s="961"/>
      <c r="G405" s="51">
        <f t="shared" si="66"/>
        <v>1</v>
      </c>
      <c r="H405" s="961"/>
      <c r="I405" s="51">
        <f t="shared" si="67"/>
        <v>1</v>
      </c>
      <c r="J405" s="961"/>
      <c r="K405" s="51">
        <f t="shared" si="68"/>
        <v>1</v>
      </c>
      <c r="L405" s="961"/>
      <c r="M405" s="51">
        <f t="shared" si="69"/>
        <v>1</v>
      </c>
      <c r="N405" s="961"/>
      <c r="O405" s="51">
        <f t="shared" si="70"/>
        <v>1</v>
      </c>
      <c r="P405" s="961"/>
      <c r="Q405" s="51">
        <f t="shared" si="71"/>
        <v>1</v>
      </c>
      <c r="R405" s="488">
        <f t="shared" si="72"/>
        <v>0</v>
      </c>
      <c r="S405" s="797">
        <f t="shared" si="73"/>
        <v>0</v>
      </c>
    </row>
    <row r="406" spans="1:19">
      <c r="A406" s="963"/>
      <c r="B406" s="135"/>
      <c r="C406" s="51">
        <f t="shared" si="64"/>
        <v>1</v>
      </c>
      <c r="D406" s="961"/>
      <c r="E406" s="51">
        <f t="shared" si="65"/>
        <v>1</v>
      </c>
      <c r="F406" s="961"/>
      <c r="G406" s="51">
        <f t="shared" si="66"/>
        <v>1</v>
      </c>
      <c r="H406" s="961"/>
      <c r="I406" s="51">
        <f t="shared" si="67"/>
        <v>1</v>
      </c>
      <c r="J406" s="961"/>
      <c r="K406" s="51">
        <f t="shared" si="68"/>
        <v>1</v>
      </c>
      <c r="L406" s="961"/>
      <c r="M406" s="51">
        <f t="shared" si="69"/>
        <v>1</v>
      </c>
      <c r="N406" s="961"/>
      <c r="O406" s="51">
        <f t="shared" si="70"/>
        <v>1</v>
      </c>
      <c r="P406" s="961"/>
      <c r="Q406" s="51">
        <f t="shared" si="71"/>
        <v>1</v>
      </c>
      <c r="R406" s="488">
        <f t="shared" si="72"/>
        <v>0</v>
      </c>
      <c r="S406" s="797">
        <f t="shared" si="73"/>
        <v>0</v>
      </c>
    </row>
    <row r="407" spans="1:19">
      <c r="A407" s="963"/>
      <c r="B407" s="135"/>
      <c r="C407" s="51">
        <f t="shared" si="64"/>
        <v>1</v>
      </c>
      <c r="D407" s="961"/>
      <c r="E407" s="51">
        <f t="shared" si="65"/>
        <v>1</v>
      </c>
      <c r="F407" s="961"/>
      <c r="G407" s="51">
        <f t="shared" si="66"/>
        <v>1</v>
      </c>
      <c r="H407" s="961"/>
      <c r="I407" s="51">
        <f t="shared" si="67"/>
        <v>1</v>
      </c>
      <c r="J407" s="961"/>
      <c r="K407" s="51">
        <f t="shared" si="68"/>
        <v>1</v>
      </c>
      <c r="L407" s="961"/>
      <c r="M407" s="51">
        <f t="shared" si="69"/>
        <v>1</v>
      </c>
      <c r="N407" s="961"/>
      <c r="O407" s="51">
        <f t="shared" si="70"/>
        <v>1</v>
      </c>
      <c r="P407" s="961"/>
      <c r="Q407" s="51">
        <f t="shared" si="71"/>
        <v>1</v>
      </c>
      <c r="R407" s="488">
        <f t="shared" si="72"/>
        <v>0</v>
      </c>
      <c r="S407" s="797">
        <f t="shared" si="73"/>
        <v>0</v>
      </c>
    </row>
    <row r="408" spans="1:19">
      <c r="A408" s="963"/>
      <c r="B408" s="135"/>
      <c r="C408" s="51">
        <f t="shared" si="64"/>
        <v>1</v>
      </c>
      <c r="D408" s="961"/>
      <c r="E408" s="51">
        <f t="shared" si="65"/>
        <v>1</v>
      </c>
      <c r="F408" s="961"/>
      <c r="G408" s="51">
        <f t="shared" si="66"/>
        <v>1</v>
      </c>
      <c r="H408" s="961"/>
      <c r="I408" s="51">
        <f t="shared" si="67"/>
        <v>1</v>
      </c>
      <c r="J408" s="961"/>
      <c r="K408" s="51">
        <f t="shared" si="68"/>
        <v>1</v>
      </c>
      <c r="L408" s="961"/>
      <c r="M408" s="51">
        <f t="shared" si="69"/>
        <v>1</v>
      </c>
      <c r="N408" s="961"/>
      <c r="O408" s="51">
        <f t="shared" si="70"/>
        <v>1</v>
      </c>
      <c r="P408" s="961"/>
      <c r="Q408" s="51">
        <f t="shared" si="71"/>
        <v>1</v>
      </c>
      <c r="R408" s="488">
        <f t="shared" si="72"/>
        <v>0</v>
      </c>
      <c r="S408" s="797">
        <f t="shared" si="73"/>
        <v>0</v>
      </c>
    </row>
    <row r="409" spans="1:19">
      <c r="A409" s="963"/>
      <c r="B409" s="135"/>
      <c r="C409" s="51">
        <f t="shared" si="64"/>
        <v>1</v>
      </c>
      <c r="D409" s="961"/>
      <c r="E409" s="51">
        <f t="shared" si="65"/>
        <v>1</v>
      </c>
      <c r="F409" s="961"/>
      <c r="G409" s="51">
        <f t="shared" si="66"/>
        <v>1</v>
      </c>
      <c r="H409" s="961"/>
      <c r="I409" s="51">
        <f t="shared" si="67"/>
        <v>1</v>
      </c>
      <c r="J409" s="961"/>
      <c r="K409" s="51">
        <f t="shared" si="68"/>
        <v>1</v>
      </c>
      <c r="L409" s="961"/>
      <c r="M409" s="51">
        <f t="shared" si="69"/>
        <v>1</v>
      </c>
      <c r="N409" s="961"/>
      <c r="O409" s="51">
        <f t="shared" si="70"/>
        <v>1</v>
      </c>
      <c r="P409" s="961"/>
      <c r="Q409" s="51">
        <f t="shared" si="71"/>
        <v>1</v>
      </c>
      <c r="R409" s="488">
        <f t="shared" si="72"/>
        <v>0</v>
      </c>
      <c r="S409" s="797">
        <f t="shared" si="73"/>
        <v>0</v>
      </c>
    </row>
    <row r="410" spans="1:19">
      <c r="A410" s="963"/>
      <c r="B410" s="135"/>
      <c r="C410" s="51">
        <f t="shared" ref="C410:C473" si="74">IF(B410="",1,(LOOKUP(B410,$3:$3,$4:$4)-LOOKUP($B$24,$3:$3,$4:$4)+100)/100)</f>
        <v>1</v>
      </c>
      <c r="D410" s="961"/>
      <c r="E410" s="51">
        <f t="shared" ref="E410:E473" si="75">(SUMIF($5:$5,D410,$6:$6)-SUMIF($5:$5,$D$24,$6:$6)+100)/100</f>
        <v>1</v>
      </c>
      <c r="F410" s="961"/>
      <c r="G410" s="51">
        <f t="shared" ref="G410:G473" si="76">(SUMIF($7:$7,F410,$8:$8)-SUMIF($7:$7,$F$24,$8:$8)+100)/100</f>
        <v>1</v>
      </c>
      <c r="H410" s="961"/>
      <c r="I410" s="51">
        <f t="shared" ref="I410:I473" si="77">(SUMIF($9:$9,H410,$10:$10)-SUMIF($9:$9,$H$24,$10:$10)+100)/100</f>
        <v>1</v>
      </c>
      <c r="J410" s="961"/>
      <c r="K410" s="51">
        <f t="shared" ref="K410:K473" si="78">(SUMIF($11:$11,J410,$12:$12)-SUMIF($11:$11,$J$24,$12:$12)+100)/100</f>
        <v>1</v>
      </c>
      <c r="L410" s="961"/>
      <c r="M410" s="51">
        <f t="shared" ref="M410:M473" si="79">(SUMIF($13:$13,L410,$14:$14)-SUMIF($13:$13,$L$24,$14:$14)+100)/100</f>
        <v>1</v>
      </c>
      <c r="N410" s="961"/>
      <c r="O410" s="51">
        <f t="shared" ref="O410:O473" si="80">(SUMIF($15:$15,N410,$16:$16)-SUMIF($15:$15,$N$24,$16:$16)+100)/100</f>
        <v>1</v>
      </c>
      <c r="P410" s="961"/>
      <c r="Q410" s="51">
        <f t="shared" ref="Q410:Q473" si="81">(SUMIF($17:$17,P410,$18:$18)-SUMIF($17:$17,$P$24,$18:$18)+100)/100</f>
        <v>1</v>
      </c>
      <c r="R410" s="488">
        <f t="shared" ref="R410:R473" si="82">IF(B410="",0,ROUND($R$24*C410*E410*G410*I410*K410*M410*O410*Q410,0))</f>
        <v>0</v>
      </c>
      <c r="S410" s="797">
        <f t="shared" si="73"/>
        <v>0</v>
      </c>
    </row>
    <row r="411" spans="1:19">
      <c r="A411" s="963"/>
      <c r="B411" s="135"/>
      <c r="C411" s="51">
        <f t="shared" si="74"/>
        <v>1</v>
      </c>
      <c r="D411" s="961"/>
      <c r="E411" s="51">
        <f t="shared" si="75"/>
        <v>1</v>
      </c>
      <c r="F411" s="961"/>
      <c r="G411" s="51">
        <f t="shared" si="76"/>
        <v>1</v>
      </c>
      <c r="H411" s="961"/>
      <c r="I411" s="51">
        <f t="shared" si="77"/>
        <v>1</v>
      </c>
      <c r="J411" s="961"/>
      <c r="K411" s="51">
        <f t="shared" si="78"/>
        <v>1</v>
      </c>
      <c r="L411" s="961"/>
      <c r="M411" s="51">
        <f t="shared" si="79"/>
        <v>1</v>
      </c>
      <c r="N411" s="961"/>
      <c r="O411" s="51">
        <f t="shared" si="80"/>
        <v>1</v>
      </c>
      <c r="P411" s="961"/>
      <c r="Q411" s="51">
        <f t="shared" si="81"/>
        <v>1</v>
      </c>
      <c r="R411" s="488">
        <f t="shared" si="82"/>
        <v>0</v>
      </c>
      <c r="S411" s="797">
        <f t="shared" si="73"/>
        <v>0</v>
      </c>
    </row>
    <row r="412" spans="1:19">
      <c r="A412" s="963"/>
      <c r="B412" s="135"/>
      <c r="C412" s="51">
        <f t="shared" si="74"/>
        <v>1</v>
      </c>
      <c r="D412" s="961"/>
      <c r="E412" s="51">
        <f t="shared" si="75"/>
        <v>1</v>
      </c>
      <c r="F412" s="961"/>
      <c r="G412" s="51">
        <f t="shared" si="76"/>
        <v>1</v>
      </c>
      <c r="H412" s="961"/>
      <c r="I412" s="51">
        <f t="shared" si="77"/>
        <v>1</v>
      </c>
      <c r="J412" s="961"/>
      <c r="K412" s="51">
        <f t="shared" si="78"/>
        <v>1</v>
      </c>
      <c r="L412" s="961"/>
      <c r="M412" s="51">
        <f t="shared" si="79"/>
        <v>1</v>
      </c>
      <c r="N412" s="961"/>
      <c r="O412" s="51">
        <f t="shared" si="80"/>
        <v>1</v>
      </c>
      <c r="P412" s="961"/>
      <c r="Q412" s="51">
        <f t="shared" si="81"/>
        <v>1</v>
      </c>
      <c r="R412" s="488">
        <f t="shared" si="82"/>
        <v>0</v>
      </c>
      <c r="S412" s="797">
        <f t="shared" si="73"/>
        <v>0</v>
      </c>
    </row>
    <row r="413" spans="1:19">
      <c r="A413" s="963"/>
      <c r="B413" s="135"/>
      <c r="C413" s="51">
        <f t="shared" si="74"/>
        <v>1</v>
      </c>
      <c r="D413" s="961"/>
      <c r="E413" s="51">
        <f t="shared" si="75"/>
        <v>1</v>
      </c>
      <c r="F413" s="961"/>
      <c r="G413" s="51">
        <f t="shared" si="76"/>
        <v>1</v>
      </c>
      <c r="H413" s="961"/>
      <c r="I413" s="51">
        <f t="shared" si="77"/>
        <v>1</v>
      </c>
      <c r="J413" s="961"/>
      <c r="K413" s="51">
        <f t="shared" si="78"/>
        <v>1</v>
      </c>
      <c r="L413" s="961"/>
      <c r="M413" s="51">
        <f t="shared" si="79"/>
        <v>1</v>
      </c>
      <c r="N413" s="961"/>
      <c r="O413" s="51">
        <f t="shared" si="80"/>
        <v>1</v>
      </c>
      <c r="P413" s="961"/>
      <c r="Q413" s="51">
        <f t="shared" si="81"/>
        <v>1</v>
      </c>
      <c r="R413" s="488">
        <f t="shared" si="82"/>
        <v>0</v>
      </c>
      <c r="S413" s="797">
        <f t="shared" si="73"/>
        <v>0</v>
      </c>
    </row>
    <row r="414" spans="1:19">
      <c r="A414" s="963"/>
      <c r="B414" s="135"/>
      <c r="C414" s="51">
        <f t="shared" si="74"/>
        <v>1</v>
      </c>
      <c r="D414" s="961"/>
      <c r="E414" s="51">
        <f t="shared" si="75"/>
        <v>1</v>
      </c>
      <c r="F414" s="961"/>
      <c r="G414" s="51">
        <f t="shared" si="76"/>
        <v>1</v>
      </c>
      <c r="H414" s="961"/>
      <c r="I414" s="51">
        <f t="shared" si="77"/>
        <v>1</v>
      </c>
      <c r="J414" s="961"/>
      <c r="K414" s="51">
        <f t="shared" si="78"/>
        <v>1</v>
      </c>
      <c r="L414" s="961"/>
      <c r="M414" s="51">
        <f t="shared" si="79"/>
        <v>1</v>
      </c>
      <c r="N414" s="961"/>
      <c r="O414" s="51">
        <f t="shared" si="80"/>
        <v>1</v>
      </c>
      <c r="P414" s="961"/>
      <c r="Q414" s="51">
        <f t="shared" si="81"/>
        <v>1</v>
      </c>
      <c r="R414" s="488">
        <f t="shared" si="82"/>
        <v>0</v>
      </c>
      <c r="S414" s="797">
        <f t="shared" si="73"/>
        <v>0</v>
      </c>
    </row>
    <row r="415" spans="1:19">
      <c r="A415" s="963"/>
      <c r="B415" s="135"/>
      <c r="C415" s="51">
        <f t="shared" si="74"/>
        <v>1</v>
      </c>
      <c r="D415" s="961"/>
      <c r="E415" s="51">
        <f t="shared" si="75"/>
        <v>1</v>
      </c>
      <c r="F415" s="961"/>
      <c r="G415" s="51">
        <f t="shared" si="76"/>
        <v>1</v>
      </c>
      <c r="H415" s="961"/>
      <c r="I415" s="51">
        <f t="shared" si="77"/>
        <v>1</v>
      </c>
      <c r="J415" s="961"/>
      <c r="K415" s="51">
        <f t="shared" si="78"/>
        <v>1</v>
      </c>
      <c r="L415" s="961"/>
      <c r="M415" s="51">
        <f t="shared" si="79"/>
        <v>1</v>
      </c>
      <c r="N415" s="961"/>
      <c r="O415" s="51">
        <f t="shared" si="80"/>
        <v>1</v>
      </c>
      <c r="P415" s="961"/>
      <c r="Q415" s="51">
        <f t="shared" si="81"/>
        <v>1</v>
      </c>
      <c r="R415" s="488">
        <f t="shared" si="82"/>
        <v>0</v>
      </c>
      <c r="S415" s="797">
        <f t="shared" si="73"/>
        <v>0</v>
      </c>
    </row>
    <row r="416" spans="1:19">
      <c r="A416" s="963"/>
      <c r="B416" s="135"/>
      <c r="C416" s="51">
        <f t="shared" si="74"/>
        <v>1</v>
      </c>
      <c r="D416" s="961"/>
      <c r="E416" s="51">
        <f t="shared" si="75"/>
        <v>1</v>
      </c>
      <c r="F416" s="961"/>
      <c r="G416" s="51">
        <f t="shared" si="76"/>
        <v>1</v>
      </c>
      <c r="H416" s="961"/>
      <c r="I416" s="51">
        <f t="shared" si="77"/>
        <v>1</v>
      </c>
      <c r="J416" s="961"/>
      <c r="K416" s="51">
        <f t="shared" si="78"/>
        <v>1</v>
      </c>
      <c r="L416" s="961"/>
      <c r="M416" s="51">
        <f t="shared" si="79"/>
        <v>1</v>
      </c>
      <c r="N416" s="961"/>
      <c r="O416" s="51">
        <f t="shared" si="80"/>
        <v>1</v>
      </c>
      <c r="P416" s="961"/>
      <c r="Q416" s="51">
        <f t="shared" si="81"/>
        <v>1</v>
      </c>
      <c r="R416" s="488">
        <f t="shared" si="82"/>
        <v>0</v>
      </c>
      <c r="S416" s="797">
        <f t="shared" si="73"/>
        <v>0</v>
      </c>
    </row>
    <row r="417" spans="1:19">
      <c r="A417" s="963"/>
      <c r="B417" s="135"/>
      <c r="C417" s="51">
        <f t="shared" si="74"/>
        <v>1</v>
      </c>
      <c r="D417" s="961"/>
      <c r="E417" s="51">
        <f t="shared" si="75"/>
        <v>1</v>
      </c>
      <c r="F417" s="961"/>
      <c r="G417" s="51">
        <f t="shared" si="76"/>
        <v>1</v>
      </c>
      <c r="H417" s="961"/>
      <c r="I417" s="51">
        <f t="shared" si="77"/>
        <v>1</v>
      </c>
      <c r="J417" s="961"/>
      <c r="K417" s="51">
        <f t="shared" si="78"/>
        <v>1</v>
      </c>
      <c r="L417" s="961"/>
      <c r="M417" s="51">
        <f t="shared" si="79"/>
        <v>1</v>
      </c>
      <c r="N417" s="961"/>
      <c r="O417" s="51">
        <f t="shared" si="80"/>
        <v>1</v>
      </c>
      <c r="P417" s="961"/>
      <c r="Q417" s="51">
        <f t="shared" si="81"/>
        <v>1</v>
      </c>
      <c r="R417" s="488">
        <f t="shared" si="82"/>
        <v>0</v>
      </c>
      <c r="S417" s="797">
        <f t="shared" si="73"/>
        <v>0</v>
      </c>
    </row>
    <row r="418" spans="1:19">
      <c r="A418" s="963"/>
      <c r="B418" s="135"/>
      <c r="C418" s="51">
        <f t="shared" si="74"/>
        <v>1</v>
      </c>
      <c r="D418" s="961"/>
      <c r="E418" s="51">
        <f t="shared" si="75"/>
        <v>1</v>
      </c>
      <c r="F418" s="961"/>
      <c r="G418" s="51">
        <f t="shared" si="76"/>
        <v>1</v>
      </c>
      <c r="H418" s="961"/>
      <c r="I418" s="51">
        <f t="shared" si="77"/>
        <v>1</v>
      </c>
      <c r="J418" s="961"/>
      <c r="K418" s="51">
        <f t="shared" si="78"/>
        <v>1</v>
      </c>
      <c r="L418" s="961"/>
      <c r="M418" s="51">
        <f t="shared" si="79"/>
        <v>1</v>
      </c>
      <c r="N418" s="961"/>
      <c r="O418" s="51">
        <f t="shared" si="80"/>
        <v>1</v>
      </c>
      <c r="P418" s="961"/>
      <c r="Q418" s="51">
        <f t="shared" si="81"/>
        <v>1</v>
      </c>
      <c r="R418" s="488">
        <f t="shared" si="82"/>
        <v>0</v>
      </c>
      <c r="S418" s="797">
        <f t="shared" si="73"/>
        <v>0</v>
      </c>
    </row>
    <row r="419" spans="1:19">
      <c r="A419" s="963"/>
      <c r="B419" s="135"/>
      <c r="C419" s="51">
        <f t="shared" si="74"/>
        <v>1</v>
      </c>
      <c r="D419" s="961"/>
      <c r="E419" s="51">
        <f t="shared" si="75"/>
        <v>1</v>
      </c>
      <c r="F419" s="961"/>
      <c r="G419" s="51">
        <f t="shared" si="76"/>
        <v>1</v>
      </c>
      <c r="H419" s="961"/>
      <c r="I419" s="51">
        <f t="shared" si="77"/>
        <v>1</v>
      </c>
      <c r="J419" s="961"/>
      <c r="K419" s="51">
        <f t="shared" si="78"/>
        <v>1</v>
      </c>
      <c r="L419" s="961"/>
      <c r="M419" s="51">
        <f t="shared" si="79"/>
        <v>1</v>
      </c>
      <c r="N419" s="961"/>
      <c r="O419" s="51">
        <f t="shared" si="80"/>
        <v>1</v>
      </c>
      <c r="P419" s="961"/>
      <c r="Q419" s="51">
        <f t="shared" si="81"/>
        <v>1</v>
      </c>
      <c r="R419" s="488">
        <f t="shared" si="82"/>
        <v>0</v>
      </c>
      <c r="S419" s="797">
        <f t="shared" si="73"/>
        <v>0</v>
      </c>
    </row>
    <row r="420" spans="1:19">
      <c r="A420" s="963"/>
      <c r="B420" s="135"/>
      <c r="C420" s="51">
        <f t="shared" si="74"/>
        <v>1</v>
      </c>
      <c r="D420" s="961"/>
      <c r="E420" s="51">
        <f t="shared" si="75"/>
        <v>1</v>
      </c>
      <c r="F420" s="961"/>
      <c r="G420" s="51">
        <f t="shared" si="76"/>
        <v>1</v>
      </c>
      <c r="H420" s="961"/>
      <c r="I420" s="51">
        <f t="shared" si="77"/>
        <v>1</v>
      </c>
      <c r="J420" s="961"/>
      <c r="K420" s="51">
        <f t="shared" si="78"/>
        <v>1</v>
      </c>
      <c r="L420" s="961"/>
      <c r="M420" s="51">
        <f t="shared" si="79"/>
        <v>1</v>
      </c>
      <c r="N420" s="961"/>
      <c r="O420" s="51">
        <f t="shared" si="80"/>
        <v>1</v>
      </c>
      <c r="P420" s="961"/>
      <c r="Q420" s="51">
        <f t="shared" si="81"/>
        <v>1</v>
      </c>
      <c r="R420" s="488">
        <f t="shared" si="82"/>
        <v>0</v>
      </c>
      <c r="S420" s="797">
        <f t="shared" si="73"/>
        <v>0</v>
      </c>
    </row>
    <row r="421" spans="1:19">
      <c r="A421" s="963"/>
      <c r="B421" s="135"/>
      <c r="C421" s="51">
        <f t="shared" si="74"/>
        <v>1</v>
      </c>
      <c r="D421" s="961"/>
      <c r="E421" s="51">
        <f t="shared" si="75"/>
        <v>1</v>
      </c>
      <c r="F421" s="961"/>
      <c r="G421" s="51">
        <f t="shared" si="76"/>
        <v>1</v>
      </c>
      <c r="H421" s="961"/>
      <c r="I421" s="51">
        <f t="shared" si="77"/>
        <v>1</v>
      </c>
      <c r="J421" s="961"/>
      <c r="K421" s="51">
        <f t="shared" si="78"/>
        <v>1</v>
      </c>
      <c r="L421" s="961"/>
      <c r="M421" s="51">
        <f t="shared" si="79"/>
        <v>1</v>
      </c>
      <c r="N421" s="961"/>
      <c r="O421" s="51">
        <f t="shared" si="80"/>
        <v>1</v>
      </c>
      <c r="P421" s="961"/>
      <c r="Q421" s="51">
        <f t="shared" si="81"/>
        <v>1</v>
      </c>
      <c r="R421" s="488">
        <f t="shared" si="82"/>
        <v>0</v>
      </c>
      <c r="S421" s="797">
        <f t="shared" si="73"/>
        <v>0</v>
      </c>
    </row>
    <row r="422" spans="1:19">
      <c r="A422" s="963"/>
      <c r="B422" s="135"/>
      <c r="C422" s="51">
        <f t="shared" si="74"/>
        <v>1</v>
      </c>
      <c r="D422" s="961"/>
      <c r="E422" s="51">
        <f t="shared" si="75"/>
        <v>1</v>
      </c>
      <c r="F422" s="961"/>
      <c r="G422" s="51">
        <f t="shared" si="76"/>
        <v>1</v>
      </c>
      <c r="H422" s="961"/>
      <c r="I422" s="51">
        <f t="shared" si="77"/>
        <v>1</v>
      </c>
      <c r="J422" s="961"/>
      <c r="K422" s="51">
        <f t="shared" si="78"/>
        <v>1</v>
      </c>
      <c r="L422" s="961"/>
      <c r="M422" s="51">
        <f t="shared" si="79"/>
        <v>1</v>
      </c>
      <c r="N422" s="961"/>
      <c r="O422" s="51">
        <f t="shared" si="80"/>
        <v>1</v>
      </c>
      <c r="P422" s="961"/>
      <c r="Q422" s="51">
        <f t="shared" si="81"/>
        <v>1</v>
      </c>
      <c r="R422" s="488">
        <f t="shared" si="82"/>
        <v>0</v>
      </c>
      <c r="S422" s="797">
        <f t="shared" si="73"/>
        <v>0</v>
      </c>
    </row>
    <row r="423" spans="1:19">
      <c r="A423" s="963"/>
      <c r="B423" s="135"/>
      <c r="C423" s="51">
        <f t="shared" si="74"/>
        <v>1</v>
      </c>
      <c r="D423" s="961"/>
      <c r="E423" s="51">
        <f t="shared" si="75"/>
        <v>1</v>
      </c>
      <c r="F423" s="961"/>
      <c r="G423" s="51">
        <f t="shared" si="76"/>
        <v>1</v>
      </c>
      <c r="H423" s="961"/>
      <c r="I423" s="51">
        <f t="shared" si="77"/>
        <v>1</v>
      </c>
      <c r="J423" s="961"/>
      <c r="K423" s="51">
        <f t="shared" si="78"/>
        <v>1</v>
      </c>
      <c r="L423" s="961"/>
      <c r="M423" s="51">
        <f t="shared" si="79"/>
        <v>1</v>
      </c>
      <c r="N423" s="961"/>
      <c r="O423" s="51">
        <f t="shared" si="80"/>
        <v>1</v>
      </c>
      <c r="P423" s="961"/>
      <c r="Q423" s="51">
        <f t="shared" si="81"/>
        <v>1</v>
      </c>
      <c r="R423" s="488">
        <f t="shared" si="82"/>
        <v>0</v>
      </c>
      <c r="S423" s="797">
        <f t="shared" ref="S423:S467" si="83">ROUND(R423*B423/10000,0)</f>
        <v>0</v>
      </c>
    </row>
    <row r="424" spans="1:19">
      <c r="A424" s="963"/>
      <c r="B424" s="135"/>
      <c r="C424" s="51">
        <f t="shared" si="74"/>
        <v>1</v>
      </c>
      <c r="D424" s="961"/>
      <c r="E424" s="51">
        <f t="shared" si="75"/>
        <v>1</v>
      </c>
      <c r="F424" s="961"/>
      <c r="G424" s="51">
        <f t="shared" si="76"/>
        <v>1</v>
      </c>
      <c r="H424" s="961"/>
      <c r="I424" s="51">
        <f t="shared" si="77"/>
        <v>1</v>
      </c>
      <c r="J424" s="961"/>
      <c r="K424" s="51">
        <f t="shared" si="78"/>
        <v>1</v>
      </c>
      <c r="L424" s="961"/>
      <c r="M424" s="51">
        <f t="shared" si="79"/>
        <v>1</v>
      </c>
      <c r="N424" s="961"/>
      <c r="O424" s="51">
        <f t="shared" si="80"/>
        <v>1</v>
      </c>
      <c r="P424" s="961"/>
      <c r="Q424" s="51">
        <f t="shared" si="81"/>
        <v>1</v>
      </c>
      <c r="R424" s="488">
        <f t="shared" si="82"/>
        <v>0</v>
      </c>
      <c r="S424" s="797">
        <f t="shared" si="83"/>
        <v>0</v>
      </c>
    </row>
    <row r="425" spans="1:19">
      <c r="A425" s="963"/>
      <c r="B425" s="135"/>
      <c r="C425" s="51">
        <f t="shared" si="74"/>
        <v>1</v>
      </c>
      <c r="D425" s="961"/>
      <c r="E425" s="51">
        <f t="shared" si="75"/>
        <v>1</v>
      </c>
      <c r="F425" s="961"/>
      <c r="G425" s="51">
        <f t="shared" si="76"/>
        <v>1</v>
      </c>
      <c r="H425" s="961"/>
      <c r="I425" s="51">
        <f t="shared" si="77"/>
        <v>1</v>
      </c>
      <c r="J425" s="961"/>
      <c r="K425" s="51">
        <f t="shared" si="78"/>
        <v>1</v>
      </c>
      <c r="L425" s="961"/>
      <c r="M425" s="51">
        <f t="shared" si="79"/>
        <v>1</v>
      </c>
      <c r="N425" s="961"/>
      <c r="O425" s="51">
        <f t="shared" si="80"/>
        <v>1</v>
      </c>
      <c r="P425" s="961"/>
      <c r="Q425" s="51">
        <f t="shared" si="81"/>
        <v>1</v>
      </c>
      <c r="R425" s="488">
        <f t="shared" si="82"/>
        <v>0</v>
      </c>
      <c r="S425" s="797">
        <f t="shared" si="83"/>
        <v>0</v>
      </c>
    </row>
    <row r="426" spans="1:19">
      <c r="A426" s="963"/>
      <c r="B426" s="135"/>
      <c r="C426" s="51">
        <f t="shared" si="74"/>
        <v>1</v>
      </c>
      <c r="D426" s="961"/>
      <c r="E426" s="51">
        <f t="shared" si="75"/>
        <v>1</v>
      </c>
      <c r="F426" s="961"/>
      <c r="G426" s="51">
        <f t="shared" si="76"/>
        <v>1</v>
      </c>
      <c r="H426" s="961"/>
      <c r="I426" s="51">
        <f t="shared" si="77"/>
        <v>1</v>
      </c>
      <c r="J426" s="961"/>
      <c r="K426" s="51">
        <f t="shared" si="78"/>
        <v>1</v>
      </c>
      <c r="L426" s="961"/>
      <c r="M426" s="51">
        <f t="shared" si="79"/>
        <v>1</v>
      </c>
      <c r="N426" s="961"/>
      <c r="O426" s="51">
        <f t="shared" si="80"/>
        <v>1</v>
      </c>
      <c r="P426" s="961"/>
      <c r="Q426" s="51">
        <f t="shared" si="81"/>
        <v>1</v>
      </c>
      <c r="R426" s="488">
        <f t="shared" si="82"/>
        <v>0</v>
      </c>
      <c r="S426" s="797">
        <f t="shared" si="83"/>
        <v>0</v>
      </c>
    </row>
    <row r="427" spans="1:19">
      <c r="A427" s="963"/>
      <c r="B427" s="135"/>
      <c r="C427" s="51">
        <f t="shared" si="74"/>
        <v>1</v>
      </c>
      <c r="D427" s="961"/>
      <c r="E427" s="51">
        <f t="shared" si="75"/>
        <v>1</v>
      </c>
      <c r="F427" s="961"/>
      <c r="G427" s="51">
        <f t="shared" si="76"/>
        <v>1</v>
      </c>
      <c r="H427" s="961"/>
      <c r="I427" s="51">
        <f t="shared" si="77"/>
        <v>1</v>
      </c>
      <c r="J427" s="961"/>
      <c r="K427" s="51">
        <f t="shared" si="78"/>
        <v>1</v>
      </c>
      <c r="L427" s="961"/>
      <c r="M427" s="51">
        <f t="shared" si="79"/>
        <v>1</v>
      </c>
      <c r="N427" s="961"/>
      <c r="O427" s="51">
        <f t="shared" si="80"/>
        <v>1</v>
      </c>
      <c r="P427" s="961"/>
      <c r="Q427" s="51">
        <f t="shared" si="81"/>
        <v>1</v>
      </c>
      <c r="R427" s="488">
        <f t="shared" si="82"/>
        <v>0</v>
      </c>
      <c r="S427" s="797">
        <f t="shared" si="83"/>
        <v>0</v>
      </c>
    </row>
    <row r="428" spans="1:19">
      <c r="A428" s="963"/>
      <c r="B428" s="135"/>
      <c r="C428" s="51">
        <f t="shared" si="74"/>
        <v>1</v>
      </c>
      <c r="D428" s="961"/>
      <c r="E428" s="51">
        <f t="shared" si="75"/>
        <v>1</v>
      </c>
      <c r="F428" s="961"/>
      <c r="G428" s="51">
        <f t="shared" si="76"/>
        <v>1</v>
      </c>
      <c r="H428" s="961"/>
      <c r="I428" s="51">
        <f t="shared" si="77"/>
        <v>1</v>
      </c>
      <c r="J428" s="961"/>
      <c r="K428" s="51">
        <f t="shared" si="78"/>
        <v>1</v>
      </c>
      <c r="L428" s="961"/>
      <c r="M428" s="51">
        <f t="shared" si="79"/>
        <v>1</v>
      </c>
      <c r="N428" s="961"/>
      <c r="O428" s="51">
        <f t="shared" si="80"/>
        <v>1</v>
      </c>
      <c r="P428" s="961"/>
      <c r="Q428" s="51">
        <f t="shared" si="81"/>
        <v>1</v>
      </c>
      <c r="R428" s="488">
        <f t="shared" si="82"/>
        <v>0</v>
      </c>
      <c r="S428" s="797">
        <f t="shared" si="83"/>
        <v>0</v>
      </c>
    </row>
    <row r="429" spans="1:19">
      <c r="A429" s="963"/>
      <c r="B429" s="135"/>
      <c r="C429" s="51">
        <f t="shared" si="74"/>
        <v>1</v>
      </c>
      <c r="D429" s="961"/>
      <c r="E429" s="51">
        <f t="shared" si="75"/>
        <v>1</v>
      </c>
      <c r="F429" s="961"/>
      <c r="G429" s="51">
        <f t="shared" si="76"/>
        <v>1</v>
      </c>
      <c r="H429" s="961"/>
      <c r="I429" s="51">
        <f t="shared" si="77"/>
        <v>1</v>
      </c>
      <c r="J429" s="961"/>
      <c r="K429" s="51">
        <f t="shared" si="78"/>
        <v>1</v>
      </c>
      <c r="L429" s="961"/>
      <c r="M429" s="51">
        <f t="shared" si="79"/>
        <v>1</v>
      </c>
      <c r="N429" s="961"/>
      <c r="O429" s="51">
        <f t="shared" si="80"/>
        <v>1</v>
      </c>
      <c r="P429" s="961"/>
      <c r="Q429" s="51">
        <f t="shared" si="81"/>
        <v>1</v>
      </c>
      <c r="R429" s="488">
        <f t="shared" si="82"/>
        <v>0</v>
      </c>
      <c r="S429" s="797">
        <f t="shared" si="83"/>
        <v>0</v>
      </c>
    </row>
    <row r="430" spans="1:19">
      <c r="A430" s="963"/>
      <c r="B430" s="135"/>
      <c r="C430" s="51">
        <f t="shared" si="74"/>
        <v>1</v>
      </c>
      <c r="D430" s="961"/>
      <c r="E430" s="51">
        <f t="shared" si="75"/>
        <v>1</v>
      </c>
      <c r="F430" s="961"/>
      <c r="G430" s="51">
        <f t="shared" si="76"/>
        <v>1</v>
      </c>
      <c r="H430" s="961"/>
      <c r="I430" s="51">
        <f t="shared" si="77"/>
        <v>1</v>
      </c>
      <c r="J430" s="961"/>
      <c r="K430" s="51">
        <f t="shared" si="78"/>
        <v>1</v>
      </c>
      <c r="L430" s="961"/>
      <c r="M430" s="51">
        <f t="shared" si="79"/>
        <v>1</v>
      </c>
      <c r="N430" s="961"/>
      <c r="O430" s="51">
        <f t="shared" si="80"/>
        <v>1</v>
      </c>
      <c r="P430" s="961"/>
      <c r="Q430" s="51">
        <f t="shared" si="81"/>
        <v>1</v>
      </c>
      <c r="R430" s="488">
        <f t="shared" si="82"/>
        <v>0</v>
      </c>
      <c r="S430" s="797">
        <f t="shared" si="83"/>
        <v>0</v>
      </c>
    </row>
    <row r="431" spans="1:19">
      <c r="A431" s="963"/>
      <c r="B431" s="135"/>
      <c r="C431" s="51">
        <f t="shared" si="74"/>
        <v>1</v>
      </c>
      <c r="D431" s="961"/>
      <c r="E431" s="51">
        <f t="shared" si="75"/>
        <v>1</v>
      </c>
      <c r="F431" s="961"/>
      <c r="G431" s="51">
        <f t="shared" si="76"/>
        <v>1</v>
      </c>
      <c r="H431" s="961"/>
      <c r="I431" s="51">
        <f t="shared" si="77"/>
        <v>1</v>
      </c>
      <c r="J431" s="961"/>
      <c r="K431" s="51">
        <f t="shared" si="78"/>
        <v>1</v>
      </c>
      <c r="L431" s="961"/>
      <c r="M431" s="51">
        <f t="shared" si="79"/>
        <v>1</v>
      </c>
      <c r="N431" s="961"/>
      <c r="O431" s="51">
        <f t="shared" si="80"/>
        <v>1</v>
      </c>
      <c r="P431" s="961"/>
      <c r="Q431" s="51">
        <f t="shared" si="81"/>
        <v>1</v>
      </c>
      <c r="R431" s="488">
        <f t="shared" si="82"/>
        <v>0</v>
      </c>
      <c r="S431" s="797">
        <f t="shared" si="83"/>
        <v>0</v>
      </c>
    </row>
    <row r="432" spans="1:19">
      <c r="A432" s="963"/>
      <c r="B432" s="135"/>
      <c r="C432" s="51">
        <f t="shared" si="74"/>
        <v>1</v>
      </c>
      <c r="D432" s="961"/>
      <c r="E432" s="51">
        <f t="shared" si="75"/>
        <v>1</v>
      </c>
      <c r="F432" s="961"/>
      <c r="G432" s="51">
        <f t="shared" si="76"/>
        <v>1</v>
      </c>
      <c r="H432" s="961"/>
      <c r="I432" s="51">
        <f t="shared" si="77"/>
        <v>1</v>
      </c>
      <c r="J432" s="961"/>
      <c r="K432" s="51">
        <f t="shared" si="78"/>
        <v>1</v>
      </c>
      <c r="L432" s="961"/>
      <c r="M432" s="51">
        <f t="shared" si="79"/>
        <v>1</v>
      </c>
      <c r="N432" s="961"/>
      <c r="O432" s="51">
        <f t="shared" si="80"/>
        <v>1</v>
      </c>
      <c r="P432" s="961"/>
      <c r="Q432" s="51">
        <f t="shared" si="81"/>
        <v>1</v>
      </c>
      <c r="R432" s="488">
        <f t="shared" si="82"/>
        <v>0</v>
      </c>
      <c r="S432" s="797">
        <f t="shared" si="83"/>
        <v>0</v>
      </c>
    </row>
    <row r="433" spans="1:19">
      <c r="A433" s="963"/>
      <c r="B433" s="135"/>
      <c r="C433" s="51">
        <f t="shared" si="74"/>
        <v>1</v>
      </c>
      <c r="D433" s="961"/>
      <c r="E433" s="51">
        <f t="shared" si="75"/>
        <v>1</v>
      </c>
      <c r="F433" s="961"/>
      <c r="G433" s="51">
        <f t="shared" si="76"/>
        <v>1</v>
      </c>
      <c r="H433" s="961"/>
      <c r="I433" s="51">
        <f t="shared" si="77"/>
        <v>1</v>
      </c>
      <c r="J433" s="961"/>
      <c r="K433" s="51">
        <f t="shared" si="78"/>
        <v>1</v>
      </c>
      <c r="L433" s="961"/>
      <c r="M433" s="51">
        <f t="shared" si="79"/>
        <v>1</v>
      </c>
      <c r="N433" s="961"/>
      <c r="O433" s="51">
        <f t="shared" si="80"/>
        <v>1</v>
      </c>
      <c r="P433" s="961"/>
      <c r="Q433" s="51">
        <f t="shared" si="81"/>
        <v>1</v>
      </c>
      <c r="R433" s="488">
        <f t="shared" si="82"/>
        <v>0</v>
      </c>
      <c r="S433" s="797">
        <f t="shared" si="83"/>
        <v>0</v>
      </c>
    </row>
    <row r="434" spans="1:19">
      <c r="A434" s="963"/>
      <c r="B434" s="135"/>
      <c r="C434" s="51">
        <f t="shared" si="74"/>
        <v>1</v>
      </c>
      <c r="D434" s="961"/>
      <c r="E434" s="51">
        <f t="shared" si="75"/>
        <v>1</v>
      </c>
      <c r="F434" s="961"/>
      <c r="G434" s="51">
        <f t="shared" si="76"/>
        <v>1</v>
      </c>
      <c r="H434" s="961"/>
      <c r="I434" s="51">
        <f t="shared" si="77"/>
        <v>1</v>
      </c>
      <c r="J434" s="961"/>
      <c r="K434" s="51">
        <f t="shared" si="78"/>
        <v>1</v>
      </c>
      <c r="L434" s="961"/>
      <c r="M434" s="51">
        <f t="shared" si="79"/>
        <v>1</v>
      </c>
      <c r="N434" s="961"/>
      <c r="O434" s="51">
        <f t="shared" si="80"/>
        <v>1</v>
      </c>
      <c r="P434" s="961"/>
      <c r="Q434" s="51">
        <f t="shared" si="81"/>
        <v>1</v>
      </c>
      <c r="R434" s="488">
        <f t="shared" si="82"/>
        <v>0</v>
      </c>
      <c r="S434" s="797">
        <f t="shared" si="83"/>
        <v>0</v>
      </c>
    </row>
    <row r="435" spans="1:19">
      <c r="A435" s="963"/>
      <c r="B435" s="135"/>
      <c r="C435" s="51">
        <f t="shared" si="74"/>
        <v>1</v>
      </c>
      <c r="D435" s="961"/>
      <c r="E435" s="51">
        <f t="shared" si="75"/>
        <v>1</v>
      </c>
      <c r="F435" s="961"/>
      <c r="G435" s="51">
        <f t="shared" si="76"/>
        <v>1</v>
      </c>
      <c r="H435" s="961"/>
      <c r="I435" s="51">
        <f t="shared" si="77"/>
        <v>1</v>
      </c>
      <c r="J435" s="961"/>
      <c r="K435" s="51">
        <f t="shared" si="78"/>
        <v>1</v>
      </c>
      <c r="L435" s="961"/>
      <c r="M435" s="51">
        <f t="shared" si="79"/>
        <v>1</v>
      </c>
      <c r="N435" s="961"/>
      <c r="O435" s="51">
        <f t="shared" si="80"/>
        <v>1</v>
      </c>
      <c r="P435" s="961"/>
      <c r="Q435" s="51">
        <f t="shared" si="81"/>
        <v>1</v>
      </c>
      <c r="R435" s="488">
        <f t="shared" si="82"/>
        <v>0</v>
      </c>
      <c r="S435" s="797">
        <f t="shared" si="83"/>
        <v>0</v>
      </c>
    </row>
    <row r="436" spans="1:19">
      <c r="A436" s="963"/>
      <c r="B436" s="135"/>
      <c r="C436" s="51">
        <f t="shared" si="74"/>
        <v>1</v>
      </c>
      <c r="D436" s="961"/>
      <c r="E436" s="51">
        <f t="shared" si="75"/>
        <v>1</v>
      </c>
      <c r="F436" s="961"/>
      <c r="G436" s="51">
        <f t="shared" si="76"/>
        <v>1</v>
      </c>
      <c r="H436" s="961"/>
      <c r="I436" s="51">
        <f t="shared" si="77"/>
        <v>1</v>
      </c>
      <c r="J436" s="961"/>
      <c r="K436" s="51">
        <f t="shared" si="78"/>
        <v>1</v>
      </c>
      <c r="L436" s="961"/>
      <c r="M436" s="51">
        <f t="shared" si="79"/>
        <v>1</v>
      </c>
      <c r="N436" s="961"/>
      <c r="O436" s="51">
        <f t="shared" si="80"/>
        <v>1</v>
      </c>
      <c r="P436" s="961"/>
      <c r="Q436" s="51">
        <f t="shared" si="81"/>
        <v>1</v>
      </c>
      <c r="R436" s="488">
        <f t="shared" si="82"/>
        <v>0</v>
      </c>
      <c r="S436" s="797">
        <f t="shared" si="83"/>
        <v>0</v>
      </c>
    </row>
    <row r="437" spans="1:19">
      <c r="A437" s="963"/>
      <c r="B437" s="135"/>
      <c r="C437" s="51">
        <f t="shared" si="74"/>
        <v>1</v>
      </c>
      <c r="D437" s="961"/>
      <c r="E437" s="51">
        <f t="shared" si="75"/>
        <v>1</v>
      </c>
      <c r="F437" s="961"/>
      <c r="G437" s="51">
        <f t="shared" si="76"/>
        <v>1</v>
      </c>
      <c r="H437" s="961"/>
      <c r="I437" s="51">
        <f t="shared" si="77"/>
        <v>1</v>
      </c>
      <c r="J437" s="961"/>
      <c r="K437" s="51">
        <f t="shared" si="78"/>
        <v>1</v>
      </c>
      <c r="L437" s="961"/>
      <c r="M437" s="51">
        <f t="shared" si="79"/>
        <v>1</v>
      </c>
      <c r="N437" s="961"/>
      <c r="O437" s="51">
        <f t="shared" si="80"/>
        <v>1</v>
      </c>
      <c r="P437" s="961"/>
      <c r="Q437" s="51">
        <f t="shared" si="81"/>
        <v>1</v>
      </c>
      <c r="R437" s="488">
        <f t="shared" si="82"/>
        <v>0</v>
      </c>
      <c r="S437" s="797">
        <f t="shared" si="83"/>
        <v>0</v>
      </c>
    </row>
    <row r="438" spans="1:19">
      <c r="A438" s="963"/>
      <c r="B438" s="135"/>
      <c r="C438" s="51">
        <f t="shared" si="74"/>
        <v>1</v>
      </c>
      <c r="D438" s="961"/>
      <c r="E438" s="51">
        <f t="shared" si="75"/>
        <v>1</v>
      </c>
      <c r="F438" s="961"/>
      <c r="G438" s="51">
        <f t="shared" si="76"/>
        <v>1</v>
      </c>
      <c r="H438" s="961"/>
      <c r="I438" s="51">
        <f t="shared" si="77"/>
        <v>1</v>
      </c>
      <c r="J438" s="961"/>
      <c r="K438" s="51">
        <f t="shared" si="78"/>
        <v>1</v>
      </c>
      <c r="L438" s="961"/>
      <c r="M438" s="51">
        <f t="shared" si="79"/>
        <v>1</v>
      </c>
      <c r="N438" s="961"/>
      <c r="O438" s="51">
        <f t="shared" si="80"/>
        <v>1</v>
      </c>
      <c r="P438" s="961"/>
      <c r="Q438" s="51">
        <f t="shared" si="81"/>
        <v>1</v>
      </c>
      <c r="R438" s="488">
        <f t="shared" si="82"/>
        <v>0</v>
      </c>
      <c r="S438" s="797">
        <f t="shared" si="83"/>
        <v>0</v>
      </c>
    </row>
    <row r="439" spans="1:19">
      <c r="A439" s="963"/>
      <c r="B439" s="135"/>
      <c r="C439" s="51">
        <f t="shared" si="74"/>
        <v>1</v>
      </c>
      <c r="D439" s="961"/>
      <c r="E439" s="51">
        <f t="shared" si="75"/>
        <v>1</v>
      </c>
      <c r="F439" s="961"/>
      <c r="G439" s="51">
        <f t="shared" si="76"/>
        <v>1</v>
      </c>
      <c r="H439" s="961"/>
      <c r="I439" s="51">
        <f t="shared" si="77"/>
        <v>1</v>
      </c>
      <c r="J439" s="961"/>
      <c r="K439" s="51">
        <f t="shared" si="78"/>
        <v>1</v>
      </c>
      <c r="L439" s="961"/>
      <c r="M439" s="51">
        <f t="shared" si="79"/>
        <v>1</v>
      </c>
      <c r="N439" s="961"/>
      <c r="O439" s="51">
        <f t="shared" si="80"/>
        <v>1</v>
      </c>
      <c r="P439" s="961"/>
      <c r="Q439" s="51">
        <f t="shared" si="81"/>
        <v>1</v>
      </c>
      <c r="R439" s="488">
        <f t="shared" si="82"/>
        <v>0</v>
      </c>
      <c r="S439" s="797">
        <f t="shared" si="83"/>
        <v>0</v>
      </c>
    </row>
    <row r="440" spans="1:19">
      <c r="A440" s="963"/>
      <c r="B440" s="135"/>
      <c r="C440" s="51">
        <f t="shared" si="74"/>
        <v>1</v>
      </c>
      <c r="D440" s="961"/>
      <c r="E440" s="51">
        <f t="shared" si="75"/>
        <v>1</v>
      </c>
      <c r="F440" s="961"/>
      <c r="G440" s="51">
        <f t="shared" si="76"/>
        <v>1</v>
      </c>
      <c r="H440" s="961"/>
      <c r="I440" s="51">
        <f t="shared" si="77"/>
        <v>1</v>
      </c>
      <c r="J440" s="961"/>
      <c r="K440" s="51">
        <f t="shared" si="78"/>
        <v>1</v>
      </c>
      <c r="L440" s="961"/>
      <c r="M440" s="51">
        <f t="shared" si="79"/>
        <v>1</v>
      </c>
      <c r="N440" s="961"/>
      <c r="O440" s="51">
        <f t="shared" si="80"/>
        <v>1</v>
      </c>
      <c r="P440" s="961"/>
      <c r="Q440" s="51">
        <f t="shared" si="81"/>
        <v>1</v>
      </c>
      <c r="R440" s="488">
        <f t="shared" si="82"/>
        <v>0</v>
      </c>
      <c r="S440" s="797">
        <f t="shared" si="83"/>
        <v>0</v>
      </c>
    </row>
    <row r="441" spans="1:19">
      <c r="A441" s="963"/>
      <c r="B441" s="135"/>
      <c r="C441" s="51">
        <f t="shared" si="74"/>
        <v>1</v>
      </c>
      <c r="D441" s="961"/>
      <c r="E441" s="51">
        <f t="shared" si="75"/>
        <v>1</v>
      </c>
      <c r="F441" s="961"/>
      <c r="G441" s="51">
        <f t="shared" si="76"/>
        <v>1</v>
      </c>
      <c r="H441" s="961"/>
      <c r="I441" s="51">
        <f t="shared" si="77"/>
        <v>1</v>
      </c>
      <c r="J441" s="961"/>
      <c r="K441" s="51">
        <f t="shared" si="78"/>
        <v>1</v>
      </c>
      <c r="L441" s="961"/>
      <c r="M441" s="51">
        <f t="shared" si="79"/>
        <v>1</v>
      </c>
      <c r="N441" s="961"/>
      <c r="O441" s="51">
        <f t="shared" si="80"/>
        <v>1</v>
      </c>
      <c r="P441" s="961"/>
      <c r="Q441" s="51">
        <f t="shared" si="81"/>
        <v>1</v>
      </c>
      <c r="R441" s="488">
        <f t="shared" si="82"/>
        <v>0</v>
      </c>
      <c r="S441" s="797">
        <f t="shared" si="83"/>
        <v>0</v>
      </c>
    </row>
    <row r="442" spans="1:19">
      <c r="A442" s="963"/>
      <c r="B442" s="135"/>
      <c r="C442" s="51">
        <f t="shared" si="74"/>
        <v>1</v>
      </c>
      <c r="D442" s="961"/>
      <c r="E442" s="51">
        <f t="shared" si="75"/>
        <v>1</v>
      </c>
      <c r="F442" s="961"/>
      <c r="G442" s="51">
        <f t="shared" si="76"/>
        <v>1</v>
      </c>
      <c r="H442" s="961"/>
      <c r="I442" s="51">
        <f t="shared" si="77"/>
        <v>1</v>
      </c>
      <c r="J442" s="961"/>
      <c r="K442" s="51">
        <f t="shared" si="78"/>
        <v>1</v>
      </c>
      <c r="L442" s="961"/>
      <c r="M442" s="51">
        <f t="shared" si="79"/>
        <v>1</v>
      </c>
      <c r="N442" s="961"/>
      <c r="O442" s="51">
        <f t="shared" si="80"/>
        <v>1</v>
      </c>
      <c r="P442" s="961"/>
      <c r="Q442" s="51">
        <f t="shared" si="81"/>
        <v>1</v>
      </c>
      <c r="R442" s="488">
        <f t="shared" si="82"/>
        <v>0</v>
      </c>
      <c r="S442" s="797">
        <f t="shared" si="83"/>
        <v>0</v>
      </c>
    </row>
    <row r="443" spans="1:19">
      <c r="A443" s="963"/>
      <c r="B443" s="135"/>
      <c r="C443" s="51">
        <f t="shared" si="74"/>
        <v>1</v>
      </c>
      <c r="D443" s="961"/>
      <c r="E443" s="51">
        <f t="shared" si="75"/>
        <v>1</v>
      </c>
      <c r="F443" s="961"/>
      <c r="G443" s="51">
        <f t="shared" si="76"/>
        <v>1</v>
      </c>
      <c r="H443" s="961"/>
      <c r="I443" s="51">
        <f t="shared" si="77"/>
        <v>1</v>
      </c>
      <c r="J443" s="961"/>
      <c r="K443" s="51">
        <f t="shared" si="78"/>
        <v>1</v>
      </c>
      <c r="L443" s="961"/>
      <c r="M443" s="51">
        <f t="shared" si="79"/>
        <v>1</v>
      </c>
      <c r="N443" s="961"/>
      <c r="O443" s="51">
        <f t="shared" si="80"/>
        <v>1</v>
      </c>
      <c r="P443" s="961"/>
      <c r="Q443" s="51">
        <f t="shared" si="81"/>
        <v>1</v>
      </c>
      <c r="R443" s="488">
        <f t="shared" si="82"/>
        <v>0</v>
      </c>
      <c r="S443" s="797">
        <f t="shared" si="83"/>
        <v>0</v>
      </c>
    </row>
    <row r="444" spans="1:19">
      <c r="A444" s="963"/>
      <c r="B444" s="135"/>
      <c r="C444" s="51">
        <f t="shared" si="74"/>
        <v>1</v>
      </c>
      <c r="D444" s="961"/>
      <c r="E444" s="51">
        <f t="shared" si="75"/>
        <v>1</v>
      </c>
      <c r="F444" s="961"/>
      <c r="G444" s="51">
        <f t="shared" si="76"/>
        <v>1</v>
      </c>
      <c r="H444" s="961"/>
      <c r="I444" s="51">
        <f t="shared" si="77"/>
        <v>1</v>
      </c>
      <c r="J444" s="961"/>
      <c r="K444" s="51">
        <f t="shared" si="78"/>
        <v>1</v>
      </c>
      <c r="L444" s="961"/>
      <c r="M444" s="51">
        <f t="shared" si="79"/>
        <v>1</v>
      </c>
      <c r="N444" s="961"/>
      <c r="O444" s="51">
        <f t="shared" si="80"/>
        <v>1</v>
      </c>
      <c r="P444" s="961"/>
      <c r="Q444" s="51">
        <f t="shared" si="81"/>
        <v>1</v>
      </c>
      <c r="R444" s="488">
        <f t="shared" si="82"/>
        <v>0</v>
      </c>
      <c r="S444" s="797">
        <f t="shared" si="83"/>
        <v>0</v>
      </c>
    </row>
    <row r="445" spans="1:19">
      <c r="A445" s="963"/>
      <c r="B445" s="135"/>
      <c r="C445" s="51">
        <f t="shared" si="74"/>
        <v>1</v>
      </c>
      <c r="D445" s="961"/>
      <c r="E445" s="51">
        <f t="shared" si="75"/>
        <v>1</v>
      </c>
      <c r="F445" s="961"/>
      <c r="G445" s="51">
        <f t="shared" si="76"/>
        <v>1</v>
      </c>
      <c r="H445" s="961"/>
      <c r="I445" s="51">
        <f t="shared" si="77"/>
        <v>1</v>
      </c>
      <c r="J445" s="961"/>
      <c r="K445" s="51">
        <f t="shared" si="78"/>
        <v>1</v>
      </c>
      <c r="L445" s="961"/>
      <c r="M445" s="51">
        <f t="shared" si="79"/>
        <v>1</v>
      </c>
      <c r="N445" s="961"/>
      <c r="O445" s="51">
        <f t="shared" si="80"/>
        <v>1</v>
      </c>
      <c r="P445" s="961"/>
      <c r="Q445" s="51">
        <f t="shared" si="81"/>
        <v>1</v>
      </c>
      <c r="R445" s="488">
        <f t="shared" si="82"/>
        <v>0</v>
      </c>
      <c r="S445" s="797">
        <f t="shared" si="83"/>
        <v>0</v>
      </c>
    </row>
    <row r="446" spans="1:19">
      <c r="A446" s="963"/>
      <c r="B446" s="135"/>
      <c r="C446" s="51">
        <f t="shared" si="74"/>
        <v>1</v>
      </c>
      <c r="D446" s="961"/>
      <c r="E446" s="51">
        <f t="shared" si="75"/>
        <v>1</v>
      </c>
      <c r="F446" s="961"/>
      <c r="G446" s="51">
        <f t="shared" si="76"/>
        <v>1</v>
      </c>
      <c r="H446" s="961"/>
      <c r="I446" s="51">
        <f t="shared" si="77"/>
        <v>1</v>
      </c>
      <c r="J446" s="961"/>
      <c r="K446" s="51">
        <f t="shared" si="78"/>
        <v>1</v>
      </c>
      <c r="L446" s="961"/>
      <c r="M446" s="51">
        <f t="shared" si="79"/>
        <v>1</v>
      </c>
      <c r="N446" s="961"/>
      <c r="O446" s="51">
        <f t="shared" si="80"/>
        <v>1</v>
      </c>
      <c r="P446" s="961"/>
      <c r="Q446" s="51">
        <f t="shared" si="81"/>
        <v>1</v>
      </c>
      <c r="R446" s="488">
        <f t="shared" si="82"/>
        <v>0</v>
      </c>
      <c r="S446" s="797">
        <f t="shared" si="83"/>
        <v>0</v>
      </c>
    </row>
    <row r="447" spans="1:19">
      <c r="A447" s="963"/>
      <c r="B447" s="135"/>
      <c r="C447" s="51">
        <f t="shared" si="74"/>
        <v>1</v>
      </c>
      <c r="D447" s="961"/>
      <c r="E447" s="51">
        <f t="shared" si="75"/>
        <v>1</v>
      </c>
      <c r="F447" s="961"/>
      <c r="G447" s="51">
        <f t="shared" si="76"/>
        <v>1</v>
      </c>
      <c r="H447" s="961"/>
      <c r="I447" s="51">
        <f t="shared" si="77"/>
        <v>1</v>
      </c>
      <c r="J447" s="961"/>
      <c r="K447" s="51">
        <f t="shared" si="78"/>
        <v>1</v>
      </c>
      <c r="L447" s="961"/>
      <c r="M447" s="51">
        <f t="shared" si="79"/>
        <v>1</v>
      </c>
      <c r="N447" s="961"/>
      <c r="O447" s="51">
        <f t="shared" si="80"/>
        <v>1</v>
      </c>
      <c r="P447" s="961"/>
      <c r="Q447" s="51">
        <f t="shared" si="81"/>
        <v>1</v>
      </c>
      <c r="R447" s="488">
        <f t="shared" si="82"/>
        <v>0</v>
      </c>
      <c r="S447" s="797">
        <f t="shared" si="83"/>
        <v>0</v>
      </c>
    </row>
    <row r="448" spans="1:19">
      <c r="A448" s="963"/>
      <c r="B448" s="135"/>
      <c r="C448" s="51">
        <f t="shared" si="74"/>
        <v>1</v>
      </c>
      <c r="D448" s="961"/>
      <c r="E448" s="51">
        <f t="shared" si="75"/>
        <v>1</v>
      </c>
      <c r="F448" s="961"/>
      <c r="G448" s="51">
        <f t="shared" si="76"/>
        <v>1</v>
      </c>
      <c r="H448" s="961"/>
      <c r="I448" s="51">
        <f t="shared" si="77"/>
        <v>1</v>
      </c>
      <c r="J448" s="961"/>
      <c r="K448" s="51">
        <f t="shared" si="78"/>
        <v>1</v>
      </c>
      <c r="L448" s="961"/>
      <c r="M448" s="51">
        <f t="shared" si="79"/>
        <v>1</v>
      </c>
      <c r="N448" s="961"/>
      <c r="O448" s="51">
        <f t="shared" si="80"/>
        <v>1</v>
      </c>
      <c r="P448" s="961"/>
      <c r="Q448" s="51">
        <f t="shared" si="81"/>
        <v>1</v>
      </c>
      <c r="R448" s="488">
        <f t="shared" si="82"/>
        <v>0</v>
      </c>
      <c r="S448" s="797">
        <f t="shared" si="83"/>
        <v>0</v>
      </c>
    </row>
    <row r="449" spans="1:19">
      <c r="A449" s="963"/>
      <c r="B449" s="135"/>
      <c r="C449" s="51">
        <f t="shared" si="74"/>
        <v>1</v>
      </c>
      <c r="D449" s="961"/>
      <c r="E449" s="51">
        <f t="shared" si="75"/>
        <v>1</v>
      </c>
      <c r="F449" s="961"/>
      <c r="G449" s="51">
        <f t="shared" si="76"/>
        <v>1</v>
      </c>
      <c r="H449" s="961"/>
      <c r="I449" s="51">
        <f t="shared" si="77"/>
        <v>1</v>
      </c>
      <c r="J449" s="961"/>
      <c r="K449" s="51">
        <f t="shared" si="78"/>
        <v>1</v>
      </c>
      <c r="L449" s="961"/>
      <c r="M449" s="51">
        <f t="shared" si="79"/>
        <v>1</v>
      </c>
      <c r="N449" s="961"/>
      <c r="O449" s="51">
        <f t="shared" si="80"/>
        <v>1</v>
      </c>
      <c r="P449" s="961"/>
      <c r="Q449" s="51">
        <f t="shared" si="81"/>
        <v>1</v>
      </c>
      <c r="R449" s="488">
        <f t="shared" si="82"/>
        <v>0</v>
      </c>
      <c r="S449" s="797">
        <f t="shared" si="83"/>
        <v>0</v>
      </c>
    </row>
    <row r="450" spans="1:19">
      <c r="A450" s="963"/>
      <c r="B450" s="135"/>
      <c r="C450" s="51">
        <f t="shared" si="74"/>
        <v>1</v>
      </c>
      <c r="D450" s="961"/>
      <c r="E450" s="51">
        <f t="shared" si="75"/>
        <v>1</v>
      </c>
      <c r="F450" s="961"/>
      <c r="G450" s="51">
        <f t="shared" si="76"/>
        <v>1</v>
      </c>
      <c r="H450" s="961"/>
      <c r="I450" s="51">
        <f t="shared" si="77"/>
        <v>1</v>
      </c>
      <c r="J450" s="961"/>
      <c r="K450" s="51">
        <f t="shared" si="78"/>
        <v>1</v>
      </c>
      <c r="L450" s="961"/>
      <c r="M450" s="51">
        <f t="shared" si="79"/>
        <v>1</v>
      </c>
      <c r="N450" s="961"/>
      <c r="O450" s="51">
        <f t="shared" si="80"/>
        <v>1</v>
      </c>
      <c r="P450" s="961"/>
      <c r="Q450" s="51">
        <f t="shared" si="81"/>
        <v>1</v>
      </c>
      <c r="R450" s="488">
        <f t="shared" si="82"/>
        <v>0</v>
      </c>
      <c r="S450" s="797">
        <f t="shared" si="83"/>
        <v>0</v>
      </c>
    </row>
    <row r="451" spans="1:19">
      <c r="A451" s="963"/>
      <c r="B451" s="135"/>
      <c r="C451" s="51">
        <f t="shared" si="74"/>
        <v>1</v>
      </c>
      <c r="D451" s="961"/>
      <c r="E451" s="51">
        <f t="shared" si="75"/>
        <v>1</v>
      </c>
      <c r="F451" s="961"/>
      <c r="G451" s="51">
        <f t="shared" si="76"/>
        <v>1</v>
      </c>
      <c r="H451" s="961"/>
      <c r="I451" s="51">
        <f t="shared" si="77"/>
        <v>1</v>
      </c>
      <c r="J451" s="961"/>
      <c r="K451" s="51">
        <f t="shared" si="78"/>
        <v>1</v>
      </c>
      <c r="L451" s="961"/>
      <c r="M451" s="51">
        <f t="shared" si="79"/>
        <v>1</v>
      </c>
      <c r="N451" s="961"/>
      <c r="O451" s="51">
        <f t="shared" si="80"/>
        <v>1</v>
      </c>
      <c r="P451" s="961"/>
      <c r="Q451" s="51">
        <f t="shared" si="81"/>
        <v>1</v>
      </c>
      <c r="R451" s="488">
        <f t="shared" si="82"/>
        <v>0</v>
      </c>
      <c r="S451" s="797">
        <f t="shared" si="83"/>
        <v>0</v>
      </c>
    </row>
    <row r="452" spans="1:19">
      <c r="A452" s="963"/>
      <c r="B452" s="135"/>
      <c r="C452" s="51">
        <f t="shared" si="74"/>
        <v>1</v>
      </c>
      <c r="D452" s="961"/>
      <c r="E452" s="51">
        <f t="shared" si="75"/>
        <v>1</v>
      </c>
      <c r="F452" s="961"/>
      <c r="G452" s="51">
        <f t="shared" si="76"/>
        <v>1</v>
      </c>
      <c r="H452" s="961"/>
      <c r="I452" s="51">
        <f t="shared" si="77"/>
        <v>1</v>
      </c>
      <c r="J452" s="961"/>
      <c r="K452" s="51">
        <f t="shared" si="78"/>
        <v>1</v>
      </c>
      <c r="L452" s="961"/>
      <c r="M452" s="51">
        <f t="shared" si="79"/>
        <v>1</v>
      </c>
      <c r="N452" s="961"/>
      <c r="O452" s="51">
        <f t="shared" si="80"/>
        <v>1</v>
      </c>
      <c r="P452" s="961"/>
      <c r="Q452" s="51">
        <f t="shared" si="81"/>
        <v>1</v>
      </c>
      <c r="R452" s="488">
        <f t="shared" si="82"/>
        <v>0</v>
      </c>
      <c r="S452" s="797">
        <f t="shared" si="83"/>
        <v>0</v>
      </c>
    </row>
    <row r="453" spans="1:19">
      <c r="A453" s="963"/>
      <c r="B453" s="135"/>
      <c r="C453" s="51">
        <f t="shared" si="74"/>
        <v>1</v>
      </c>
      <c r="D453" s="961"/>
      <c r="E453" s="51">
        <f t="shared" si="75"/>
        <v>1</v>
      </c>
      <c r="F453" s="961"/>
      <c r="G453" s="51">
        <f t="shared" si="76"/>
        <v>1</v>
      </c>
      <c r="H453" s="961"/>
      <c r="I453" s="51">
        <f t="shared" si="77"/>
        <v>1</v>
      </c>
      <c r="J453" s="961"/>
      <c r="K453" s="51">
        <f t="shared" si="78"/>
        <v>1</v>
      </c>
      <c r="L453" s="961"/>
      <c r="M453" s="51">
        <f t="shared" si="79"/>
        <v>1</v>
      </c>
      <c r="N453" s="961"/>
      <c r="O453" s="51">
        <f t="shared" si="80"/>
        <v>1</v>
      </c>
      <c r="P453" s="961"/>
      <c r="Q453" s="51">
        <f t="shared" si="81"/>
        <v>1</v>
      </c>
      <c r="R453" s="488">
        <f t="shared" si="82"/>
        <v>0</v>
      </c>
      <c r="S453" s="797">
        <f t="shared" si="83"/>
        <v>0</v>
      </c>
    </row>
    <row r="454" spans="1:19">
      <c r="A454" s="963"/>
      <c r="B454" s="135"/>
      <c r="C454" s="51">
        <f t="shared" si="74"/>
        <v>1</v>
      </c>
      <c r="D454" s="961"/>
      <c r="E454" s="51">
        <f t="shared" si="75"/>
        <v>1</v>
      </c>
      <c r="F454" s="961"/>
      <c r="G454" s="51">
        <f t="shared" si="76"/>
        <v>1</v>
      </c>
      <c r="H454" s="961"/>
      <c r="I454" s="51">
        <f t="shared" si="77"/>
        <v>1</v>
      </c>
      <c r="J454" s="961"/>
      <c r="K454" s="51">
        <f t="shared" si="78"/>
        <v>1</v>
      </c>
      <c r="L454" s="961"/>
      <c r="M454" s="51">
        <f t="shared" si="79"/>
        <v>1</v>
      </c>
      <c r="N454" s="961"/>
      <c r="O454" s="51">
        <f t="shared" si="80"/>
        <v>1</v>
      </c>
      <c r="P454" s="961"/>
      <c r="Q454" s="51">
        <f t="shared" si="81"/>
        <v>1</v>
      </c>
      <c r="R454" s="488">
        <f t="shared" si="82"/>
        <v>0</v>
      </c>
      <c r="S454" s="797">
        <f t="shared" si="83"/>
        <v>0</v>
      </c>
    </row>
    <row r="455" spans="1:19">
      <c r="A455" s="963"/>
      <c r="B455" s="135"/>
      <c r="C455" s="51">
        <f t="shared" si="74"/>
        <v>1</v>
      </c>
      <c r="D455" s="961"/>
      <c r="E455" s="51">
        <f t="shared" si="75"/>
        <v>1</v>
      </c>
      <c r="F455" s="961"/>
      <c r="G455" s="51">
        <f t="shared" si="76"/>
        <v>1</v>
      </c>
      <c r="H455" s="961"/>
      <c r="I455" s="51">
        <f t="shared" si="77"/>
        <v>1</v>
      </c>
      <c r="J455" s="961"/>
      <c r="K455" s="51">
        <f t="shared" si="78"/>
        <v>1</v>
      </c>
      <c r="L455" s="961"/>
      <c r="M455" s="51">
        <f t="shared" si="79"/>
        <v>1</v>
      </c>
      <c r="N455" s="961"/>
      <c r="O455" s="51">
        <f t="shared" si="80"/>
        <v>1</v>
      </c>
      <c r="P455" s="961"/>
      <c r="Q455" s="51">
        <f t="shared" si="81"/>
        <v>1</v>
      </c>
      <c r="R455" s="488">
        <f t="shared" si="82"/>
        <v>0</v>
      </c>
      <c r="S455" s="797">
        <f t="shared" si="83"/>
        <v>0</v>
      </c>
    </row>
    <row r="456" spans="1:19">
      <c r="A456" s="963"/>
      <c r="B456" s="135"/>
      <c r="C456" s="51">
        <f t="shared" si="74"/>
        <v>1</v>
      </c>
      <c r="D456" s="961"/>
      <c r="E456" s="51">
        <f t="shared" si="75"/>
        <v>1</v>
      </c>
      <c r="F456" s="961"/>
      <c r="G456" s="51">
        <f t="shared" si="76"/>
        <v>1</v>
      </c>
      <c r="H456" s="961"/>
      <c r="I456" s="51">
        <f t="shared" si="77"/>
        <v>1</v>
      </c>
      <c r="J456" s="961"/>
      <c r="K456" s="51">
        <f t="shared" si="78"/>
        <v>1</v>
      </c>
      <c r="L456" s="961"/>
      <c r="M456" s="51">
        <f t="shared" si="79"/>
        <v>1</v>
      </c>
      <c r="N456" s="961"/>
      <c r="O456" s="51">
        <f t="shared" si="80"/>
        <v>1</v>
      </c>
      <c r="P456" s="961"/>
      <c r="Q456" s="51">
        <f t="shared" si="81"/>
        <v>1</v>
      </c>
      <c r="R456" s="488">
        <f t="shared" si="82"/>
        <v>0</v>
      </c>
      <c r="S456" s="797">
        <f t="shared" si="83"/>
        <v>0</v>
      </c>
    </row>
    <row r="457" spans="1:19">
      <c r="A457" s="963"/>
      <c r="B457" s="135"/>
      <c r="C457" s="51">
        <f t="shared" si="74"/>
        <v>1</v>
      </c>
      <c r="D457" s="961"/>
      <c r="E457" s="51">
        <f t="shared" si="75"/>
        <v>1</v>
      </c>
      <c r="F457" s="961"/>
      <c r="G457" s="51">
        <f t="shared" si="76"/>
        <v>1</v>
      </c>
      <c r="H457" s="961"/>
      <c r="I457" s="51">
        <f t="shared" si="77"/>
        <v>1</v>
      </c>
      <c r="J457" s="961"/>
      <c r="K457" s="51">
        <f t="shared" si="78"/>
        <v>1</v>
      </c>
      <c r="L457" s="961"/>
      <c r="M457" s="51">
        <f t="shared" si="79"/>
        <v>1</v>
      </c>
      <c r="N457" s="961"/>
      <c r="O457" s="51">
        <f t="shared" si="80"/>
        <v>1</v>
      </c>
      <c r="P457" s="961"/>
      <c r="Q457" s="51">
        <f t="shared" si="81"/>
        <v>1</v>
      </c>
      <c r="R457" s="488">
        <f t="shared" si="82"/>
        <v>0</v>
      </c>
      <c r="S457" s="797">
        <f t="shared" si="83"/>
        <v>0</v>
      </c>
    </row>
    <row r="458" spans="1:19">
      <c r="A458" s="963"/>
      <c r="B458" s="135"/>
      <c r="C458" s="51">
        <f t="shared" si="74"/>
        <v>1</v>
      </c>
      <c r="D458" s="961"/>
      <c r="E458" s="51">
        <f t="shared" si="75"/>
        <v>1</v>
      </c>
      <c r="F458" s="961"/>
      <c r="G458" s="51">
        <f t="shared" si="76"/>
        <v>1</v>
      </c>
      <c r="H458" s="961"/>
      <c r="I458" s="51">
        <f t="shared" si="77"/>
        <v>1</v>
      </c>
      <c r="J458" s="961"/>
      <c r="K458" s="51">
        <f t="shared" si="78"/>
        <v>1</v>
      </c>
      <c r="L458" s="961"/>
      <c r="M458" s="51">
        <f t="shared" si="79"/>
        <v>1</v>
      </c>
      <c r="N458" s="961"/>
      <c r="O458" s="51">
        <f t="shared" si="80"/>
        <v>1</v>
      </c>
      <c r="P458" s="961"/>
      <c r="Q458" s="51">
        <f t="shared" si="81"/>
        <v>1</v>
      </c>
      <c r="R458" s="488">
        <f t="shared" si="82"/>
        <v>0</v>
      </c>
      <c r="S458" s="797">
        <f t="shared" si="83"/>
        <v>0</v>
      </c>
    </row>
    <row r="459" spans="1:19">
      <c r="A459" s="963"/>
      <c r="B459" s="135"/>
      <c r="C459" s="51">
        <f t="shared" si="74"/>
        <v>1</v>
      </c>
      <c r="D459" s="961"/>
      <c r="E459" s="51">
        <f t="shared" si="75"/>
        <v>1</v>
      </c>
      <c r="F459" s="961"/>
      <c r="G459" s="51">
        <f t="shared" si="76"/>
        <v>1</v>
      </c>
      <c r="H459" s="961"/>
      <c r="I459" s="51">
        <f t="shared" si="77"/>
        <v>1</v>
      </c>
      <c r="J459" s="961"/>
      <c r="K459" s="51">
        <f t="shared" si="78"/>
        <v>1</v>
      </c>
      <c r="L459" s="961"/>
      <c r="M459" s="51">
        <f t="shared" si="79"/>
        <v>1</v>
      </c>
      <c r="N459" s="961"/>
      <c r="O459" s="51">
        <f t="shared" si="80"/>
        <v>1</v>
      </c>
      <c r="P459" s="961"/>
      <c r="Q459" s="51">
        <f t="shared" si="81"/>
        <v>1</v>
      </c>
      <c r="R459" s="488">
        <f t="shared" si="82"/>
        <v>0</v>
      </c>
      <c r="S459" s="797">
        <f t="shared" si="83"/>
        <v>0</v>
      </c>
    </row>
    <row r="460" spans="1:19">
      <c r="A460" s="963"/>
      <c r="B460" s="135"/>
      <c r="C460" s="51">
        <f t="shared" si="74"/>
        <v>1</v>
      </c>
      <c r="D460" s="961"/>
      <c r="E460" s="51">
        <f t="shared" si="75"/>
        <v>1</v>
      </c>
      <c r="F460" s="961"/>
      <c r="G460" s="51">
        <f t="shared" si="76"/>
        <v>1</v>
      </c>
      <c r="H460" s="961"/>
      <c r="I460" s="51">
        <f t="shared" si="77"/>
        <v>1</v>
      </c>
      <c r="J460" s="961"/>
      <c r="K460" s="51">
        <f t="shared" si="78"/>
        <v>1</v>
      </c>
      <c r="L460" s="961"/>
      <c r="M460" s="51">
        <f t="shared" si="79"/>
        <v>1</v>
      </c>
      <c r="N460" s="961"/>
      <c r="O460" s="51">
        <f t="shared" si="80"/>
        <v>1</v>
      </c>
      <c r="P460" s="961"/>
      <c r="Q460" s="51">
        <f t="shared" si="81"/>
        <v>1</v>
      </c>
      <c r="R460" s="488">
        <f t="shared" si="82"/>
        <v>0</v>
      </c>
      <c r="S460" s="797">
        <f t="shared" si="83"/>
        <v>0</v>
      </c>
    </row>
    <row r="461" spans="1:19">
      <c r="A461" s="963"/>
      <c r="B461" s="135"/>
      <c r="C461" s="51">
        <f t="shared" si="74"/>
        <v>1</v>
      </c>
      <c r="D461" s="961"/>
      <c r="E461" s="51">
        <f t="shared" si="75"/>
        <v>1</v>
      </c>
      <c r="F461" s="961"/>
      <c r="G461" s="51">
        <f t="shared" si="76"/>
        <v>1</v>
      </c>
      <c r="H461" s="961"/>
      <c r="I461" s="51">
        <f t="shared" si="77"/>
        <v>1</v>
      </c>
      <c r="J461" s="961"/>
      <c r="K461" s="51">
        <f t="shared" si="78"/>
        <v>1</v>
      </c>
      <c r="L461" s="961"/>
      <c r="M461" s="51">
        <f t="shared" si="79"/>
        <v>1</v>
      </c>
      <c r="N461" s="961"/>
      <c r="O461" s="51">
        <f t="shared" si="80"/>
        <v>1</v>
      </c>
      <c r="P461" s="961"/>
      <c r="Q461" s="51">
        <f t="shared" si="81"/>
        <v>1</v>
      </c>
      <c r="R461" s="488">
        <f t="shared" si="82"/>
        <v>0</v>
      </c>
      <c r="S461" s="797">
        <f t="shared" si="83"/>
        <v>0</v>
      </c>
    </row>
    <row r="462" spans="1:19">
      <c r="A462" s="963"/>
      <c r="B462" s="135"/>
      <c r="C462" s="51">
        <f t="shared" si="74"/>
        <v>1</v>
      </c>
      <c r="D462" s="961"/>
      <c r="E462" s="51">
        <f t="shared" si="75"/>
        <v>1</v>
      </c>
      <c r="F462" s="961"/>
      <c r="G462" s="51">
        <f t="shared" si="76"/>
        <v>1</v>
      </c>
      <c r="H462" s="961"/>
      <c r="I462" s="51">
        <f t="shared" si="77"/>
        <v>1</v>
      </c>
      <c r="J462" s="961"/>
      <c r="K462" s="51">
        <f t="shared" si="78"/>
        <v>1</v>
      </c>
      <c r="L462" s="961"/>
      <c r="M462" s="51">
        <f t="shared" si="79"/>
        <v>1</v>
      </c>
      <c r="N462" s="961"/>
      <c r="O462" s="51">
        <f t="shared" si="80"/>
        <v>1</v>
      </c>
      <c r="P462" s="961"/>
      <c r="Q462" s="51">
        <f t="shared" si="81"/>
        <v>1</v>
      </c>
      <c r="R462" s="488">
        <f t="shared" si="82"/>
        <v>0</v>
      </c>
      <c r="S462" s="797">
        <f t="shared" si="83"/>
        <v>0</v>
      </c>
    </row>
    <row r="463" spans="1:19">
      <c r="A463" s="963"/>
      <c r="B463" s="135"/>
      <c r="C463" s="51">
        <f t="shared" si="74"/>
        <v>1</v>
      </c>
      <c r="D463" s="961"/>
      <c r="E463" s="51">
        <f t="shared" si="75"/>
        <v>1</v>
      </c>
      <c r="F463" s="961"/>
      <c r="G463" s="51">
        <f t="shared" si="76"/>
        <v>1</v>
      </c>
      <c r="H463" s="961"/>
      <c r="I463" s="51">
        <f t="shared" si="77"/>
        <v>1</v>
      </c>
      <c r="J463" s="961"/>
      <c r="K463" s="51">
        <f t="shared" si="78"/>
        <v>1</v>
      </c>
      <c r="L463" s="961"/>
      <c r="M463" s="51">
        <f t="shared" si="79"/>
        <v>1</v>
      </c>
      <c r="N463" s="961"/>
      <c r="O463" s="51">
        <f t="shared" si="80"/>
        <v>1</v>
      </c>
      <c r="P463" s="961"/>
      <c r="Q463" s="51">
        <f t="shared" si="81"/>
        <v>1</v>
      </c>
      <c r="R463" s="488">
        <f t="shared" si="82"/>
        <v>0</v>
      </c>
      <c r="S463" s="797">
        <f t="shared" si="83"/>
        <v>0</v>
      </c>
    </row>
    <row r="464" spans="1:19">
      <c r="A464" s="963"/>
      <c r="B464" s="135"/>
      <c r="C464" s="51">
        <f t="shared" si="74"/>
        <v>1</v>
      </c>
      <c r="D464" s="961"/>
      <c r="E464" s="51">
        <f t="shared" si="75"/>
        <v>1</v>
      </c>
      <c r="F464" s="961"/>
      <c r="G464" s="51">
        <f t="shared" si="76"/>
        <v>1</v>
      </c>
      <c r="H464" s="961"/>
      <c r="I464" s="51">
        <f t="shared" si="77"/>
        <v>1</v>
      </c>
      <c r="J464" s="961"/>
      <c r="K464" s="51">
        <f t="shared" si="78"/>
        <v>1</v>
      </c>
      <c r="L464" s="961"/>
      <c r="M464" s="51">
        <f t="shared" si="79"/>
        <v>1</v>
      </c>
      <c r="N464" s="961"/>
      <c r="O464" s="51">
        <f t="shared" si="80"/>
        <v>1</v>
      </c>
      <c r="P464" s="961"/>
      <c r="Q464" s="51">
        <f t="shared" si="81"/>
        <v>1</v>
      </c>
      <c r="R464" s="488">
        <f t="shared" si="82"/>
        <v>0</v>
      </c>
      <c r="S464" s="797">
        <f t="shared" si="83"/>
        <v>0</v>
      </c>
    </row>
    <row r="465" spans="1:19">
      <c r="A465" s="963"/>
      <c r="B465" s="135"/>
      <c r="C465" s="51">
        <f t="shared" si="74"/>
        <v>1</v>
      </c>
      <c r="D465" s="961"/>
      <c r="E465" s="51">
        <f t="shared" si="75"/>
        <v>1</v>
      </c>
      <c r="F465" s="961"/>
      <c r="G465" s="51">
        <f t="shared" si="76"/>
        <v>1</v>
      </c>
      <c r="H465" s="961"/>
      <c r="I465" s="51">
        <f t="shared" si="77"/>
        <v>1</v>
      </c>
      <c r="J465" s="961"/>
      <c r="K465" s="51">
        <f t="shared" si="78"/>
        <v>1</v>
      </c>
      <c r="L465" s="961"/>
      <c r="M465" s="51">
        <f t="shared" si="79"/>
        <v>1</v>
      </c>
      <c r="N465" s="961"/>
      <c r="O465" s="51">
        <f t="shared" si="80"/>
        <v>1</v>
      </c>
      <c r="P465" s="961"/>
      <c r="Q465" s="51">
        <f t="shared" si="81"/>
        <v>1</v>
      </c>
      <c r="R465" s="488">
        <f t="shared" si="82"/>
        <v>0</v>
      </c>
      <c r="S465" s="797">
        <f t="shared" si="83"/>
        <v>0</v>
      </c>
    </row>
    <row r="466" spans="1:19">
      <c r="A466" s="963"/>
      <c r="B466" s="135"/>
      <c r="C466" s="51">
        <f t="shared" si="74"/>
        <v>1</v>
      </c>
      <c r="D466" s="961"/>
      <c r="E466" s="51">
        <f t="shared" si="75"/>
        <v>1</v>
      </c>
      <c r="F466" s="961"/>
      <c r="G466" s="51">
        <f t="shared" si="76"/>
        <v>1</v>
      </c>
      <c r="H466" s="961"/>
      <c r="I466" s="51">
        <f t="shared" si="77"/>
        <v>1</v>
      </c>
      <c r="J466" s="961"/>
      <c r="K466" s="51">
        <f t="shared" si="78"/>
        <v>1</v>
      </c>
      <c r="L466" s="961"/>
      <c r="M466" s="51">
        <f t="shared" si="79"/>
        <v>1</v>
      </c>
      <c r="N466" s="961"/>
      <c r="O466" s="51">
        <f t="shared" si="80"/>
        <v>1</v>
      </c>
      <c r="P466" s="961"/>
      <c r="Q466" s="51">
        <f t="shared" si="81"/>
        <v>1</v>
      </c>
      <c r="R466" s="488">
        <f t="shared" si="82"/>
        <v>0</v>
      </c>
      <c r="S466" s="797">
        <f t="shared" si="83"/>
        <v>0</v>
      </c>
    </row>
    <row r="467" spans="1:19">
      <c r="A467" s="963"/>
      <c r="B467" s="135"/>
      <c r="C467" s="51">
        <f t="shared" si="74"/>
        <v>1</v>
      </c>
      <c r="D467" s="961"/>
      <c r="E467" s="51">
        <f t="shared" si="75"/>
        <v>1</v>
      </c>
      <c r="F467" s="961"/>
      <c r="G467" s="51">
        <f t="shared" si="76"/>
        <v>1</v>
      </c>
      <c r="H467" s="961"/>
      <c r="I467" s="51">
        <f t="shared" si="77"/>
        <v>1</v>
      </c>
      <c r="J467" s="961"/>
      <c r="K467" s="51">
        <f t="shared" si="78"/>
        <v>1</v>
      </c>
      <c r="L467" s="961"/>
      <c r="M467" s="51">
        <f t="shared" si="79"/>
        <v>1</v>
      </c>
      <c r="N467" s="961"/>
      <c r="O467" s="51">
        <f t="shared" si="80"/>
        <v>1</v>
      </c>
      <c r="P467" s="961"/>
      <c r="Q467" s="51">
        <f t="shared" si="81"/>
        <v>1</v>
      </c>
      <c r="R467" s="488">
        <f t="shared" si="82"/>
        <v>0</v>
      </c>
      <c r="S467" s="797">
        <f t="shared" si="83"/>
        <v>0</v>
      </c>
    </row>
    <row r="468" spans="1:19">
      <c r="A468" s="963"/>
      <c r="B468" s="135"/>
      <c r="C468" s="51">
        <f t="shared" si="74"/>
        <v>1</v>
      </c>
      <c r="D468" s="961"/>
      <c r="E468" s="51">
        <f t="shared" si="75"/>
        <v>1</v>
      </c>
      <c r="F468" s="961"/>
      <c r="G468" s="51">
        <f t="shared" si="76"/>
        <v>1</v>
      </c>
      <c r="H468" s="961"/>
      <c r="I468" s="51">
        <f t="shared" si="77"/>
        <v>1</v>
      </c>
      <c r="J468" s="961"/>
      <c r="K468" s="51">
        <f t="shared" si="78"/>
        <v>1</v>
      </c>
      <c r="L468" s="961"/>
      <c r="M468" s="51">
        <f t="shared" si="79"/>
        <v>1</v>
      </c>
      <c r="N468" s="961"/>
      <c r="O468" s="51">
        <f t="shared" si="80"/>
        <v>1</v>
      </c>
      <c r="P468" s="961"/>
      <c r="Q468" s="51">
        <f t="shared" si="81"/>
        <v>1</v>
      </c>
      <c r="R468" s="488">
        <f t="shared" si="82"/>
        <v>0</v>
      </c>
      <c r="S468" s="797">
        <f t="shared" ref="S468:S497" si="84">ROUND(R468*B468/10000,0)</f>
        <v>0</v>
      </c>
    </row>
    <row r="469" spans="1:19">
      <c r="A469" s="963"/>
      <c r="B469" s="135"/>
      <c r="C469" s="51">
        <f t="shared" si="74"/>
        <v>1</v>
      </c>
      <c r="D469" s="961"/>
      <c r="E469" s="51">
        <f t="shared" si="75"/>
        <v>1</v>
      </c>
      <c r="F469" s="961"/>
      <c r="G469" s="51">
        <f t="shared" si="76"/>
        <v>1</v>
      </c>
      <c r="H469" s="961"/>
      <c r="I469" s="51">
        <f t="shared" si="77"/>
        <v>1</v>
      </c>
      <c r="J469" s="961"/>
      <c r="K469" s="51">
        <f t="shared" si="78"/>
        <v>1</v>
      </c>
      <c r="L469" s="961"/>
      <c r="M469" s="51">
        <f t="shared" si="79"/>
        <v>1</v>
      </c>
      <c r="N469" s="961"/>
      <c r="O469" s="51">
        <f t="shared" si="80"/>
        <v>1</v>
      </c>
      <c r="P469" s="961"/>
      <c r="Q469" s="51">
        <f t="shared" si="81"/>
        <v>1</v>
      </c>
      <c r="R469" s="488">
        <f t="shared" si="82"/>
        <v>0</v>
      </c>
      <c r="S469" s="797">
        <f t="shared" si="84"/>
        <v>0</v>
      </c>
    </row>
    <row r="470" spans="1:19">
      <c r="A470" s="963"/>
      <c r="B470" s="135"/>
      <c r="C470" s="51">
        <f t="shared" si="74"/>
        <v>1</v>
      </c>
      <c r="D470" s="961"/>
      <c r="E470" s="51">
        <f t="shared" si="75"/>
        <v>1</v>
      </c>
      <c r="F470" s="961"/>
      <c r="G470" s="51">
        <f t="shared" si="76"/>
        <v>1</v>
      </c>
      <c r="H470" s="961"/>
      <c r="I470" s="51">
        <f t="shared" si="77"/>
        <v>1</v>
      </c>
      <c r="J470" s="961"/>
      <c r="K470" s="51">
        <f t="shared" si="78"/>
        <v>1</v>
      </c>
      <c r="L470" s="961"/>
      <c r="M470" s="51">
        <f t="shared" si="79"/>
        <v>1</v>
      </c>
      <c r="N470" s="961"/>
      <c r="O470" s="51">
        <f t="shared" si="80"/>
        <v>1</v>
      </c>
      <c r="P470" s="961"/>
      <c r="Q470" s="51">
        <f t="shared" si="81"/>
        <v>1</v>
      </c>
      <c r="R470" s="488">
        <f t="shared" si="82"/>
        <v>0</v>
      </c>
      <c r="S470" s="797">
        <f t="shared" si="84"/>
        <v>0</v>
      </c>
    </row>
    <row r="471" spans="1:19">
      <c r="A471" s="963"/>
      <c r="B471" s="135"/>
      <c r="C471" s="51">
        <f t="shared" si="74"/>
        <v>1</v>
      </c>
      <c r="D471" s="961"/>
      <c r="E471" s="51">
        <f t="shared" si="75"/>
        <v>1</v>
      </c>
      <c r="F471" s="961"/>
      <c r="G471" s="51">
        <f t="shared" si="76"/>
        <v>1</v>
      </c>
      <c r="H471" s="961"/>
      <c r="I471" s="51">
        <f t="shared" si="77"/>
        <v>1</v>
      </c>
      <c r="J471" s="961"/>
      <c r="K471" s="51">
        <f t="shared" si="78"/>
        <v>1</v>
      </c>
      <c r="L471" s="961"/>
      <c r="M471" s="51">
        <f t="shared" si="79"/>
        <v>1</v>
      </c>
      <c r="N471" s="961"/>
      <c r="O471" s="51">
        <f t="shared" si="80"/>
        <v>1</v>
      </c>
      <c r="P471" s="961"/>
      <c r="Q471" s="51">
        <f t="shared" si="81"/>
        <v>1</v>
      </c>
      <c r="R471" s="488">
        <f t="shared" si="82"/>
        <v>0</v>
      </c>
      <c r="S471" s="797">
        <f t="shared" si="84"/>
        <v>0</v>
      </c>
    </row>
    <row r="472" spans="1:19">
      <c r="A472" s="963"/>
      <c r="B472" s="135"/>
      <c r="C472" s="51">
        <f t="shared" si="74"/>
        <v>1</v>
      </c>
      <c r="D472" s="961"/>
      <c r="E472" s="51">
        <f t="shared" si="75"/>
        <v>1</v>
      </c>
      <c r="F472" s="961"/>
      <c r="G472" s="51">
        <f t="shared" si="76"/>
        <v>1</v>
      </c>
      <c r="H472" s="961"/>
      <c r="I472" s="51">
        <f t="shared" si="77"/>
        <v>1</v>
      </c>
      <c r="J472" s="961"/>
      <c r="K472" s="51">
        <f t="shared" si="78"/>
        <v>1</v>
      </c>
      <c r="L472" s="961"/>
      <c r="M472" s="51">
        <f t="shared" si="79"/>
        <v>1</v>
      </c>
      <c r="N472" s="961"/>
      <c r="O472" s="51">
        <f t="shared" si="80"/>
        <v>1</v>
      </c>
      <c r="P472" s="961"/>
      <c r="Q472" s="51">
        <f t="shared" si="81"/>
        <v>1</v>
      </c>
      <c r="R472" s="488">
        <f t="shared" si="82"/>
        <v>0</v>
      </c>
      <c r="S472" s="797">
        <f t="shared" si="84"/>
        <v>0</v>
      </c>
    </row>
    <row r="473" spans="1:19">
      <c r="A473" s="963"/>
      <c r="B473" s="135"/>
      <c r="C473" s="51">
        <f t="shared" si="74"/>
        <v>1</v>
      </c>
      <c r="D473" s="961"/>
      <c r="E473" s="51">
        <f t="shared" si="75"/>
        <v>1</v>
      </c>
      <c r="F473" s="961"/>
      <c r="G473" s="51">
        <f t="shared" si="76"/>
        <v>1</v>
      </c>
      <c r="H473" s="961"/>
      <c r="I473" s="51">
        <f t="shared" si="77"/>
        <v>1</v>
      </c>
      <c r="J473" s="961"/>
      <c r="K473" s="51">
        <f t="shared" si="78"/>
        <v>1</v>
      </c>
      <c r="L473" s="961"/>
      <c r="M473" s="51">
        <f t="shared" si="79"/>
        <v>1</v>
      </c>
      <c r="N473" s="961"/>
      <c r="O473" s="51">
        <f t="shared" si="80"/>
        <v>1</v>
      </c>
      <c r="P473" s="961"/>
      <c r="Q473" s="51">
        <f t="shared" si="81"/>
        <v>1</v>
      </c>
      <c r="R473" s="488">
        <f t="shared" si="82"/>
        <v>0</v>
      </c>
      <c r="S473" s="797">
        <f t="shared" si="84"/>
        <v>0</v>
      </c>
    </row>
    <row r="474" spans="1:19">
      <c r="A474" s="963"/>
      <c r="B474" s="135"/>
      <c r="C474" s="51">
        <f t="shared" ref="C474:C524" si="85">IF(B474="",1,(LOOKUP(B474,$3:$3,$4:$4)-LOOKUP($B$24,$3:$3,$4:$4)+100)/100)</f>
        <v>1</v>
      </c>
      <c r="D474" s="961"/>
      <c r="E474" s="51">
        <f t="shared" ref="E474:E524" si="86">(SUMIF($5:$5,D474,$6:$6)-SUMIF($5:$5,$D$24,$6:$6)+100)/100</f>
        <v>1</v>
      </c>
      <c r="F474" s="961"/>
      <c r="G474" s="51">
        <f t="shared" ref="G474:G524" si="87">(SUMIF($7:$7,F474,$8:$8)-SUMIF($7:$7,$F$24,$8:$8)+100)/100</f>
        <v>1</v>
      </c>
      <c r="H474" s="961"/>
      <c r="I474" s="51">
        <f t="shared" ref="I474:I524" si="88">(SUMIF($9:$9,H474,$10:$10)-SUMIF($9:$9,$H$24,$10:$10)+100)/100</f>
        <v>1</v>
      </c>
      <c r="J474" s="961"/>
      <c r="K474" s="51">
        <f t="shared" ref="K474:K524" si="89">(SUMIF($11:$11,J474,$12:$12)-SUMIF($11:$11,$J$24,$12:$12)+100)/100</f>
        <v>1</v>
      </c>
      <c r="L474" s="961"/>
      <c r="M474" s="51">
        <f t="shared" ref="M474:M524" si="90">(SUMIF($13:$13,L474,$14:$14)-SUMIF($13:$13,$L$24,$14:$14)+100)/100</f>
        <v>1</v>
      </c>
      <c r="N474" s="961"/>
      <c r="O474" s="51">
        <f t="shared" ref="O474:O524" si="91">(SUMIF($15:$15,N474,$16:$16)-SUMIF($15:$15,$N$24,$16:$16)+100)/100</f>
        <v>1</v>
      </c>
      <c r="P474" s="961"/>
      <c r="Q474" s="51">
        <f t="shared" ref="Q474:Q524" si="92">(SUMIF($17:$17,P474,$18:$18)-SUMIF($17:$17,$P$24,$18:$18)+100)/100</f>
        <v>1</v>
      </c>
      <c r="R474" s="488">
        <f t="shared" ref="R474:R524" si="93">IF(B474="",0,ROUND($R$24*C474*E474*G474*I474*K474*M474*O474*Q474,0))</f>
        <v>0</v>
      </c>
      <c r="S474" s="797">
        <f t="shared" si="84"/>
        <v>0</v>
      </c>
    </row>
    <row r="475" spans="1:19">
      <c r="A475" s="963"/>
      <c r="B475" s="135"/>
      <c r="C475" s="51">
        <f t="shared" si="85"/>
        <v>1</v>
      </c>
      <c r="D475" s="961"/>
      <c r="E475" s="51">
        <f t="shared" si="86"/>
        <v>1</v>
      </c>
      <c r="F475" s="961"/>
      <c r="G475" s="51">
        <f t="shared" si="87"/>
        <v>1</v>
      </c>
      <c r="H475" s="961"/>
      <c r="I475" s="51">
        <f t="shared" si="88"/>
        <v>1</v>
      </c>
      <c r="J475" s="961"/>
      <c r="K475" s="51">
        <f t="shared" si="89"/>
        <v>1</v>
      </c>
      <c r="L475" s="961"/>
      <c r="M475" s="51">
        <f t="shared" si="90"/>
        <v>1</v>
      </c>
      <c r="N475" s="961"/>
      <c r="O475" s="51">
        <f t="shared" si="91"/>
        <v>1</v>
      </c>
      <c r="P475" s="961"/>
      <c r="Q475" s="51">
        <f t="shared" si="92"/>
        <v>1</v>
      </c>
      <c r="R475" s="488">
        <f t="shared" si="93"/>
        <v>0</v>
      </c>
      <c r="S475" s="797">
        <f t="shared" si="84"/>
        <v>0</v>
      </c>
    </row>
    <row r="476" spans="1:19">
      <c r="A476" s="963"/>
      <c r="B476" s="135"/>
      <c r="C476" s="51">
        <f t="shared" si="85"/>
        <v>1</v>
      </c>
      <c r="D476" s="961"/>
      <c r="E476" s="51">
        <f t="shared" si="86"/>
        <v>1</v>
      </c>
      <c r="F476" s="961"/>
      <c r="G476" s="51">
        <f t="shared" si="87"/>
        <v>1</v>
      </c>
      <c r="H476" s="961"/>
      <c r="I476" s="51">
        <f t="shared" si="88"/>
        <v>1</v>
      </c>
      <c r="J476" s="961"/>
      <c r="K476" s="51">
        <f t="shared" si="89"/>
        <v>1</v>
      </c>
      <c r="L476" s="961"/>
      <c r="M476" s="51">
        <f t="shared" si="90"/>
        <v>1</v>
      </c>
      <c r="N476" s="961"/>
      <c r="O476" s="51">
        <f t="shared" si="91"/>
        <v>1</v>
      </c>
      <c r="P476" s="961"/>
      <c r="Q476" s="51">
        <f t="shared" si="92"/>
        <v>1</v>
      </c>
      <c r="R476" s="488">
        <f t="shared" si="93"/>
        <v>0</v>
      </c>
      <c r="S476" s="797">
        <f t="shared" si="84"/>
        <v>0</v>
      </c>
    </row>
    <row r="477" spans="1:19">
      <c r="A477" s="963"/>
      <c r="B477" s="135"/>
      <c r="C477" s="51">
        <f t="shared" si="85"/>
        <v>1</v>
      </c>
      <c r="D477" s="961"/>
      <c r="E477" s="51">
        <f t="shared" si="86"/>
        <v>1</v>
      </c>
      <c r="F477" s="961"/>
      <c r="G477" s="51">
        <f t="shared" si="87"/>
        <v>1</v>
      </c>
      <c r="H477" s="961"/>
      <c r="I477" s="51">
        <f t="shared" si="88"/>
        <v>1</v>
      </c>
      <c r="J477" s="961"/>
      <c r="K477" s="51">
        <f t="shared" si="89"/>
        <v>1</v>
      </c>
      <c r="L477" s="961"/>
      <c r="M477" s="51">
        <f t="shared" si="90"/>
        <v>1</v>
      </c>
      <c r="N477" s="961"/>
      <c r="O477" s="51">
        <f t="shared" si="91"/>
        <v>1</v>
      </c>
      <c r="P477" s="961"/>
      <c r="Q477" s="51">
        <f t="shared" si="92"/>
        <v>1</v>
      </c>
      <c r="R477" s="488">
        <f t="shared" si="93"/>
        <v>0</v>
      </c>
      <c r="S477" s="797">
        <f t="shared" si="84"/>
        <v>0</v>
      </c>
    </row>
    <row r="478" spans="1:19">
      <c r="A478" s="963"/>
      <c r="B478" s="135"/>
      <c r="C478" s="51">
        <f t="shared" si="85"/>
        <v>1</v>
      </c>
      <c r="D478" s="961"/>
      <c r="E478" s="51">
        <f t="shared" si="86"/>
        <v>1</v>
      </c>
      <c r="F478" s="961"/>
      <c r="G478" s="51">
        <f t="shared" si="87"/>
        <v>1</v>
      </c>
      <c r="H478" s="961"/>
      <c r="I478" s="51">
        <f t="shared" si="88"/>
        <v>1</v>
      </c>
      <c r="J478" s="961"/>
      <c r="K478" s="51">
        <f t="shared" si="89"/>
        <v>1</v>
      </c>
      <c r="L478" s="961"/>
      <c r="M478" s="51">
        <f t="shared" si="90"/>
        <v>1</v>
      </c>
      <c r="N478" s="961"/>
      <c r="O478" s="51">
        <f t="shared" si="91"/>
        <v>1</v>
      </c>
      <c r="P478" s="961"/>
      <c r="Q478" s="51">
        <f t="shared" si="92"/>
        <v>1</v>
      </c>
      <c r="R478" s="488">
        <f t="shared" si="93"/>
        <v>0</v>
      </c>
      <c r="S478" s="797">
        <f t="shared" si="84"/>
        <v>0</v>
      </c>
    </row>
    <row r="479" spans="1:19">
      <c r="A479" s="963"/>
      <c r="B479" s="135"/>
      <c r="C479" s="51">
        <f t="shared" si="85"/>
        <v>1</v>
      </c>
      <c r="D479" s="961"/>
      <c r="E479" s="51">
        <f t="shared" si="86"/>
        <v>1</v>
      </c>
      <c r="F479" s="961"/>
      <c r="G479" s="51">
        <f t="shared" si="87"/>
        <v>1</v>
      </c>
      <c r="H479" s="961"/>
      <c r="I479" s="51">
        <f t="shared" si="88"/>
        <v>1</v>
      </c>
      <c r="J479" s="961"/>
      <c r="K479" s="51">
        <f t="shared" si="89"/>
        <v>1</v>
      </c>
      <c r="L479" s="961"/>
      <c r="M479" s="51">
        <f t="shared" si="90"/>
        <v>1</v>
      </c>
      <c r="N479" s="961"/>
      <c r="O479" s="51">
        <f t="shared" si="91"/>
        <v>1</v>
      </c>
      <c r="P479" s="961"/>
      <c r="Q479" s="51">
        <f t="shared" si="92"/>
        <v>1</v>
      </c>
      <c r="R479" s="488">
        <f t="shared" si="93"/>
        <v>0</v>
      </c>
      <c r="S479" s="797">
        <f t="shared" si="84"/>
        <v>0</v>
      </c>
    </row>
    <row r="480" spans="1:19">
      <c r="A480" s="963"/>
      <c r="B480" s="135"/>
      <c r="C480" s="51">
        <f t="shared" si="85"/>
        <v>1</v>
      </c>
      <c r="D480" s="961"/>
      <c r="E480" s="51">
        <f t="shared" si="86"/>
        <v>1</v>
      </c>
      <c r="F480" s="961"/>
      <c r="G480" s="51">
        <f t="shared" si="87"/>
        <v>1</v>
      </c>
      <c r="H480" s="961"/>
      <c r="I480" s="51">
        <f t="shared" si="88"/>
        <v>1</v>
      </c>
      <c r="J480" s="961"/>
      <c r="K480" s="51">
        <f t="shared" si="89"/>
        <v>1</v>
      </c>
      <c r="L480" s="961"/>
      <c r="M480" s="51">
        <f t="shared" si="90"/>
        <v>1</v>
      </c>
      <c r="N480" s="961"/>
      <c r="O480" s="51">
        <f t="shared" si="91"/>
        <v>1</v>
      </c>
      <c r="P480" s="961"/>
      <c r="Q480" s="51">
        <f t="shared" si="92"/>
        <v>1</v>
      </c>
      <c r="R480" s="488">
        <f t="shared" si="93"/>
        <v>0</v>
      </c>
      <c r="S480" s="797">
        <f t="shared" si="84"/>
        <v>0</v>
      </c>
    </row>
    <row r="481" spans="1:19">
      <c r="A481" s="963"/>
      <c r="B481" s="135"/>
      <c r="C481" s="51">
        <f t="shared" si="85"/>
        <v>1</v>
      </c>
      <c r="D481" s="961"/>
      <c r="E481" s="51">
        <f t="shared" si="86"/>
        <v>1</v>
      </c>
      <c r="F481" s="961"/>
      <c r="G481" s="51">
        <f t="shared" si="87"/>
        <v>1</v>
      </c>
      <c r="H481" s="961"/>
      <c r="I481" s="51">
        <f t="shared" si="88"/>
        <v>1</v>
      </c>
      <c r="J481" s="961"/>
      <c r="K481" s="51">
        <f t="shared" si="89"/>
        <v>1</v>
      </c>
      <c r="L481" s="961"/>
      <c r="M481" s="51">
        <f t="shared" si="90"/>
        <v>1</v>
      </c>
      <c r="N481" s="961"/>
      <c r="O481" s="51">
        <f t="shared" si="91"/>
        <v>1</v>
      </c>
      <c r="P481" s="961"/>
      <c r="Q481" s="51">
        <f t="shared" si="92"/>
        <v>1</v>
      </c>
      <c r="R481" s="488">
        <f t="shared" si="93"/>
        <v>0</v>
      </c>
      <c r="S481" s="797">
        <f t="shared" si="84"/>
        <v>0</v>
      </c>
    </row>
    <row r="482" spans="1:19">
      <c r="A482" s="963"/>
      <c r="B482" s="135"/>
      <c r="C482" s="51">
        <f t="shared" si="85"/>
        <v>1</v>
      </c>
      <c r="D482" s="961"/>
      <c r="E482" s="51">
        <f t="shared" si="86"/>
        <v>1</v>
      </c>
      <c r="F482" s="961"/>
      <c r="G482" s="51">
        <f t="shared" si="87"/>
        <v>1</v>
      </c>
      <c r="H482" s="961"/>
      <c r="I482" s="51">
        <f t="shared" si="88"/>
        <v>1</v>
      </c>
      <c r="J482" s="961"/>
      <c r="K482" s="51">
        <f t="shared" si="89"/>
        <v>1</v>
      </c>
      <c r="L482" s="961"/>
      <c r="M482" s="51">
        <f t="shared" si="90"/>
        <v>1</v>
      </c>
      <c r="N482" s="961"/>
      <c r="O482" s="51">
        <f t="shared" si="91"/>
        <v>1</v>
      </c>
      <c r="P482" s="961"/>
      <c r="Q482" s="51">
        <f t="shared" si="92"/>
        <v>1</v>
      </c>
      <c r="R482" s="488">
        <f t="shared" si="93"/>
        <v>0</v>
      </c>
      <c r="S482" s="797">
        <f t="shared" si="84"/>
        <v>0</v>
      </c>
    </row>
    <row r="483" spans="1:19">
      <c r="A483" s="963"/>
      <c r="B483" s="135"/>
      <c r="C483" s="51">
        <f t="shared" si="85"/>
        <v>1</v>
      </c>
      <c r="D483" s="961"/>
      <c r="E483" s="51">
        <f t="shared" si="86"/>
        <v>1</v>
      </c>
      <c r="F483" s="961"/>
      <c r="G483" s="51">
        <f t="shared" si="87"/>
        <v>1</v>
      </c>
      <c r="H483" s="961"/>
      <c r="I483" s="51">
        <f t="shared" si="88"/>
        <v>1</v>
      </c>
      <c r="J483" s="961"/>
      <c r="K483" s="51">
        <f t="shared" si="89"/>
        <v>1</v>
      </c>
      <c r="L483" s="961"/>
      <c r="M483" s="51">
        <f t="shared" si="90"/>
        <v>1</v>
      </c>
      <c r="N483" s="961"/>
      <c r="O483" s="51">
        <f t="shared" si="91"/>
        <v>1</v>
      </c>
      <c r="P483" s="961"/>
      <c r="Q483" s="51">
        <f t="shared" si="92"/>
        <v>1</v>
      </c>
      <c r="R483" s="488">
        <f t="shared" si="93"/>
        <v>0</v>
      </c>
      <c r="S483" s="797">
        <f t="shared" si="84"/>
        <v>0</v>
      </c>
    </row>
    <row r="484" spans="1:19">
      <c r="A484" s="963"/>
      <c r="B484" s="135"/>
      <c r="C484" s="51">
        <f t="shared" si="85"/>
        <v>1</v>
      </c>
      <c r="D484" s="961"/>
      <c r="E484" s="51">
        <f t="shared" si="86"/>
        <v>1</v>
      </c>
      <c r="F484" s="961"/>
      <c r="G484" s="51">
        <f t="shared" si="87"/>
        <v>1</v>
      </c>
      <c r="H484" s="961"/>
      <c r="I484" s="51">
        <f t="shared" si="88"/>
        <v>1</v>
      </c>
      <c r="J484" s="961"/>
      <c r="K484" s="51">
        <f t="shared" si="89"/>
        <v>1</v>
      </c>
      <c r="L484" s="961"/>
      <c r="M484" s="51">
        <f t="shared" si="90"/>
        <v>1</v>
      </c>
      <c r="N484" s="961"/>
      <c r="O484" s="51">
        <f t="shared" si="91"/>
        <v>1</v>
      </c>
      <c r="P484" s="961"/>
      <c r="Q484" s="51">
        <f t="shared" si="92"/>
        <v>1</v>
      </c>
      <c r="R484" s="488">
        <f t="shared" si="93"/>
        <v>0</v>
      </c>
      <c r="S484" s="797">
        <f t="shared" si="84"/>
        <v>0</v>
      </c>
    </row>
    <row r="485" spans="1:19">
      <c r="A485" s="963"/>
      <c r="B485" s="135"/>
      <c r="C485" s="51">
        <f t="shared" si="85"/>
        <v>1</v>
      </c>
      <c r="D485" s="961"/>
      <c r="E485" s="51">
        <f t="shared" si="86"/>
        <v>1</v>
      </c>
      <c r="F485" s="961"/>
      <c r="G485" s="51">
        <f t="shared" si="87"/>
        <v>1</v>
      </c>
      <c r="H485" s="961"/>
      <c r="I485" s="51">
        <f t="shared" si="88"/>
        <v>1</v>
      </c>
      <c r="J485" s="961"/>
      <c r="K485" s="51">
        <f t="shared" si="89"/>
        <v>1</v>
      </c>
      <c r="L485" s="961"/>
      <c r="M485" s="51">
        <f t="shared" si="90"/>
        <v>1</v>
      </c>
      <c r="N485" s="961"/>
      <c r="O485" s="51">
        <f t="shared" si="91"/>
        <v>1</v>
      </c>
      <c r="P485" s="961"/>
      <c r="Q485" s="51">
        <f t="shared" si="92"/>
        <v>1</v>
      </c>
      <c r="R485" s="488">
        <f t="shared" si="93"/>
        <v>0</v>
      </c>
      <c r="S485" s="797">
        <f t="shared" si="84"/>
        <v>0</v>
      </c>
    </row>
    <row r="486" spans="1:19">
      <c r="A486" s="963"/>
      <c r="B486" s="135"/>
      <c r="C486" s="51">
        <f t="shared" si="85"/>
        <v>1</v>
      </c>
      <c r="D486" s="961"/>
      <c r="E486" s="51">
        <f t="shared" si="86"/>
        <v>1</v>
      </c>
      <c r="F486" s="961"/>
      <c r="G486" s="51">
        <f t="shared" si="87"/>
        <v>1</v>
      </c>
      <c r="H486" s="961"/>
      <c r="I486" s="51">
        <f t="shared" si="88"/>
        <v>1</v>
      </c>
      <c r="J486" s="961"/>
      <c r="K486" s="51">
        <f t="shared" si="89"/>
        <v>1</v>
      </c>
      <c r="L486" s="961"/>
      <c r="M486" s="51">
        <f t="shared" si="90"/>
        <v>1</v>
      </c>
      <c r="N486" s="961"/>
      <c r="O486" s="51">
        <f t="shared" si="91"/>
        <v>1</v>
      </c>
      <c r="P486" s="961"/>
      <c r="Q486" s="51">
        <f t="shared" si="92"/>
        <v>1</v>
      </c>
      <c r="R486" s="488">
        <f t="shared" si="93"/>
        <v>0</v>
      </c>
      <c r="S486" s="797">
        <f t="shared" si="84"/>
        <v>0</v>
      </c>
    </row>
    <row r="487" spans="1:19">
      <c r="A487" s="963"/>
      <c r="B487" s="135"/>
      <c r="C487" s="51">
        <f t="shared" si="85"/>
        <v>1</v>
      </c>
      <c r="D487" s="961"/>
      <c r="E487" s="51">
        <f t="shared" si="86"/>
        <v>1</v>
      </c>
      <c r="F487" s="961"/>
      <c r="G487" s="51">
        <f t="shared" si="87"/>
        <v>1</v>
      </c>
      <c r="H487" s="961"/>
      <c r="I487" s="51">
        <f t="shared" si="88"/>
        <v>1</v>
      </c>
      <c r="J487" s="961"/>
      <c r="K487" s="51">
        <f t="shared" si="89"/>
        <v>1</v>
      </c>
      <c r="L487" s="961"/>
      <c r="M487" s="51">
        <f t="shared" si="90"/>
        <v>1</v>
      </c>
      <c r="N487" s="961"/>
      <c r="O487" s="51">
        <f t="shared" si="91"/>
        <v>1</v>
      </c>
      <c r="P487" s="961"/>
      <c r="Q487" s="51">
        <f t="shared" si="92"/>
        <v>1</v>
      </c>
      <c r="R487" s="488">
        <f t="shared" si="93"/>
        <v>0</v>
      </c>
      <c r="S487" s="797">
        <f t="shared" si="84"/>
        <v>0</v>
      </c>
    </row>
    <row r="488" spans="1:19">
      <c r="A488" s="963"/>
      <c r="B488" s="135"/>
      <c r="C488" s="51">
        <f t="shared" si="85"/>
        <v>1</v>
      </c>
      <c r="D488" s="961"/>
      <c r="E488" s="51">
        <f t="shared" si="86"/>
        <v>1</v>
      </c>
      <c r="F488" s="961"/>
      <c r="G488" s="51">
        <f t="shared" si="87"/>
        <v>1</v>
      </c>
      <c r="H488" s="961"/>
      <c r="I488" s="51">
        <f t="shared" si="88"/>
        <v>1</v>
      </c>
      <c r="J488" s="961"/>
      <c r="K488" s="51">
        <f t="shared" si="89"/>
        <v>1</v>
      </c>
      <c r="L488" s="961"/>
      <c r="M488" s="51">
        <f t="shared" si="90"/>
        <v>1</v>
      </c>
      <c r="N488" s="961"/>
      <c r="O488" s="51">
        <f t="shared" si="91"/>
        <v>1</v>
      </c>
      <c r="P488" s="961"/>
      <c r="Q488" s="51">
        <f t="shared" si="92"/>
        <v>1</v>
      </c>
      <c r="R488" s="488">
        <f t="shared" si="93"/>
        <v>0</v>
      </c>
      <c r="S488" s="797">
        <f t="shared" si="84"/>
        <v>0</v>
      </c>
    </row>
    <row r="489" spans="1:19">
      <c r="A489" s="963"/>
      <c r="B489" s="135"/>
      <c r="C489" s="51">
        <f t="shared" si="85"/>
        <v>1</v>
      </c>
      <c r="D489" s="961"/>
      <c r="E489" s="51">
        <f t="shared" si="86"/>
        <v>1</v>
      </c>
      <c r="F489" s="961"/>
      <c r="G489" s="51">
        <f t="shared" si="87"/>
        <v>1</v>
      </c>
      <c r="H489" s="961"/>
      <c r="I489" s="51">
        <f t="shared" si="88"/>
        <v>1</v>
      </c>
      <c r="J489" s="961"/>
      <c r="K489" s="51">
        <f t="shared" si="89"/>
        <v>1</v>
      </c>
      <c r="L489" s="961"/>
      <c r="M489" s="51">
        <f t="shared" si="90"/>
        <v>1</v>
      </c>
      <c r="N489" s="961"/>
      <c r="O489" s="51">
        <f t="shared" si="91"/>
        <v>1</v>
      </c>
      <c r="P489" s="961"/>
      <c r="Q489" s="51">
        <f t="shared" si="92"/>
        <v>1</v>
      </c>
      <c r="R489" s="488">
        <f t="shared" si="93"/>
        <v>0</v>
      </c>
      <c r="S489" s="797">
        <f t="shared" si="84"/>
        <v>0</v>
      </c>
    </row>
    <row r="490" spans="1:19">
      <c r="A490" s="963"/>
      <c r="B490" s="135"/>
      <c r="C490" s="51">
        <f t="shared" si="85"/>
        <v>1</v>
      </c>
      <c r="D490" s="961"/>
      <c r="E490" s="51">
        <f t="shared" si="86"/>
        <v>1</v>
      </c>
      <c r="F490" s="961"/>
      <c r="G490" s="51">
        <f t="shared" si="87"/>
        <v>1</v>
      </c>
      <c r="H490" s="961"/>
      <c r="I490" s="51">
        <f t="shared" si="88"/>
        <v>1</v>
      </c>
      <c r="J490" s="961"/>
      <c r="K490" s="51">
        <f t="shared" si="89"/>
        <v>1</v>
      </c>
      <c r="L490" s="961"/>
      <c r="M490" s="51">
        <f t="shared" si="90"/>
        <v>1</v>
      </c>
      <c r="N490" s="961"/>
      <c r="O490" s="51">
        <f t="shared" si="91"/>
        <v>1</v>
      </c>
      <c r="P490" s="961"/>
      <c r="Q490" s="51">
        <f t="shared" si="92"/>
        <v>1</v>
      </c>
      <c r="R490" s="488">
        <f t="shared" si="93"/>
        <v>0</v>
      </c>
      <c r="S490" s="797">
        <f t="shared" si="84"/>
        <v>0</v>
      </c>
    </row>
    <row r="491" spans="1:19">
      <c r="A491" s="963"/>
      <c r="B491" s="135"/>
      <c r="C491" s="51">
        <f t="shared" si="85"/>
        <v>1</v>
      </c>
      <c r="D491" s="961"/>
      <c r="E491" s="51">
        <f t="shared" si="86"/>
        <v>1</v>
      </c>
      <c r="F491" s="961"/>
      <c r="G491" s="51">
        <f t="shared" si="87"/>
        <v>1</v>
      </c>
      <c r="H491" s="961"/>
      <c r="I491" s="51">
        <f t="shared" si="88"/>
        <v>1</v>
      </c>
      <c r="J491" s="961"/>
      <c r="K491" s="51">
        <f t="shared" si="89"/>
        <v>1</v>
      </c>
      <c r="L491" s="961"/>
      <c r="M491" s="51">
        <f t="shared" si="90"/>
        <v>1</v>
      </c>
      <c r="N491" s="961"/>
      <c r="O491" s="51">
        <f t="shared" si="91"/>
        <v>1</v>
      </c>
      <c r="P491" s="961"/>
      <c r="Q491" s="51">
        <f t="shared" si="92"/>
        <v>1</v>
      </c>
      <c r="R491" s="488">
        <f t="shared" si="93"/>
        <v>0</v>
      </c>
      <c r="S491" s="797">
        <f t="shared" si="84"/>
        <v>0</v>
      </c>
    </row>
    <row r="492" spans="1:19">
      <c r="A492" s="963"/>
      <c r="B492" s="135"/>
      <c r="C492" s="51">
        <f t="shared" si="85"/>
        <v>1</v>
      </c>
      <c r="D492" s="961"/>
      <c r="E492" s="51">
        <f t="shared" si="86"/>
        <v>1</v>
      </c>
      <c r="F492" s="961"/>
      <c r="G492" s="51">
        <f t="shared" si="87"/>
        <v>1</v>
      </c>
      <c r="H492" s="961"/>
      <c r="I492" s="51">
        <f t="shared" si="88"/>
        <v>1</v>
      </c>
      <c r="J492" s="961"/>
      <c r="K492" s="51">
        <f t="shared" si="89"/>
        <v>1</v>
      </c>
      <c r="L492" s="961"/>
      <c r="M492" s="51">
        <f t="shared" si="90"/>
        <v>1</v>
      </c>
      <c r="N492" s="961"/>
      <c r="O492" s="51">
        <f t="shared" si="91"/>
        <v>1</v>
      </c>
      <c r="P492" s="961"/>
      <c r="Q492" s="51">
        <f t="shared" si="92"/>
        <v>1</v>
      </c>
      <c r="R492" s="488">
        <f t="shared" si="93"/>
        <v>0</v>
      </c>
      <c r="S492" s="797">
        <f t="shared" si="84"/>
        <v>0</v>
      </c>
    </row>
    <row r="493" spans="1:19">
      <c r="A493" s="963"/>
      <c r="B493" s="135"/>
      <c r="C493" s="51">
        <f t="shared" si="85"/>
        <v>1</v>
      </c>
      <c r="D493" s="961"/>
      <c r="E493" s="51">
        <f t="shared" si="86"/>
        <v>1</v>
      </c>
      <c r="F493" s="961"/>
      <c r="G493" s="51">
        <f t="shared" si="87"/>
        <v>1</v>
      </c>
      <c r="H493" s="961"/>
      <c r="I493" s="51">
        <f t="shared" si="88"/>
        <v>1</v>
      </c>
      <c r="J493" s="961"/>
      <c r="K493" s="51">
        <f t="shared" si="89"/>
        <v>1</v>
      </c>
      <c r="L493" s="961"/>
      <c r="M493" s="51">
        <f t="shared" si="90"/>
        <v>1</v>
      </c>
      <c r="N493" s="961"/>
      <c r="O493" s="51">
        <f t="shared" si="91"/>
        <v>1</v>
      </c>
      <c r="P493" s="961"/>
      <c r="Q493" s="51">
        <f t="shared" si="92"/>
        <v>1</v>
      </c>
      <c r="R493" s="488">
        <f t="shared" si="93"/>
        <v>0</v>
      </c>
      <c r="S493" s="797">
        <f t="shared" si="84"/>
        <v>0</v>
      </c>
    </row>
    <row r="494" spans="1:19">
      <c r="A494" s="963"/>
      <c r="B494" s="135"/>
      <c r="C494" s="51">
        <f t="shared" si="85"/>
        <v>1</v>
      </c>
      <c r="D494" s="961"/>
      <c r="E494" s="51">
        <f t="shared" si="86"/>
        <v>1</v>
      </c>
      <c r="F494" s="961"/>
      <c r="G494" s="51">
        <f t="shared" si="87"/>
        <v>1</v>
      </c>
      <c r="H494" s="961"/>
      <c r="I494" s="51">
        <f t="shared" si="88"/>
        <v>1</v>
      </c>
      <c r="J494" s="961"/>
      <c r="K494" s="51">
        <f t="shared" si="89"/>
        <v>1</v>
      </c>
      <c r="L494" s="961"/>
      <c r="M494" s="51">
        <f t="shared" si="90"/>
        <v>1</v>
      </c>
      <c r="N494" s="961"/>
      <c r="O494" s="51">
        <f t="shared" si="91"/>
        <v>1</v>
      </c>
      <c r="P494" s="961"/>
      <c r="Q494" s="51">
        <f t="shared" si="92"/>
        <v>1</v>
      </c>
      <c r="R494" s="488">
        <f t="shared" si="93"/>
        <v>0</v>
      </c>
      <c r="S494" s="797">
        <f t="shared" si="84"/>
        <v>0</v>
      </c>
    </row>
    <row r="495" spans="1:19">
      <c r="A495" s="963"/>
      <c r="B495" s="135"/>
      <c r="C495" s="51">
        <f t="shared" si="85"/>
        <v>1</v>
      </c>
      <c r="D495" s="961"/>
      <c r="E495" s="51">
        <f t="shared" si="86"/>
        <v>1</v>
      </c>
      <c r="F495" s="961"/>
      <c r="G495" s="51">
        <f t="shared" si="87"/>
        <v>1</v>
      </c>
      <c r="H495" s="961"/>
      <c r="I495" s="51">
        <f t="shared" si="88"/>
        <v>1</v>
      </c>
      <c r="J495" s="961"/>
      <c r="K495" s="51">
        <f t="shared" si="89"/>
        <v>1</v>
      </c>
      <c r="L495" s="961"/>
      <c r="M495" s="51">
        <f t="shared" si="90"/>
        <v>1</v>
      </c>
      <c r="N495" s="961"/>
      <c r="O495" s="51">
        <f t="shared" si="91"/>
        <v>1</v>
      </c>
      <c r="P495" s="961"/>
      <c r="Q495" s="51">
        <f t="shared" si="92"/>
        <v>1</v>
      </c>
      <c r="R495" s="488">
        <f t="shared" si="93"/>
        <v>0</v>
      </c>
      <c r="S495" s="797">
        <f t="shared" si="84"/>
        <v>0</v>
      </c>
    </row>
    <row r="496" spans="1:19">
      <c r="A496" s="963"/>
      <c r="B496" s="135"/>
      <c r="C496" s="51">
        <f t="shared" si="85"/>
        <v>1</v>
      </c>
      <c r="D496" s="961"/>
      <c r="E496" s="51">
        <f t="shared" si="86"/>
        <v>1</v>
      </c>
      <c r="F496" s="961"/>
      <c r="G496" s="51">
        <f t="shared" si="87"/>
        <v>1</v>
      </c>
      <c r="H496" s="961"/>
      <c r="I496" s="51">
        <f t="shared" si="88"/>
        <v>1</v>
      </c>
      <c r="J496" s="961"/>
      <c r="K496" s="51">
        <f t="shared" si="89"/>
        <v>1</v>
      </c>
      <c r="L496" s="961"/>
      <c r="M496" s="51">
        <f t="shared" si="90"/>
        <v>1</v>
      </c>
      <c r="N496" s="961"/>
      <c r="O496" s="51">
        <f t="shared" si="91"/>
        <v>1</v>
      </c>
      <c r="P496" s="961"/>
      <c r="Q496" s="51">
        <f t="shared" si="92"/>
        <v>1</v>
      </c>
      <c r="R496" s="488">
        <f t="shared" si="93"/>
        <v>0</v>
      </c>
      <c r="S496" s="797">
        <f t="shared" si="84"/>
        <v>0</v>
      </c>
    </row>
    <row r="497" spans="1:19">
      <c r="A497" s="963"/>
      <c r="B497" s="135"/>
      <c r="C497" s="51">
        <f t="shared" si="85"/>
        <v>1</v>
      </c>
      <c r="D497" s="961"/>
      <c r="E497" s="51">
        <f t="shared" si="86"/>
        <v>1</v>
      </c>
      <c r="F497" s="961"/>
      <c r="G497" s="51">
        <f t="shared" si="87"/>
        <v>1</v>
      </c>
      <c r="H497" s="961"/>
      <c r="I497" s="51">
        <f t="shared" si="88"/>
        <v>1</v>
      </c>
      <c r="J497" s="961"/>
      <c r="K497" s="51">
        <f t="shared" si="89"/>
        <v>1</v>
      </c>
      <c r="L497" s="961"/>
      <c r="M497" s="51">
        <f t="shared" si="90"/>
        <v>1</v>
      </c>
      <c r="N497" s="961"/>
      <c r="O497" s="51">
        <f t="shared" si="91"/>
        <v>1</v>
      </c>
      <c r="P497" s="961"/>
      <c r="Q497" s="51">
        <f t="shared" si="92"/>
        <v>1</v>
      </c>
      <c r="R497" s="488">
        <f t="shared" si="93"/>
        <v>0</v>
      </c>
      <c r="S497" s="797">
        <f t="shared" si="84"/>
        <v>0</v>
      </c>
    </row>
    <row r="498" spans="1:19">
      <c r="A498" s="963"/>
      <c r="B498" s="135"/>
      <c r="C498" s="51">
        <f t="shared" si="85"/>
        <v>1</v>
      </c>
      <c r="D498" s="961"/>
      <c r="E498" s="51">
        <f t="shared" si="86"/>
        <v>1</v>
      </c>
      <c r="F498" s="961"/>
      <c r="G498" s="51">
        <f t="shared" si="87"/>
        <v>1</v>
      </c>
      <c r="H498" s="961"/>
      <c r="I498" s="51">
        <f t="shared" si="88"/>
        <v>1</v>
      </c>
      <c r="J498" s="961"/>
      <c r="K498" s="51">
        <f t="shared" si="89"/>
        <v>1</v>
      </c>
      <c r="L498" s="961"/>
      <c r="M498" s="51">
        <f t="shared" si="90"/>
        <v>1</v>
      </c>
      <c r="N498" s="961"/>
      <c r="O498" s="51">
        <f t="shared" si="91"/>
        <v>1</v>
      </c>
      <c r="P498" s="961"/>
      <c r="Q498" s="51">
        <f t="shared" si="92"/>
        <v>1</v>
      </c>
      <c r="R498" s="488">
        <f t="shared" si="93"/>
        <v>0</v>
      </c>
      <c r="S498" s="797">
        <f t="shared" ref="S498:S524" si="94">ROUND(R498*B498/10000,0)</f>
        <v>0</v>
      </c>
    </row>
    <row r="499" spans="1:19">
      <c r="A499" s="963"/>
      <c r="B499" s="135"/>
      <c r="C499" s="51">
        <f t="shared" si="85"/>
        <v>1</v>
      </c>
      <c r="D499" s="961"/>
      <c r="E499" s="51">
        <f t="shared" si="86"/>
        <v>1</v>
      </c>
      <c r="F499" s="961"/>
      <c r="G499" s="51">
        <f t="shared" si="87"/>
        <v>1</v>
      </c>
      <c r="H499" s="961"/>
      <c r="I499" s="51">
        <f t="shared" si="88"/>
        <v>1</v>
      </c>
      <c r="J499" s="961"/>
      <c r="K499" s="51">
        <f t="shared" si="89"/>
        <v>1</v>
      </c>
      <c r="L499" s="961"/>
      <c r="M499" s="51">
        <f t="shared" si="90"/>
        <v>1</v>
      </c>
      <c r="N499" s="961"/>
      <c r="O499" s="51">
        <f t="shared" si="91"/>
        <v>1</v>
      </c>
      <c r="P499" s="961"/>
      <c r="Q499" s="51">
        <f t="shared" si="92"/>
        <v>1</v>
      </c>
      <c r="R499" s="488">
        <f t="shared" si="93"/>
        <v>0</v>
      </c>
      <c r="S499" s="797">
        <f t="shared" si="94"/>
        <v>0</v>
      </c>
    </row>
    <row r="500" spans="1:19">
      <c r="A500" s="963"/>
      <c r="B500" s="135"/>
      <c r="C500" s="51">
        <f t="shared" si="85"/>
        <v>1</v>
      </c>
      <c r="D500" s="961"/>
      <c r="E500" s="51">
        <f t="shared" si="86"/>
        <v>1</v>
      </c>
      <c r="F500" s="961"/>
      <c r="G500" s="51">
        <f t="shared" si="87"/>
        <v>1</v>
      </c>
      <c r="H500" s="961"/>
      <c r="I500" s="51">
        <f t="shared" si="88"/>
        <v>1</v>
      </c>
      <c r="J500" s="961"/>
      <c r="K500" s="51">
        <f t="shared" si="89"/>
        <v>1</v>
      </c>
      <c r="L500" s="961"/>
      <c r="M500" s="51">
        <f t="shared" si="90"/>
        <v>1</v>
      </c>
      <c r="N500" s="961"/>
      <c r="O500" s="51">
        <f t="shared" si="91"/>
        <v>1</v>
      </c>
      <c r="P500" s="961"/>
      <c r="Q500" s="51">
        <f t="shared" si="92"/>
        <v>1</v>
      </c>
      <c r="R500" s="488">
        <f t="shared" si="93"/>
        <v>0</v>
      </c>
      <c r="S500" s="797">
        <f t="shared" si="94"/>
        <v>0</v>
      </c>
    </row>
    <row r="501" spans="1:19">
      <c r="A501" s="963"/>
      <c r="B501" s="135"/>
      <c r="C501" s="51">
        <f t="shared" si="85"/>
        <v>1</v>
      </c>
      <c r="D501" s="961"/>
      <c r="E501" s="51">
        <f t="shared" si="86"/>
        <v>1</v>
      </c>
      <c r="F501" s="961"/>
      <c r="G501" s="51">
        <f t="shared" si="87"/>
        <v>1</v>
      </c>
      <c r="H501" s="961"/>
      <c r="I501" s="51">
        <f t="shared" si="88"/>
        <v>1</v>
      </c>
      <c r="J501" s="961"/>
      <c r="K501" s="51">
        <f t="shared" si="89"/>
        <v>1</v>
      </c>
      <c r="L501" s="961"/>
      <c r="M501" s="51">
        <f t="shared" si="90"/>
        <v>1</v>
      </c>
      <c r="N501" s="961"/>
      <c r="O501" s="51">
        <f t="shared" si="91"/>
        <v>1</v>
      </c>
      <c r="P501" s="961"/>
      <c r="Q501" s="51">
        <f t="shared" si="92"/>
        <v>1</v>
      </c>
      <c r="R501" s="488">
        <f t="shared" si="93"/>
        <v>0</v>
      </c>
      <c r="S501" s="797">
        <f t="shared" si="94"/>
        <v>0</v>
      </c>
    </row>
    <row r="502" spans="1:19">
      <c r="A502" s="963"/>
      <c r="B502" s="135"/>
      <c r="C502" s="51">
        <f t="shared" si="85"/>
        <v>1</v>
      </c>
      <c r="D502" s="961"/>
      <c r="E502" s="51">
        <f t="shared" si="86"/>
        <v>1</v>
      </c>
      <c r="F502" s="961"/>
      <c r="G502" s="51">
        <f t="shared" si="87"/>
        <v>1</v>
      </c>
      <c r="H502" s="961"/>
      <c r="I502" s="51">
        <f t="shared" si="88"/>
        <v>1</v>
      </c>
      <c r="J502" s="961"/>
      <c r="K502" s="51">
        <f t="shared" si="89"/>
        <v>1</v>
      </c>
      <c r="L502" s="961"/>
      <c r="M502" s="51">
        <f t="shared" si="90"/>
        <v>1</v>
      </c>
      <c r="N502" s="961"/>
      <c r="O502" s="51">
        <f t="shared" si="91"/>
        <v>1</v>
      </c>
      <c r="P502" s="961"/>
      <c r="Q502" s="51">
        <f t="shared" si="92"/>
        <v>1</v>
      </c>
      <c r="R502" s="488">
        <f t="shared" si="93"/>
        <v>0</v>
      </c>
      <c r="S502" s="797">
        <f t="shared" si="94"/>
        <v>0</v>
      </c>
    </row>
    <row r="503" spans="1:19">
      <c r="A503" s="963"/>
      <c r="B503" s="135"/>
      <c r="C503" s="51">
        <f t="shared" si="85"/>
        <v>1</v>
      </c>
      <c r="D503" s="961"/>
      <c r="E503" s="51">
        <f t="shared" si="86"/>
        <v>1</v>
      </c>
      <c r="F503" s="961"/>
      <c r="G503" s="51">
        <f t="shared" si="87"/>
        <v>1</v>
      </c>
      <c r="H503" s="961"/>
      <c r="I503" s="51">
        <f t="shared" si="88"/>
        <v>1</v>
      </c>
      <c r="J503" s="961"/>
      <c r="K503" s="51">
        <f t="shared" si="89"/>
        <v>1</v>
      </c>
      <c r="L503" s="961"/>
      <c r="M503" s="51">
        <f t="shared" si="90"/>
        <v>1</v>
      </c>
      <c r="N503" s="961"/>
      <c r="O503" s="51">
        <f t="shared" si="91"/>
        <v>1</v>
      </c>
      <c r="P503" s="961"/>
      <c r="Q503" s="51">
        <f t="shared" si="92"/>
        <v>1</v>
      </c>
      <c r="R503" s="488">
        <f t="shared" si="93"/>
        <v>0</v>
      </c>
      <c r="S503" s="797">
        <f t="shared" si="94"/>
        <v>0</v>
      </c>
    </row>
    <row r="504" spans="1:19">
      <c r="A504" s="963"/>
      <c r="B504" s="135"/>
      <c r="C504" s="51">
        <f t="shared" si="85"/>
        <v>1</v>
      </c>
      <c r="D504" s="961"/>
      <c r="E504" s="51">
        <f t="shared" si="86"/>
        <v>1</v>
      </c>
      <c r="F504" s="961"/>
      <c r="G504" s="51">
        <f t="shared" si="87"/>
        <v>1</v>
      </c>
      <c r="H504" s="961"/>
      <c r="I504" s="51">
        <f t="shared" si="88"/>
        <v>1</v>
      </c>
      <c r="J504" s="961"/>
      <c r="K504" s="51">
        <f t="shared" si="89"/>
        <v>1</v>
      </c>
      <c r="L504" s="961"/>
      <c r="M504" s="51">
        <f t="shared" si="90"/>
        <v>1</v>
      </c>
      <c r="N504" s="961"/>
      <c r="O504" s="51">
        <f t="shared" si="91"/>
        <v>1</v>
      </c>
      <c r="P504" s="961"/>
      <c r="Q504" s="51">
        <f t="shared" si="92"/>
        <v>1</v>
      </c>
      <c r="R504" s="488">
        <f t="shared" si="93"/>
        <v>0</v>
      </c>
      <c r="S504" s="797">
        <f t="shared" si="94"/>
        <v>0</v>
      </c>
    </row>
    <row r="505" spans="1:19">
      <c r="A505" s="963"/>
      <c r="B505" s="135"/>
      <c r="C505" s="51">
        <f t="shared" si="85"/>
        <v>1</v>
      </c>
      <c r="D505" s="961"/>
      <c r="E505" s="51">
        <f t="shared" si="86"/>
        <v>1</v>
      </c>
      <c r="F505" s="961"/>
      <c r="G505" s="51">
        <f t="shared" si="87"/>
        <v>1</v>
      </c>
      <c r="H505" s="961"/>
      <c r="I505" s="51">
        <f t="shared" si="88"/>
        <v>1</v>
      </c>
      <c r="J505" s="961"/>
      <c r="K505" s="51">
        <f t="shared" si="89"/>
        <v>1</v>
      </c>
      <c r="L505" s="961"/>
      <c r="M505" s="51">
        <f t="shared" si="90"/>
        <v>1</v>
      </c>
      <c r="N505" s="961"/>
      <c r="O505" s="51">
        <f t="shared" si="91"/>
        <v>1</v>
      </c>
      <c r="P505" s="961"/>
      <c r="Q505" s="51">
        <f t="shared" si="92"/>
        <v>1</v>
      </c>
      <c r="R505" s="488">
        <f t="shared" si="93"/>
        <v>0</v>
      </c>
      <c r="S505" s="797">
        <f t="shared" si="94"/>
        <v>0</v>
      </c>
    </row>
    <row r="506" spans="1:19">
      <c r="A506" s="963"/>
      <c r="B506" s="135"/>
      <c r="C506" s="51">
        <f t="shared" si="85"/>
        <v>1</v>
      </c>
      <c r="D506" s="961"/>
      <c r="E506" s="51">
        <f t="shared" si="86"/>
        <v>1</v>
      </c>
      <c r="F506" s="961"/>
      <c r="G506" s="51">
        <f t="shared" si="87"/>
        <v>1</v>
      </c>
      <c r="H506" s="961"/>
      <c r="I506" s="51">
        <f t="shared" si="88"/>
        <v>1</v>
      </c>
      <c r="J506" s="961"/>
      <c r="K506" s="51">
        <f t="shared" si="89"/>
        <v>1</v>
      </c>
      <c r="L506" s="961"/>
      <c r="M506" s="51">
        <f t="shared" si="90"/>
        <v>1</v>
      </c>
      <c r="N506" s="961"/>
      <c r="O506" s="51">
        <f t="shared" si="91"/>
        <v>1</v>
      </c>
      <c r="P506" s="961"/>
      <c r="Q506" s="51">
        <f t="shared" si="92"/>
        <v>1</v>
      </c>
      <c r="R506" s="488">
        <f t="shared" si="93"/>
        <v>0</v>
      </c>
      <c r="S506" s="797">
        <f t="shared" si="94"/>
        <v>0</v>
      </c>
    </row>
    <row r="507" spans="1:19">
      <c r="A507" s="963"/>
      <c r="B507" s="135"/>
      <c r="C507" s="51">
        <f t="shared" si="85"/>
        <v>1</v>
      </c>
      <c r="D507" s="961"/>
      <c r="E507" s="51">
        <f t="shared" si="86"/>
        <v>1</v>
      </c>
      <c r="F507" s="961"/>
      <c r="G507" s="51">
        <f t="shared" si="87"/>
        <v>1</v>
      </c>
      <c r="H507" s="961"/>
      <c r="I507" s="51">
        <f t="shared" si="88"/>
        <v>1</v>
      </c>
      <c r="J507" s="961"/>
      <c r="K507" s="51">
        <f t="shared" si="89"/>
        <v>1</v>
      </c>
      <c r="L507" s="961"/>
      <c r="M507" s="51">
        <f t="shared" si="90"/>
        <v>1</v>
      </c>
      <c r="N507" s="961"/>
      <c r="O507" s="51">
        <f t="shared" si="91"/>
        <v>1</v>
      </c>
      <c r="P507" s="961"/>
      <c r="Q507" s="51">
        <f t="shared" si="92"/>
        <v>1</v>
      </c>
      <c r="R507" s="488">
        <f t="shared" si="93"/>
        <v>0</v>
      </c>
      <c r="S507" s="797">
        <f t="shared" si="94"/>
        <v>0</v>
      </c>
    </row>
    <row r="508" spans="1:19">
      <c r="A508" s="963"/>
      <c r="B508" s="135"/>
      <c r="C508" s="51">
        <f t="shared" si="85"/>
        <v>1</v>
      </c>
      <c r="D508" s="961"/>
      <c r="E508" s="51">
        <f t="shared" si="86"/>
        <v>1</v>
      </c>
      <c r="F508" s="961"/>
      <c r="G508" s="51">
        <f t="shared" si="87"/>
        <v>1</v>
      </c>
      <c r="H508" s="961"/>
      <c r="I508" s="51">
        <f t="shared" si="88"/>
        <v>1</v>
      </c>
      <c r="J508" s="961"/>
      <c r="K508" s="51">
        <f t="shared" si="89"/>
        <v>1</v>
      </c>
      <c r="L508" s="961"/>
      <c r="M508" s="51">
        <f t="shared" si="90"/>
        <v>1</v>
      </c>
      <c r="N508" s="961"/>
      <c r="O508" s="51">
        <f t="shared" si="91"/>
        <v>1</v>
      </c>
      <c r="P508" s="961"/>
      <c r="Q508" s="51">
        <f t="shared" si="92"/>
        <v>1</v>
      </c>
      <c r="R508" s="488">
        <f t="shared" si="93"/>
        <v>0</v>
      </c>
      <c r="S508" s="797">
        <f t="shared" si="94"/>
        <v>0</v>
      </c>
    </row>
    <row r="509" spans="1:19">
      <c r="A509" s="963"/>
      <c r="B509" s="135"/>
      <c r="C509" s="51">
        <f t="shared" si="85"/>
        <v>1</v>
      </c>
      <c r="D509" s="961"/>
      <c r="E509" s="51">
        <f t="shared" si="86"/>
        <v>1</v>
      </c>
      <c r="F509" s="961"/>
      <c r="G509" s="51">
        <f t="shared" si="87"/>
        <v>1</v>
      </c>
      <c r="H509" s="961"/>
      <c r="I509" s="51">
        <f t="shared" si="88"/>
        <v>1</v>
      </c>
      <c r="J509" s="961"/>
      <c r="K509" s="51">
        <f t="shared" si="89"/>
        <v>1</v>
      </c>
      <c r="L509" s="961"/>
      <c r="M509" s="51">
        <f t="shared" si="90"/>
        <v>1</v>
      </c>
      <c r="N509" s="961"/>
      <c r="O509" s="51">
        <f t="shared" si="91"/>
        <v>1</v>
      </c>
      <c r="P509" s="961"/>
      <c r="Q509" s="51">
        <f t="shared" si="92"/>
        <v>1</v>
      </c>
      <c r="R509" s="488">
        <f t="shared" si="93"/>
        <v>0</v>
      </c>
      <c r="S509" s="797">
        <f t="shared" si="94"/>
        <v>0</v>
      </c>
    </row>
    <row r="510" spans="1:19">
      <c r="A510" s="963"/>
      <c r="B510" s="135"/>
      <c r="C510" s="51">
        <f t="shared" si="85"/>
        <v>1</v>
      </c>
      <c r="D510" s="961"/>
      <c r="E510" s="51">
        <f t="shared" si="86"/>
        <v>1</v>
      </c>
      <c r="F510" s="961"/>
      <c r="G510" s="51">
        <f t="shared" si="87"/>
        <v>1</v>
      </c>
      <c r="H510" s="961"/>
      <c r="I510" s="51">
        <f t="shared" si="88"/>
        <v>1</v>
      </c>
      <c r="J510" s="961"/>
      <c r="K510" s="51">
        <f t="shared" si="89"/>
        <v>1</v>
      </c>
      <c r="L510" s="961"/>
      <c r="M510" s="51">
        <f t="shared" si="90"/>
        <v>1</v>
      </c>
      <c r="N510" s="961"/>
      <c r="O510" s="51">
        <f t="shared" si="91"/>
        <v>1</v>
      </c>
      <c r="P510" s="961"/>
      <c r="Q510" s="51">
        <f t="shared" si="92"/>
        <v>1</v>
      </c>
      <c r="R510" s="488">
        <f t="shared" si="93"/>
        <v>0</v>
      </c>
      <c r="S510" s="797">
        <f t="shared" si="94"/>
        <v>0</v>
      </c>
    </row>
    <row r="511" spans="1:19">
      <c r="A511" s="963"/>
      <c r="B511" s="135"/>
      <c r="C511" s="51">
        <f t="shared" si="85"/>
        <v>1</v>
      </c>
      <c r="D511" s="961"/>
      <c r="E511" s="51">
        <f t="shared" si="86"/>
        <v>1</v>
      </c>
      <c r="F511" s="961"/>
      <c r="G511" s="51">
        <f t="shared" si="87"/>
        <v>1</v>
      </c>
      <c r="H511" s="961"/>
      <c r="I511" s="51">
        <f t="shared" si="88"/>
        <v>1</v>
      </c>
      <c r="J511" s="961"/>
      <c r="K511" s="51">
        <f t="shared" si="89"/>
        <v>1</v>
      </c>
      <c r="L511" s="961"/>
      <c r="M511" s="51">
        <f t="shared" si="90"/>
        <v>1</v>
      </c>
      <c r="N511" s="961"/>
      <c r="O511" s="51">
        <f t="shared" si="91"/>
        <v>1</v>
      </c>
      <c r="P511" s="961"/>
      <c r="Q511" s="51">
        <f t="shared" si="92"/>
        <v>1</v>
      </c>
      <c r="R511" s="488">
        <f t="shared" si="93"/>
        <v>0</v>
      </c>
      <c r="S511" s="797">
        <f t="shared" si="94"/>
        <v>0</v>
      </c>
    </row>
    <row r="512" spans="1:19">
      <c r="A512" s="963"/>
      <c r="B512" s="135"/>
      <c r="C512" s="51">
        <f t="shared" si="85"/>
        <v>1</v>
      </c>
      <c r="D512" s="961"/>
      <c r="E512" s="51">
        <f t="shared" si="86"/>
        <v>1</v>
      </c>
      <c r="F512" s="961"/>
      <c r="G512" s="51">
        <f t="shared" si="87"/>
        <v>1</v>
      </c>
      <c r="H512" s="961"/>
      <c r="I512" s="51">
        <f t="shared" si="88"/>
        <v>1</v>
      </c>
      <c r="J512" s="961"/>
      <c r="K512" s="51">
        <f t="shared" si="89"/>
        <v>1</v>
      </c>
      <c r="L512" s="961"/>
      <c r="M512" s="51">
        <f t="shared" si="90"/>
        <v>1</v>
      </c>
      <c r="N512" s="961"/>
      <c r="O512" s="51">
        <f t="shared" si="91"/>
        <v>1</v>
      </c>
      <c r="P512" s="961"/>
      <c r="Q512" s="51">
        <f t="shared" si="92"/>
        <v>1</v>
      </c>
      <c r="R512" s="488">
        <f t="shared" si="93"/>
        <v>0</v>
      </c>
      <c r="S512" s="797">
        <f t="shared" si="94"/>
        <v>0</v>
      </c>
    </row>
    <row r="513" spans="1:19">
      <c r="A513" s="963"/>
      <c r="B513" s="135"/>
      <c r="C513" s="51">
        <f t="shared" si="85"/>
        <v>1</v>
      </c>
      <c r="D513" s="961"/>
      <c r="E513" s="51">
        <f t="shared" si="86"/>
        <v>1</v>
      </c>
      <c r="F513" s="961"/>
      <c r="G513" s="51">
        <f t="shared" si="87"/>
        <v>1</v>
      </c>
      <c r="H513" s="961"/>
      <c r="I513" s="51">
        <f t="shared" si="88"/>
        <v>1</v>
      </c>
      <c r="J513" s="961"/>
      <c r="K513" s="51">
        <f t="shared" si="89"/>
        <v>1</v>
      </c>
      <c r="L513" s="961"/>
      <c r="M513" s="51">
        <f t="shared" si="90"/>
        <v>1</v>
      </c>
      <c r="N513" s="961"/>
      <c r="O513" s="51">
        <f t="shared" si="91"/>
        <v>1</v>
      </c>
      <c r="P513" s="961"/>
      <c r="Q513" s="51">
        <f t="shared" si="92"/>
        <v>1</v>
      </c>
      <c r="R513" s="488">
        <f t="shared" si="93"/>
        <v>0</v>
      </c>
      <c r="S513" s="797">
        <f t="shared" si="94"/>
        <v>0</v>
      </c>
    </row>
    <row r="514" spans="1:19">
      <c r="A514" s="963"/>
      <c r="B514" s="135"/>
      <c r="C514" s="51">
        <f t="shared" si="85"/>
        <v>1</v>
      </c>
      <c r="D514" s="961"/>
      <c r="E514" s="51">
        <f t="shared" si="86"/>
        <v>1</v>
      </c>
      <c r="F514" s="961"/>
      <c r="G514" s="51">
        <f t="shared" si="87"/>
        <v>1</v>
      </c>
      <c r="H514" s="961"/>
      <c r="I514" s="51">
        <f t="shared" si="88"/>
        <v>1</v>
      </c>
      <c r="J514" s="961"/>
      <c r="K514" s="51">
        <f t="shared" si="89"/>
        <v>1</v>
      </c>
      <c r="L514" s="961"/>
      <c r="M514" s="51">
        <f t="shared" si="90"/>
        <v>1</v>
      </c>
      <c r="N514" s="961"/>
      <c r="O514" s="51">
        <f t="shared" si="91"/>
        <v>1</v>
      </c>
      <c r="P514" s="961"/>
      <c r="Q514" s="51">
        <f t="shared" si="92"/>
        <v>1</v>
      </c>
      <c r="R514" s="488">
        <f t="shared" si="93"/>
        <v>0</v>
      </c>
      <c r="S514" s="797">
        <f t="shared" si="94"/>
        <v>0</v>
      </c>
    </row>
    <row r="515" spans="1:19">
      <c r="A515" s="963"/>
      <c r="B515" s="135"/>
      <c r="C515" s="51">
        <f t="shared" si="85"/>
        <v>1</v>
      </c>
      <c r="D515" s="961"/>
      <c r="E515" s="51">
        <f t="shared" si="86"/>
        <v>1</v>
      </c>
      <c r="F515" s="961"/>
      <c r="G515" s="51">
        <f t="shared" si="87"/>
        <v>1</v>
      </c>
      <c r="H515" s="961"/>
      <c r="I515" s="51">
        <f t="shared" si="88"/>
        <v>1</v>
      </c>
      <c r="J515" s="961"/>
      <c r="K515" s="51">
        <f t="shared" si="89"/>
        <v>1</v>
      </c>
      <c r="L515" s="961"/>
      <c r="M515" s="51">
        <f t="shared" si="90"/>
        <v>1</v>
      </c>
      <c r="N515" s="961"/>
      <c r="O515" s="51">
        <f t="shared" si="91"/>
        <v>1</v>
      </c>
      <c r="P515" s="961"/>
      <c r="Q515" s="51">
        <f t="shared" si="92"/>
        <v>1</v>
      </c>
      <c r="R515" s="488">
        <f t="shared" si="93"/>
        <v>0</v>
      </c>
      <c r="S515" s="797">
        <f t="shared" si="94"/>
        <v>0</v>
      </c>
    </row>
    <row r="516" spans="1:19">
      <c r="A516" s="963"/>
      <c r="B516" s="135"/>
      <c r="C516" s="51">
        <f t="shared" si="85"/>
        <v>1</v>
      </c>
      <c r="D516" s="961"/>
      <c r="E516" s="51">
        <f t="shared" si="86"/>
        <v>1</v>
      </c>
      <c r="F516" s="961"/>
      <c r="G516" s="51">
        <f t="shared" si="87"/>
        <v>1</v>
      </c>
      <c r="H516" s="961"/>
      <c r="I516" s="51">
        <f t="shared" si="88"/>
        <v>1</v>
      </c>
      <c r="J516" s="961"/>
      <c r="K516" s="51">
        <f t="shared" si="89"/>
        <v>1</v>
      </c>
      <c r="L516" s="961"/>
      <c r="M516" s="51">
        <f t="shared" si="90"/>
        <v>1</v>
      </c>
      <c r="N516" s="961"/>
      <c r="O516" s="51">
        <f t="shared" si="91"/>
        <v>1</v>
      </c>
      <c r="P516" s="961"/>
      <c r="Q516" s="51">
        <f t="shared" si="92"/>
        <v>1</v>
      </c>
      <c r="R516" s="488">
        <f t="shared" si="93"/>
        <v>0</v>
      </c>
      <c r="S516" s="797">
        <f t="shared" si="94"/>
        <v>0</v>
      </c>
    </row>
    <row r="517" spans="1:19">
      <c r="A517" s="963"/>
      <c r="B517" s="135"/>
      <c r="C517" s="51">
        <f t="shared" si="85"/>
        <v>1</v>
      </c>
      <c r="D517" s="961"/>
      <c r="E517" s="51">
        <f t="shared" si="86"/>
        <v>1</v>
      </c>
      <c r="F517" s="961"/>
      <c r="G517" s="51">
        <f t="shared" si="87"/>
        <v>1</v>
      </c>
      <c r="H517" s="961"/>
      <c r="I517" s="51">
        <f t="shared" si="88"/>
        <v>1</v>
      </c>
      <c r="J517" s="961"/>
      <c r="K517" s="51">
        <f t="shared" si="89"/>
        <v>1</v>
      </c>
      <c r="L517" s="961"/>
      <c r="M517" s="51">
        <f t="shared" si="90"/>
        <v>1</v>
      </c>
      <c r="N517" s="961"/>
      <c r="O517" s="51">
        <f t="shared" si="91"/>
        <v>1</v>
      </c>
      <c r="P517" s="961"/>
      <c r="Q517" s="51">
        <f t="shared" si="92"/>
        <v>1</v>
      </c>
      <c r="R517" s="488">
        <f t="shared" si="93"/>
        <v>0</v>
      </c>
      <c r="S517" s="797">
        <f t="shared" si="94"/>
        <v>0</v>
      </c>
    </row>
    <row r="518" spans="1:19">
      <c r="A518" s="963"/>
      <c r="B518" s="135"/>
      <c r="C518" s="51">
        <f t="shared" si="85"/>
        <v>1</v>
      </c>
      <c r="D518" s="961"/>
      <c r="E518" s="51">
        <f t="shared" si="86"/>
        <v>1</v>
      </c>
      <c r="F518" s="961"/>
      <c r="G518" s="51">
        <f t="shared" si="87"/>
        <v>1</v>
      </c>
      <c r="H518" s="961"/>
      <c r="I518" s="51">
        <f t="shared" si="88"/>
        <v>1</v>
      </c>
      <c r="J518" s="961"/>
      <c r="K518" s="51">
        <f t="shared" si="89"/>
        <v>1</v>
      </c>
      <c r="L518" s="961"/>
      <c r="M518" s="51">
        <f t="shared" si="90"/>
        <v>1</v>
      </c>
      <c r="N518" s="961"/>
      <c r="O518" s="51">
        <f t="shared" si="91"/>
        <v>1</v>
      </c>
      <c r="P518" s="961"/>
      <c r="Q518" s="51">
        <f t="shared" si="92"/>
        <v>1</v>
      </c>
      <c r="R518" s="488">
        <f t="shared" si="93"/>
        <v>0</v>
      </c>
      <c r="S518" s="797">
        <f t="shared" si="94"/>
        <v>0</v>
      </c>
    </row>
    <row r="519" spans="1:19">
      <c r="A519" s="963"/>
      <c r="B519" s="135"/>
      <c r="C519" s="51">
        <f t="shared" si="85"/>
        <v>1</v>
      </c>
      <c r="D519" s="961"/>
      <c r="E519" s="51">
        <f t="shared" si="86"/>
        <v>1</v>
      </c>
      <c r="F519" s="961"/>
      <c r="G519" s="51">
        <f t="shared" si="87"/>
        <v>1</v>
      </c>
      <c r="H519" s="961"/>
      <c r="I519" s="51">
        <f t="shared" si="88"/>
        <v>1</v>
      </c>
      <c r="J519" s="961"/>
      <c r="K519" s="51">
        <f t="shared" si="89"/>
        <v>1</v>
      </c>
      <c r="L519" s="961"/>
      <c r="M519" s="51">
        <f t="shared" si="90"/>
        <v>1</v>
      </c>
      <c r="N519" s="961"/>
      <c r="O519" s="51">
        <f t="shared" si="91"/>
        <v>1</v>
      </c>
      <c r="P519" s="961"/>
      <c r="Q519" s="51">
        <f t="shared" si="92"/>
        <v>1</v>
      </c>
      <c r="R519" s="488">
        <f t="shared" si="93"/>
        <v>0</v>
      </c>
      <c r="S519" s="797">
        <f t="shared" si="94"/>
        <v>0</v>
      </c>
    </row>
    <row r="520" spans="1:19">
      <c r="A520" s="963"/>
      <c r="B520" s="135"/>
      <c r="C520" s="51">
        <f t="shared" si="85"/>
        <v>1</v>
      </c>
      <c r="D520" s="961"/>
      <c r="E520" s="51">
        <f t="shared" si="86"/>
        <v>1</v>
      </c>
      <c r="F520" s="961"/>
      <c r="G520" s="51">
        <f t="shared" si="87"/>
        <v>1</v>
      </c>
      <c r="H520" s="961"/>
      <c r="I520" s="51">
        <f t="shared" si="88"/>
        <v>1</v>
      </c>
      <c r="J520" s="961"/>
      <c r="K520" s="51">
        <f t="shared" si="89"/>
        <v>1</v>
      </c>
      <c r="L520" s="961"/>
      <c r="M520" s="51">
        <f t="shared" si="90"/>
        <v>1</v>
      </c>
      <c r="N520" s="961"/>
      <c r="O520" s="51">
        <f t="shared" si="91"/>
        <v>1</v>
      </c>
      <c r="P520" s="961"/>
      <c r="Q520" s="51">
        <f t="shared" si="92"/>
        <v>1</v>
      </c>
      <c r="R520" s="488">
        <f t="shared" si="93"/>
        <v>0</v>
      </c>
      <c r="S520" s="797">
        <f t="shared" si="94"/>
        <v>0</v>
      </c>
    </row>
    <row r="521" spans="1:19">
      <c r="A521" s="963"/>
      <c r="B521" s="135"/>
      <c r="C521" s="51">
        <f t="shared" si="85"/>
        <v>1</v>
      </c>
      <c r="D521" s="961"/>
      <c r="E521" s="51">
        <f t="shared" si="86"/>
        <v>1</v>
      </c>
      <c r="F521" s="961"/>
      <c r="G521" s="51">
        <f t="shared" si="87"/>
        <v>1</v>
      </c>
      <c r="H521" s="961"/>
      <c r="I521" s="51">
        <f t="shared" si="88"/>
        <v>1</v>
      </c>
      <c r="J521" s="961"/>
      <c r="K521" s="51">
        <f t="shared" si="89"/>
        <v>1</v>
      </c>
      <c r="L521" s="961"/>
      <c r="M521" s="51">
        <f t="shared" si="90"/>
        <v>1</v>
      </c>
      <c r="N521" s="961"/>
      <c r="O521" s="51">
        <f t="shared" si="91"/>
        <v>1</v>
      </c>
      <c r="P521" s="961"/>
      <c r="Q521" s="51">
        <f t="shared" si="92"/>
        <v>1</v>
      </c>
      <c r="R521" s="488">
        <f t="shared" si="93"/>
        <v>0</v>
      </c>
      <c r="S521" s="797">
        <f t="shared" si="94"/>
        <v>0</v>
      </c>
    </row>
    <row r="522" spans="1:19">
      <c r="A522" s="963"/>
      <c r="B522" s="135"/>
      <c r="C522" s="51">
        <f t="shared" si="85"/>
        <v>1</v>
      </c>
      <c r="D522" s="961"/>
      <c r="E522" s="51">
        <f t="shared" si="86"/>
        <v>1</v>
      </c>
      <c r="F522" s="961"/>
      <c r="G522" s="51">
        <f t="shared" si="87"/>
        <v>1</v>
      </c>
      <c r="H522" s="961"/>
      <c r="I522" s="51">
        <f t="shared" si="88"/>
        <v>1</v>
      </c>
      <c r="J522" s="961"/>
      <c r="K522" s="51">
        <f t="shared" si="89"/>
        <v>1</v>
      </c>
      <c r="L522" s="961"/>
      <c r="M522" s="51">
        <f t="shared" si="90"/>
        <v>1</v>
      </c>
      <c r="N522" s="961"/>
      <c r="O522" s="51">
        <f t="shared" si="91"/>
        <v>1</v>
      </c>
      <c r="P522" s="961"/>
      <c r="Q522" s="51">
        <f t="shared" si="92"/>
        <v>1</v>
      </c>
      <c r="R522" s="488">
        <f t="shared" si="93"/>
        <v>0</v>
      </c>
      <c r="S522" s="797">
        <f t="shared" si="94"/>
        <v>0</v>
      </c>
    </row>
    <row r="523" spans="1:19">
      <c r="A523" s="963"/>
      <c r="B523" s="135"/>
      <c r="C523" s="51">
        <f t="shared" si="85"/>
        <v>1</v>
      </c>
      <c r="D523" s="961"/>
      <c r="E523" s="51">
        <f t="shared" si="86"/>
        <v>1</v>
      </c>
      <c r="F523" s="961"/>
      <c r="G523" s="51">
        <f t="shared" si="87"/>
        <v>1</v>
      </c>
      <c r="H523" s="961"/>
      <c r="I523" s="51">
        <f t="shared" si="88"/>
        <v>1</v>
      </c>
      <c r="J523" s="961"/>
      <c r="K523" s="51">
        <f t="shared" si="89"/>
        <v>1</v>
      </c>
      <c r="L523" s="961"/>
      <c r="M523" s="51">
        <f t="shared" si="90"/>
        <v>1</v>
      </c>
      <c r="N523" s="961"/>
      <c r="O523" s="51">
        <f t="shared" si="91"/>
        <v>1</v>
      </c>
      <c r="P523" s="961"/>
      <c r="Q523" s="51">
        <f t="shared" si="92"/>
        <v>1</v>
      </c>
      <c r="R523" s="488">
        <f t="shared" si="93"/>
        <v>0</v>
      </c>
      <c r="S523" s="797">
        <f t="shared" si="94"/>
        <v>0</v>
      </c>
    </row>
    <row r="524" spans="1:19">
      <c r="A524" s="963"/>
      <c r="B524" s="135"/>
      <c r="C524" s="51">
        <f t="shared" si="85"/>
        <v>1</v>
      </c>
      <c r="D524" s="961"/>
      <c r="E524" s="51">
        <f t="shared" si="86"/>
        <v>1</v>
      </c>
      <c r="F524" s="961"/>
      <c r="G524" s="51">
        <f t="shared" si="87"/>
        <v>1</v>
      </c>
      <c r="H524" s="961"/>
      <c r="I524" s="51">
        <f t="shared" si="88"/>
        <v>1</v>
      </c>
      <c r="J524" s="961"/>
      <c r="K524" s="51">
        <f t="shared" si="89"/>
        <v>1</v>
      </c>
      <c r="L524" s="961"/>
      <c r="M524" s="51">
        <f t="shared" si="90"/>
        <v>1</v>
      </c>
      <c r="N524" s="961"/>
      <c r="O524" s="51">
        <f t="shared" si="91"/>
        <v>1</v>
      </c>
      <c r="P524" s="961"/>
      <c r="Q524" s="51">
        <f t="shared" si="92"/>
        <v>1</v>
      </c>
      <c r="R524" s="488">
        <f t="shared" si="93"/>
        <v>0</v>
      </c>
      <c r="S524" s="797">
        <f t="shared" si="94"/>
        <v>0</v>
      </c>
    </row>
    <row r="525" spans="1:19">
      <c r="A525" s="255"/>
      <c r="B525" s="55"/>
      <c r="C525" s="55"/>
      <c r="D525" s="55"/>
      <c r="E525" s="55"/>
      <c r="F525" s="55"/>
      <c r="G525" s="55"/>
      <c r="H525" s="55"/>
      <c r="I525" s="55"/>
      <c r="J525" s="55"/>
      <c r="K525" s="55"/>
      <c r="L525" s="55"/>
      <c r="M525" s="55"/>
      <c r="N525" s="55"/>
      <c r="O525" s="55"/>
      <c r="P525" s="55"/>
      <c r="Q525" s="55"/>
      <c r="R525" s="2226"/>
      <c r="S525" s="255"/>
    </row>
    <row r="526" spans="1:19">
      <c r="A526" s="255"/>
      <c r="B526" s="55"/>
      <c r="C526" s="55"/>
      <c r="D526" s="55"/>
      <c r="E526" s="55"/>
      <c r="F526" s="55"/>
      <c r="G526" s="55"/>
      <c r="H526" s="55"/>
      <c r="I526" s="55"/>
      <c r="J526" s="55"/>
      <c r="K526" s="55"/>
      <c r="L526" s="55"/>
      <c r="M526" s="55"/>
      <c r="N526" s="55"/>
      <c r="O526" s="55"/>
      <c r="P526" s="55"/>
      <c r="Q526" s="55"/>
      <c r="R526" s="2226"/>
      <c r="S526" s="255"/>
    </row>
    <row r="527" spans="1:19">
      <c r="A527" s="255"/>
      <c r="B527" s="55"/>
      <c r="C527" s="55"/>
      <c r="D527" s="55"/>
      <c r="E527" s="55"/>
      <c r="F527" s="55"/>
      <c r="G527" s="55"/>
      <c r="H527" s="55"/>
      <c r="I527" s="55"/>
      <c r="J527" s="55"/>
      <c r="K527" s="55"/>
      <c r="L527" s="55"/>
      <c r="M527" s="55"/>
      <c r="N527" s="55"/>
      <c r="O527" s="55"/>
      <c r="P527" s="55"/>
      <c r="Q527" s="55"/>
      <c r="R527" s="2226"/>
      <c r="S527" s="255"/>
    </row>
    <row r="528" spans="1:19">
      <c r="A528" s="255"/>
      <c r="B528" s="55"/>
      <c r="C528" s="55"/>
      <c r="D528" s="55"/>
      <c r="E528" s="55"/>
      <c r="F528" s="55"/>
      <c r="G528" s="55"/>
      <c r="H528" s="55"/>
      <c r="I528" s="55"/>
      <c r="J528" s="55"/>
      <c r="K528" s="55"/>
      <c r="L528" s="55"/>
      <c r="M528" s="55"/>
      <c r="N528" s="55"/>
      <c r="O528" s="55"/>
      <c r="P528" s="55"/>
      <c r="Q528" s="55"/>
      <c r="R528" s="2226"/>
      <c r="S528" s="255"/>
    </row>
    <row r="529" spans="1:19">
      <c r="A529" s="255"/>
      <c r="B529" s="55"/>
      <c r="C529" s="55"/>
      <c r="D529" s="55"/>
      <c r="E529" s="55"/>
      <c r="F529" s="55"/>
      <c r="G529" s="55"/>
      <c r="H529" s="55"/>
      <c r="I529" s="55"/>
      <c r="J529" s="55"/>
      <c r="K529" s="55"/>
      <c r="L529" s="55"/>
      <c r="M529" s="55"/>
      <c r="N529" s="55"/>
      <c r="O529" s="55"/>
      <c r="P529" s="55"/>
      <c r="Q529" s="55"/>
      <c r="R529" s="2226"/>
      <c r="S529" s="255"/>
    </row>
    <row r="530" spans="1:19">
      <c r="A530" s="255"/>
      <c r="B530" s="55"/>
      <c r="C530" s="55"/>
      <c r="D530" s="55"/>
      <c r="E530" s="55"/>
      <c r="F530" s="55"/>
      <c r="G530" s="55"/>
      <c r="H530" s="55"/>
      <c r="I530" s="55"/>
      <c r="J530" s="55"/>
      <c r="K530" s="55"/>
      <c r="L530" s="55"/>
      <c r="M530" s="55"/>
      <c r="N530" s="55"/>
      <c r="O530" s="55"/>
      <c r="P530" s="55"/>
      <c r="Q530" s="55"/>
      <c r="R530" s="2226"/>
      <c r="S530" s="255"/>
    </row>
    <row r="531" spans="1:19">
      <c r="A531" s="255"/>
      <c r="B531" s="55"/>
      <c r="C531" s="55"/>
      <c r="D531" s="55"/>
      <c r="E531" s="55"/>
      <c r="F531" s="55"/>
      <c r="G531" s="55"/>
      <c r="H531" s="55"/>
      <c r="I531" s="55"/>
      <c r="J531" s="55"/>
      <c r="K531" s="55"/>
      <c r="L531" s="55"/>
      <c r="M531" s="55"/>
      <c r="N531" s="55"/>
      <c r="O531" s="55"/>
      <c r="P531" s="55"/>
      <c r="Q531" s="55"/>
      <c r="R531" s="2226"/>
      <c r="S531" s="255"/>
    </row>
    <row r="532" spans="1:19">
      <c r="A532" s="255"/>
      <c r="B532" s="55"/>
      <c r="C532" s="55"/>
      <c r="D532" s="55"/>
      <c r="E532" s="55"/>
      <c r="F532" s="55"/>
      <c r="G532" s="55"/>
      <c r="H532" s="55"/>
      <c r="I532" s="55"/>
      <c r="J532" s="55"/>
      <c r="K532" s="55"/>
      <c r="L532" s="55"/>
      <c r="M532" s="55"/>
      <c r="N532" s="55"/>
      <c r="O532" s="55"/>
      <c r="P532" s="55"/>
      <c r="Q532" s="55"/>
      <c r="R532" s="2226"/>
      <c r="S532" s="255"/>
    </row>
    <row r="533" spans="1:19">
      <c r="A533" s="255"/>
      <c r="B533" s="55"/>
      <c r="C533" s="55"/>
      <c r="D533" s="55"/>
      <c r="E533" s="55"/>
      <c r="F533" s="55"/>
      <c r="G533" s="55"/>
      <c r="H533" s="55"/>
      <c r="I533" s="55"/>
      <c r="J533" s="55"/>
      <c r="K533" s="55"/>
      <c r="L533" s="55"/>
      <c r="M533" s="55"/>
      <c r="N533" s="55"/>
      <c r="O533" s="55"/>
      <c r="P533" s="55"/>
      <c r="Q533" s="55"/>
      <c r="R533" s="2226"/>
      <c r="S533" s="255"/>
    </row>
    <row r="534" spans="1:19">
      <c r="A534" s="255"/>
      <c r="B534" s="55"/>
      <c r="C534" s="55"/>
      <c r="D534" s="55"/>
      <c r="E534" s="55"/>
      <c r="F534" s="55"/>
      <c r="G534" s="55"/>
      <c r="H534" s="55"/>
      <c r="I534" s="55"/>
      <c r="J534" s="55"/>
      <c r="K534" s="55"/>
      <c r="L534" s="55"/>
      <c r="M534" s="55"/>
      <c r="N534" s="55"/>
      <c r="O534" s="55"/>
      <c r="P534" s="55"/>
      <c r="Q534" s="55"/>
      <c r="R534" s="2226"/>
      <c r="S534" s="255"/>
    </row>
    <row r="535" spans="1:19">
      <c r="A535" s="255"/>
      <c r="B535" s="55"/>
      <c r="C535" s="55"/>
      <c r="D535" s="55"/>
      <c r="E535" s="55"/>
      <c r="F535" s="55"/>
      <c r="G535" s="55"/>
      <c r="H535" s="55"/>
      <c r="I535" s="55"/>
      <c r="J535" s="55"/>
      <c r="K535" s="55"/>
      <c r="L535" s="55"/>
      <c r="M535" s="55"/>
      <c r="N535" s="55"/>
      <c r="O535" s="55"/>
      <c r="P535" s="55"/>
      <c r="Q535" s="55"/>
      <c r="R535" s="2226"/>
      <c r="S535" s="255"/>
    </row>
    <row r="536" spans="1:19">
      <c r="A536" s="255"/>
      <c r="B536" s="55"/>
      <c r="C536" s="55"/>
      <c r="D536" s="55"/>
      <c r="E536" s="55"/>
      <c r="F536" s="55"/>
      <c r="G536" s="55"/>
      <c r="H536" s="55"/>
      <c r="I536" s="55"/>
      <c r="J536" s="55"/>
      <c r="K536" s="55"/>
      <c r="L536" s="55"/>
      <c r="M536" s="55"/>
      <c r="N536" s="55"/>
      <c r="O536" s="55"/>
      <c r="P536" s="55"/>
      <c r="Q536" s="55"/>
      <c r="R536" s="2226"/>
      <c r="S536" s="255"/>
    </row>
    <row r="537" spans="1:19">
      <c r="A537" s="255"/>
      <c r="B537" s="55"/>
      <c r="C537" s="55"/>
      <c r="D537" s="55"/>
      <c r="E537" s="55"/>
      <c r="F537" s="55"/>
      <c r="G537" s="55"/>
      <c r="H537" s="55"/>
      <c r="I537" s="55"/>
      <c r="J537" s="55"/>
      <c r="K537" s="55"/>
      <c r="L537" s="55"/>
      <c r="M537" s="55"/>
      <c r="N537" s="55"/>
      <c r="O537" s="55"/>
      <c r="P537" s="55"/>
      <c r="Q537" s="55"/>
      <c r="R537" s="2226"/>
      <c r="S537" s="255"/>
    </row>
    <row r="538" spans="1:19">
      <c r="A538" s="255"/>
      <c r="B538" s="55"/>
      <c r="C538" s="55"/>
      <c r="D538" s="55"/>
      <c r="E538" s="55"/>
      <c r="F538" s="55"/>
      <c r="G538" s="55"/>
      <c r="H538" s="55"/>
      <c r="I538" s="55"/>
      <c r="J538" s="55"/>
      <c r="K538" s="55"/>
      <c r="L538" s="55"/>
      <c r="M538" s="55"/>
      <c r="N538" s="55"/>
      <c r="O538" s="55"/>
      <c r="P538" s="55"/>
      <c r="Q538" s="55"/>
      <c r="R538" s="2226"/>
      <c r="S538" s="255"/>
    </row>
    <row r="539" spans="1:19">
      <c r="A539" s="255"/>
      <c r="B539" s="55"/>
      <c r="C539" s="55"/>
      <c r="D539" s="55"/>
      <c r="E539" s="55"/>
      <c r="F539" s="55"/>
      <c r="G539" s="55"/>
      <c r="H539" s="55"/>
      <c r="I539" s="55"/>
      <c r="J539" s="55"/>
      <c r="K539" s="55"/>
      <c r="L539" s="55"/>
      <c r="M539" s="55"/>
      <c r="N539" s="55"/>
      <c r="O539" s="55"/>
      <c r="P539" s="55"/>
      <c r="Q539" s="55"/>
      <c r="R539" s="2226"/>
      <c r="S539" s="255"/>
    </row>
    <row r="540" spans="1:19">
      <c r="A540" s="255"/>
      <c r="B540" s="55"/>
      <c r="C540" s="55"/>
      <c r="D540" s="55"/>
      <c r="E540" s="55"/>
      <c r="F540" s="55"/>
      <c r="G540" s="55"/>
      <c r="H540" s="55"/>
      <c r="I540" s="55"/>
      <c r="J540" s="55"/>
      <c r="K540" s="55"/>
      <c r="L540" s="55"/>
      <c r="M540" s="55"/>
      <c r="N540" s="55"/>
      <c r="O540" s="55"/>
      <c r="P540" s="55"/>
      <c r="Q540" s="55"/>
      <c r="R540" s="2226"/>
      <c r="S540" s="255"/>
    </row>
    <row r="541" spans="1:19">
      <c r="A541" s="255"/>
      <c r="B541" s="55"/>
      <c r="C541" s="55"/>
      <c r="D541" s="55"/>
      <c r="E541" s="55"/>
      <c r="F541" s="55"/>
      <c r="G541" s="55"/>
      <c r="H541" s="55"/>
      <c r="I541" s="55"/>
      <c r="J541" s="55"/>
      <c r="K541" s="55"/>
      <c r="L541" s="55"/>
      <c r="M541" s="55"/>
      <c r="N541" s="55"/>
      <c r="O541" s="55"/>
      <c r="P541" s="55"/>
      <c r="Q541" s="55"/>
      <c r="R541" s="2226"/>
      <c r="S541" s="255"/>
    </row>
    <row r="542" spans="1:19">
      <c r="A542" s="255"/>
      <c r="B542" s="55"/>
      <c r="C542" s="55"/>
      <c r="D542" s="55"/>
      <c r="E542" s="55"/>
      <c r="F542" s="55"/>
      <c r="G542" s="55"/>
      <c r="H542" s="55"/>
      <c r="I542" s="55"/>
      <c r="J542" s="55"/>
      <c r="K542" s="55"/>
      <c r="L542" s="55"/>
      <c r="M542" s="55"/>
      <c r="N542" s="55"/>
      <c r="O542" s="55"/>
      <c r="P542" s="55"/>
      <c r="Q542" s="55"/>
      <c r="R542" s="2226"/>
      <c r="S542" s="255"/>
    </row>
    <row r="543" spans="1:19">
      <c r="A543" s="255"/>
      <c r="B543" s="55"/>
      <c r="C543" s="55"/>
      <c r="D543" s="55"/>
      <c r="E543" s="55"/>
      <c r="F543" s="55"/>
      <c r="G543" s="55"/>
      <c r="H543" s="55"/>
      <c r="I543" s="55"/>
      <c r="J543" s="55"/>
      <c r="K543" s="55"/>
      <c r="L543" s="55"/>
      <c r="M543" s="55"/>
      <c r="N543" s="55"/>
      <c r="O543" s="55"/>
      <c r="P543" s="55"/>
      <c r="Q543" s="55"/>
      <c r="R543" s="2226"/>
      <c r="S543" s="255"/>
    </row>
    <row r="544" spans="1:19">
      <c r="A544" s="255"/>
      <c r="B544" s="55"/>
      <c r="C544" s="55"/>
      <c r="D544" s="55"/>
      <c r="E544" s="55"/>
      <c r="F544" s="55"/>
      <c r="G544" s="55"/>
      <c r="H544" s="55"/>
      <c r="I544" s="55"/>
      <c r="J544" s="55"/>
      <c r="K544" s="55"/>
      <c r="L544" s="55"/>
      <c r="M544" s="55"/>
      <c r="N544" s="55"/>
      <c r="O544" s="55"/>
      <c r="P544" s="55"/>
      <c r="Q544" s="55"/>
      <c r="R544" s="2226"/>
      <c r="S544" s="255"/>
    </row>
    <row r="545" spans="1:19">
      <c r="A545" s="255"/>
      <c r="B545" s="55"/>
      <c r="C545" s="55"/>
      <c r="D545" s="55"/>
      <c r="E545" s="55"/>
      <c r="F545" s="55"/>
      <c r="G545" s="55"/>
      <c r="H545" s="55"/>
      <c r="I545" s="55"/>
      <c r="J545" s="55"/>
      <c r="K545" s="55"/>
      <c r="L545" s="55"/>
      <c r="M545" s="55"/>
      <c r="N545" s="55"/>
      <c r="O545" s="55"/>
      <c r="P545" s="55"/>
      <c r="Q545" s="55"/>
      <c r="R545" s="2226"/>
      <c r="S545" s="255"/>
    </row>
    <row r="546" spans="1:19">
      <c r="A546" s="255"/>
      <c r="B546" s="55"/>
      <c r="C546" s="55"/>
      <c r="D546" s="55"/>
      <c r="E546" s="55"/>
      <c r="F546" s="55"/>
      <c r="G546" s="55"/>
      <c r="H546" s="55"/>
      <c r="I546" s="55"/>
      <c r="J546" s="55"/>
      <c r="K546" s="55"/>
      <c r="L546" s="55"/>
      <c r="M546" s="55"/>
      <c r="N546" s="55"/>
      <c r="O546" s="55"/>
      <c r="P546" s="55"/>
      <c r="Q546" s="55"/>
      <c r="R546" s="2226"/>
      <c r="S546" s="255"/>
    </row>
    <row r="547" spans="1:19">
      <c r="A547" s="255"/>
      <c r="B547" s="55"/>
      <c r="C547" s="55"/>
      <c r="D547" s="55"/>
      <c r="E547" s="55"/>
      <c r="F547" s="55"/>
      <c r="G547" s="55"/>
      <c r="H547" s="55"/>
      <c r="I547" s="55"/>
      <c r="J547" s="55"/>
      <c r="K547" s="55"/>
      <c r="L547" s="55"/>
      <c r="M547" s="55"/>
      <c r="N547" s="55"/>
      <c r="O547" s="55"/>
      <c r="P547" s="55"/>
      <c r="Q547" s="55"/>
      <c r="R547" s="2226"/>
      <c r="S547" s="255"/>
    </row>
    <row r="548" spans="1:19">
      <c r="A548" s="255"/>
      <c r="B548" s="55"/>
      <c r="C548" s="55"/>
      <c r="D548" s="55"/>
      <c r="E548" s="55"/>
      <c r="F548" s="55"/>
      <c r="G548" s="55"/>
      <c r="H548" s="55"/>
      <c r="I548" s="55"/>
      <c r="J548" s="55"/>
      <c r="K548" s="55"/>
      <c r="L548" s="55"/>
      <c r="M548" s="55"/>
      <c r="N548" s="55"/>
      <c r="O548" s="55"/>
      <c r="P548" s="55"/>
      <c r="Q548" s="55"/>
      <c r="R548" s="2226"/>
      <c r="S548" s="255"/>
    </row>
    <row r="549" spans="1:19">
      <c r="A549" s="255"/>
      <c r="B549" s="55"/>
      <c r="C549" s="55"/>
      <c r="D549" s="55"/>
      <c r="E549" s="55"/>
      <c r="F549" s="55"/>
      <c r="G549" s="55"/>
      <c r="H549" s="55"/>
      <c r="I549" s="55"/>
      <c r="J549" s="55"/>
      <c r="K549" s="55"/>
      <c r="L549" s="55"/>
      <c r="M549" s="55"/>
      <c r="N549" s="55"/>
      <c r="O549" s="55"/>
      <c r="P549" s="55"/>
      <c r="Q549" s="55"/>
      <c r="R549" s="2226"/>
      <c r="S549" s="255"/>
    </row>
    <row r="550" spans="1:19">
      <c r="A550" s="255"/>
      <c r="B550" s="55"/>
      <c r="C550" s="55"/>
      <c r="D550" s="55"/>
      <c r="E550" s="55"/>
      <c r="F550" s="55"/>
      <c r="G550" s="55"/>
      <c r="H550" s="55"/>
      <c r="I550" s="55"/>
      <c r="J550" s="55"/>
      <c r="K550" s="55"/>
      <c r="L550" s="55"/>
      <c r="M550" s="55"/>
      <c r="N550" s="55"/>
      <c r="O550" s="55"/>
      <c r="P550" s="55"/>
      <c r="Q550" s="55"/>
      <c r="R550" s="2226"/>
      <c r="S550" s="255"/>
    </row>
    <row r="551" spans="1:19">
      <c r="A551" s="255"/>
      <c r="B551" s="55"/>
      <c r="C551" s="55"/>
      <c r="D551" s="55"/>
      <c r="E551" s="55"/>
      <c r="F551" s="55"/>
      <c r="G551" s="55"/>
      <c r="H551" s="55"/>
      <c r="I551" s="55"/>
      <c r="J551" s="55"/>
      <c r="K551" s="55"/>
      <c r="L551" s="55"/>
      <c r="M551" s="55"/>
      <c r="N551" s="55"/>
      <c r="O551" s="55"/>
      <c r="P551" s="55"/>
      <c r="Q551" s="55"/>
      <c r="R551" s="2226"/>
      <c r="S551" s="255"/>
    </row>
    <row r="552" spans="1:19">
      <c r="A552" s="255"/>
      <c r="B552" s="55"/>
      <c r="C552" s="55"/>
      <c r="D552" s="55"/>
      <c r="E552" s="55"/>
      <c r="F552" s="55"/>
      <c r="G552" s="55"/>
      <c r="H552" s="55"/>
      <c r="I552" s="55"/>
      <c r="J552" s="55"/>
      <c r="K552" s="55"/>
      <c r="L552" s="55"/>
      <c r="M552" s="55"/>
      <c r="N552" s="55"/>
      <c r="O552" s="55"/>
      <c r="P552" s="55"/>
      <c r="Q552" s="55"/>
      <c r="R552" s="2226"/>
      <c r="S552" s="255"/>
    </row>
    <row r="553" spans="1:19">
      <c r="A553" s="255"/>
      <c r="B553" s="55"/>
      <c r="C553" s="55"/>
      <c r="D553" s="55"/>
      <c r="E553" s="55"/>
      <c r="F553" s="55"/>
      <c r="G553" s="55"/>
      <c r="H553" s="55"/>
      <c r="I553" s="55"/>
      <c r="J553" s="55"/>
      <c r="K553" s="55"/>
      <c r="L553" s="55"/>
      <c r="M553" s="55"/>
      <c r="N553" s="55"/>
      <c r="O553" s="55"/>
      <c r="P553" s="55"/>
      <c r="Q553" s="55"/>
      <c r="R553" s="2226"/>
      <c r="S553" s="255"/>
    </row>
    <row r="554" spans="1:19">
      <c r="A554" s="255"/>
      <c r="B554" s="55"/>
      <c r="C554" s="55"/>
      <c r="D554" s="55"/>
      <c r="E554" s="55"/>
      <c r="F554" s="55"/>
      <c r="G554" s="55"/>
      <c r="H554" s="55"/>
      <c r="I554" s="55"/>
      <c r="J554" s="55"/>
      <c r="K554" s="55"/>
      <c r="L554" s="55"/>
      <c r="M554" s="55"/>
      <c r="N554" s="55"/>
      <c r="O554" s="55"/>
      <c r="P554" s="55"/>
      <c r="Q554" s="55"/>
      <c r="R554" s="2226"/>
      <c r="S554" s="255"/>
    </row>
    <row r="555" spans="1:19">
      <c r="A555" s="255"/>
      <c r="B555" s="55"/>
      <c r="C555" s="55"/>
      <c r="D555" s="55"/>
      <c r="E555" s="55"/>
      <c r="F555" s="55"/>
      <c r="G555" s="55"/>
      <c r="H555" s="55"/>
      <c r="I555" s="55"/>
      <c r="J555" s="55"/>
      <c r="K555" s="55"/>
      <c r="L555" s="55"/>
      <c r="M555" s="55"/>
      <c r="N555" s="55"/>
      <c r="O555" s="55"/>
      <c r="P555" s="55"/>
      <c r="Q555" s="55"/>
      <c r="R555" s="2226"/>
      <c r="S555" s="255"/>
    </row>
    <row r="556" spans="1:19">
      <c r="A556" s="255"/>
      <c r="B556" s="55"/>
      <c r="C556" s="55"/>
      <c r="D556" s="55"/>
      <c r="E556" s="55"/>
      <c r="F556" s="55"/>
      <c r="G556" s="55"/>
      <c r="H556" s="55"/>
      <c r="I556" s="55"/>
      <c r="J556" s="55"/>
      <c r="K556" s="55"/>
      <c r="L556" s="55"/>
      <c r="M556" s="55"/>
      <c r="N556" s="55"/>
      <c r="O556" s="55"/>
      <c r="P556" s="55"/>
      <c r="Q556" s="55"/>
      <c r="R556" s="2226"/>
      <c r="S556" s="255"/>
    </row>
    <row r="557" spans="1:19">
      <c r="A557" s="255"/>
      <c r="B557" s="55"/>
      <c r="C557" s="55"/>
      <c r="D557" s="55"/>
      <c r="E557" s="55"/>
      <c r="F557" s="55"/>
      <c r="G557" s="55"/>
      <c r="H557" s="55"/>
      <c r="I557" s="55"/>
      <c r="J557" s="55"/>
      <c r="K557" s="55"/>
      <c r="L557" s="55"/>
      <c r="M557" s="55"/>
      <c r="N557" s="55"/>
      <c r="O557" s="55"/>
      <c r="P557" s="55"/>
      <c r="Q557" s="55"/>
      <c r="R557" s="2226"/>
      <c r="S557" s="255"/>
    </row>
    <row r="558" spans="1:19">
      <c r="A558" s="255"/>
      <c r="B558" s="55"/>
      <c r="C558" s="55"/>
      <c r="D558" s="55"/>
      <c r="E558" s="55"/>
      <c r="F558" s="55"/>
      <c r="G558" s="55"/>
      <c r="H558" s="55"/>
      <c r="I558" s="55"/>
      <c r="J558" s="55"/>
      <c r="K558" s="55"/>
      <c r="L558" s="55"/>
      <c r="M558" s="55"/>
      <c r="N558" s="55"/>
      <c r="O558" s="55"/>
      <c r="P558" s="55"/>
      <c r="Q558" s="55"/>
      <c r="R558" s="2226"/>
      <c r="S558" s="255"/>
    </row>
    <row r="559" spans="1:19">
      <c r="A559" s="255"/>
      <c r="B559" s="55"/>
      <c r="C559" s="55"/>
      <c r="D559" s="55"/>
      <c r="E559" s="55"/>
      <c r="F559" s="55"/>
      <c r="G559" s="55"/>
      <c r="H559" s="55"/>
      <c r="I559" s="55"/>
      <c r="J559" s="55"/>
      <c r="K559" s="55"/>
      <c r="L559" s="55"/>
      <c r="M559" s="55"/>
      <c r="N559" s="55"/>
      <c r="O559" s="55"/>
      <c r="P559" s="55"/>
      <c r="Q559" s="55"/>
      <c r="R559" s="2226"/>
      <c r="S559" s="255"/>
    </row>
    <row r="560" spans="1:19">
      <c r="A560" s="255"/>
      <c r="B560" s="55"/>
      <c r="C560" s="55"/>
      <c r="D560" s="55"/>
      <c r="E560" s="55"/>
      <c r="F560" s="55"/>
      <c r="G560" s="55"/>
      <c r="H560" s="55"/>
      <c r="I560" s="55"/>
      <c r="J560" s="55"/>
      <c r="K560" s="55"/>
      <c r="L560" s="55"/>
      <c r="M560" s="55"/>
      <c r="N560" s="55"/>
      <c r="O560" s="55"/>
      <c r="P560" s="55"/>
      <c r="Q560" s="55"/>
      <c r="R560" s="2226"/>
      <c r="S560" s="255"/>
    </row>
    <row r="561" spans="1:19">
      <c r="A561" s="255"/>
      <c r="B561" s="55"/>
      <c r="C561" s="55"/>
      <c r="D561" s="55"/>
      <c r="E561" s="55"/>
      <c r="F561" s="55"/>
      <c r="G561" s="55"/>
      <c r="H561" s="55"/>
      <c r="I561" s="55"/>
      <c r="J561" s="55"/>
      <c r="K561" s="55"/>
      <c r="L561" s="55"/>
      <c r="M561" s="55"/>
      <c r="N561" s="55"/>
      <c r="O561" s="55"/>
      <c r="P561" s="55"/>
      <c r="Q561" s="55"/>
      <c r="R561" s="2226"/>
      <c r="S561" s="255"/>
    </row>
    <row r="562" spans="1:19">
      <c r="A562" s="255"/>
      <c r="B562" s="55"/>
      <c r="C562" s="55"/>
      <c r="D562" s="55"/>
      <c r="E562" s="55"/>
      <c r="F562" s="55"/>
      <c r="G562" s="55"/>
      <c r="H562" s="55"/>
      <c r="I562" s="55"/>
      <c r="J562" s="55"/>
      <c r="K562" s="55"/>
      <c r="L562" s="55"/>
      <c r="M562" s="55"/>
      <c r="N562" s="55"/>
      <c r="O562" s="55"/>
      <c r="P562" s="55"/>
      <c r="Q562" s="55"/>
      <c r="R562" s="2226"/>
      <c r="S562" s="255"/>
    </row>
    <row r="563" spans="1:19">
      <c r="A563" s="255"/>
      <c r="B563" s="55"/>
      <c r="C563" s="55"/>
      <c r="D563" s="55"/>
      <c r="E563" s="55"/>
      <c r="F563" s="55"/>
      <c r="G563" s="55"/>
      <c r="H563" s="55"/>
      <c r="I563" s="55"/>
      <c r="J563" s="55"/>
      <c r="K563" s="55"/>
      <c r="L563" s="55"/>
      <c r="M563" s="55"/>
      <c r="N563" s="55"/>
      <c r="O563" s="55"/>
      <c r="P563" s="55"/>
      <c r="Q563" s="55"/>
      <c r="R563" s="2226"/>
      <c r="S563" s="255"/>
    </row>
    <row r="564" spans="1:19">
      <c r="A564" s="255"/>
      <c r="B564" s="55"/>
      <c r="C564" s="55"/>
      <c r="D564" s="55"/>
      <c r="E564" s="55"/>
      <c r="F564" s="55"/>
      <c r="G564" s="55"/>
      <c r="H564" s="55"/>
      <c r="I564" s="55"/>
      <c r="J564" s="55"/>
      <c r="K564" s="55"/>
      <c r="L564" s="55"/>
      <c r="M564" s="55"/>
      <c r="N564" s="55"/>
      <c r="O564" s="55"/>
      <c r="P564" s="55"/>
      <c r="Q564" s="55"/>
      <c r="R564" s="2226"/>
      <c r="S564" s="255"/>
    </row>
    <row r="565" spans="1:19">
      <c r="A565" s="255"/>
      <c r="B565" s="55"/>
      <c r="C565" s="55"/>
      <c r="D565" s="55"/>
      <c r="E565" s="55"/>
      <c r="F565" s="55"/>
      <c r="G565" s="55"/>
      <c r="H565" s="55"/>
      <c r="I565" s="55"/>
      <c r="J565" s="55"/>
      <c r="K565" s="55"/>
      <c r="L565" s="55"/>
      <c r="M565" s="55"/>
      <c r="N565" s="55"/>
      <c r="O565" s="55"/>
      <c r="P565" s="55"/>
      <c r="Q565" s="55"/>
      <c r="R565" s="2226"/>
      <c r="S565" s="255"/>
    </row>
    <row r="566" spans="1:19">
      <c r="A566" s="255"/>
      <c r="B566" s="55"/>
      <c r="C566" s="55"/>
      <c r="D566" s="55"/>
      <c r="E566" s="55"/>
      <c r="F566" s="55"/>
      <c r="G566" s="55"/>
      <c r="H566" s="55"/>
      <c r="I566" s="55"/>
      <c r="J566" s="55"/>
      <c r="K566" s="55"/>
      <c r="L566" s="55"/>
      <c r="M566" s="55"/>
      <c r="N566" s="55"/>
      <c r="O566" s="55"/>
      <c r="P566" s="55"/>
      <c r="Q566" s="55"/>
      <c r="R566" s="2226"/>
      <c r="S566" s="255"/>
    </row>
    <row r="567" spans="1:19">
      <c r="A567" s="255"/>
      <c r="B567" s="55"/>
      <c r="C567" s="55"/>
      <c r="D567" s="55"/>
      <c r="E567" s="55"/>
      <c r="F567" s="55"/>
      <c r="G567" s="55"/>
      <c r="H567" s="55"/>
      <c r="I567" s="55"/>
      <c r="J567" s="55"/>
      <c r="K567" s="55"/>
      <c r="L567" s="55"/>
      <c r="M567" s="55"/>
      <c r="N567" s="55"/>
      <c r="O567" s="55"/>
      <c r="P567" s="55"/>
      <c r="Q567" s="55"/>
      <c r="R567" s="2226"/>
      <c r="S567" s="255"/>
    </row>
    <row r="568" spans="1:19">
      <c r="A568" s="255"/>
      <c r="B568" s="55"/>
      <c r="C568" s="55"/>
      <c r="D568" s="55"/>
      <c r="E568" s="55"/>
      <c r="F568" s="55"/>
      <c r="G568" s="55"/>
      <c r="H568" s="55"/>
      <c r="I568" s="55"/>
      <c r="J568" s="55"/>
      <c r="K568" s="55"/>
      <c r="L568" s="55"/>
      <c r="M568" s="55"/>
      <c r="N568" s="55"/>
      <c r="O568" s="55"/>
      <c r="P568" s="55"/>
      <c r="Q568" s="55"/>
      <c r="R568" s="2226"/>
      <c r="S568" s="255"/>
    </row>
    <row r="569" spans="1:19">
      <c r="A569" s="255"/>
      <c r="B569" s="55"/>
      <c r="C569" s="55"/>
      <c r="D569" s="55"/>
      <c r="E569" s="55"/>
      <c r="F569" s="55"/>
      <c r="G569" s="55"/>
      <c r="H569" s="55"/>
      <c r="I569" s="55"/>
      <c r="J569" s="55"/>
      <c r="K569" s="55"/>
      <c r="L569" s="55"/>
      <c r="M569" s="55"/>
      <c r="N569" s="55"/>
      <c r="O569" s="55"/>
      <c r="P569" s="55"/>
      <c r="Q569" s="55"/>
      <c r="R569" s="2226"/>
      <c r="S569" s="255"/>
    </row>
    <row r="570" spans="1:19">
      <c r="A570" s="255"/>
      <c r="B570" s="55"/>
      <c r="C570" s="55"/>
      <c r="D570" s="55"/>
      <c r="E570" s="55"/>
      <c r="F570" s="55"/>
      <c r="G570" s="55"/>
      <c r="H570" s="55"/>
      <c r="I570" s="55"/>
      <c r="J570" s="55"/>
      <c r="K570" s="55"/>
      <c r="L570" s="55"/>
      <c r="M570" s="55"/>
      <c r="N570" s="55"/>
      <c r="O570" s="55"/>
      <c r="P570" s="55"/>
      <c r="Q570" s="55"/>
      <c r="R570" s="2226"/>
      <c r="S570" s="255"/>
    </row>
    <row r="571" spans="1:19">
      <c r="A571" s="255"/>
      <c r="B571" s="55"/>
      <c r="C571" s="55"/>
      <c r="D571" s="55"/>
      <c r="E571" s="55"/>
      <c r="F571" s="55"/>
      <c r="G571" s="55"/>
      <c r="H571" s="55"/>
      <c r="I571" s="55"/>
      <c r="J571" s="55"/>
      <c r="K571" s="55"/>
      <c r="L571" s="55"/>
      <c r="M571" s="55"/>
      <c r="N571" s="55"/>
      <c r="O571" s="55"/>
      <c r="P571" s="55"/>
      <c r="Q571" s="55"/>
      <c r="R571" s="2226"/>
      <c r="S571" s="255"/>
    </row>
    <row r="572" spans="1:19">
      <c r="A572" s="255"/>
      <c r="B572" s="55"/>
      <c r="C572" s="55"/>
      <c r="D572" s="55"/>
      <c r="E572" s="55"/>
      <c r="F572" s="55"/>
      <c r="G572" s="55"/>
      <c r="H572" s="55"/>
      <c r="I572" s="55"/>
      <c r="J572" s="55"/>
      <c r="K572" s="55"/>
      <c r="L572" s="55"/>
      <c r="M572" s="55"/>
      <c r="N572" s="55"/>
      <c r="O572" s="55"/>
      <c r="P572" s="55"/>
      <c r="Q572" s="55"/>
      <c r="R572" s="2226"/>
      <c r="S572" s="255"/>
    </row>
    <row r="573" spans="1:19">
      <c r="A573" s="255"/>
      <c r="B573" s="55"/>
      <c r="C573" s="55"/>
      <c r="D573" s="55"/>
      <c r="E573" s="55"/>
      <c r="F573" s="55"/>
      <c r="G573" s="55"/>
      <c r="H573" s="55"/>
      <c r="I573" s="55"/>
      <c r="J573" s="55"/>
      <c r="K573" s="55"/>
      <c r="L573" s="55"/>
      <c r="M573" s="55"/>
      <c r="N573" s="55"/>
      <c r="O573" s="55"/>
      <c r="P573" s="55"/>
      <c r="Q573" s="55"/>
      <c r="R573" s="2226"/>
      <c r="S573" s="255"/>
    </row>
    <row r="574" spans="1:19">
      <c r="A574" s="255"/>
      <c r="B574" s="55"/>
      <c r="C574" s="55"/>
      <c r="D574" s="55"/>
      <c r="E574" s="55"/>
      <c r="F574" s="55"/>
      <c r="G574" s="55"/>
      <c r="H574" s="55"/>
      <c r="I574" s="55"/>
      <c r="J574" s="55"/>
      <c r="K574" s="55"/>
      <c r="L574" s="55"/>
      <c r="M574" s="55"/>
      <c r="N574" s="55"/>
      <c r="O574" s="55"/>
      <c r="P574" s="55"/>
      <c r="Q574" s="55"/>
      <c r="R574" s="2226"/>
      <c r="S574" s="255"/>
    </row>
    <row r="575" spans="1:19">
      <c r="A575" s="255"/>
      <c r="B575" s="55"/>
      <c r="C575" s="55"/>
      <c r="D575" s="55"/>
      <c r="E575" s="55"/>
      <c r="F575" s="55"/>
      <c r="G575" s="55"/>
      <c r="H575" s="55"/>
      <c r="I575" s="55"/>
      <c r="J575" s="55"/>
      <c r="K575" s="55"/>
      <c r="L575" s="55"/>
      <c r="M575" s="55"/>
      <c r="N575" s="55"/>
      <c r="O575" s="55"/>
      <c r="P575" s="55"/>
      <c r="Q575" s="55"/>
      <c r="R575" s="2226"/>
      <c r="S575" s="255"/>
    </row>
    <row r="576" spans="1:19">
      <c r="A576" s="255"/>
      <c r="B576" s="55"/>
      <c r="C576" s="55"/>
      <c r="D576" s="55"/>
      <c r="E576" s="55"/>
      <c r="F576" s="55"/>
      <c r="G576" s="55"/>
      <c r="H576" s="55"/>
      <c r="I576" s="55"/>
      <c r="J576" s="55"/>
      <c r="K576" s="55"/>
      <c r="L576" s="55"/>
      <c r="M576" s="55"/>
      <c r="N576" s="55"/>
      <c r="O576" s="55"/>
      <c r="P576" s="55"/>
      <c r="Q576" s="55"/>
      <c r="R576" s="2226"/>
      <c r="S576" s="255"/>
    </row>
    <row r="577" spans="1:19">
      <c r="A577" s="255"/>
      <c r="B577" s="55"/>
      <c r="C577" s="55"/>
      <c r="D577" s="55"/>
      <c r="E577" s="55"/>
      <c r="F577" s="55"/>
      <c r="G577" s="55"/>
      <c r="H577" s="55"/>
      <c r="I577" s="55"/>
      <c r="J577" s="55"/>
      <c r="K577" s="55"/>
      <c r="L577" s="55"/>
      <c r="M577" s="55"/>
      <c r="N577" s="55"/>
      <c r="O577" s="55"/>
      <c r="P577" s="55"/>
      <c r="Q577" s="55"/>
      <c r="R577" s="2226"/>
      <c r="S577" s="255"/>
    </row>
    <row r="578" spans="1:19">
      <c r="A578" s="255"/>
      <c r="B578" s="55"/>
      <c r="C578" s="55"/>
      <c r="D578" s="55"/>
      <c r="E578" s="55"/>
      <c r="F578" s="55"/>
      <c r="G578" s="55"/>
      <c r="H578" s="55"/>
      <c r="I578" s="55"/>
      <c r="J578" s="55"/>
      <c r="K578" s="55"/>
      <c r="L578" s="55"/>
      <c r="M578" s="55"/>
      <c r="N578" s="55"/>
      <c r="O578" s="55"/>
      <c r="P578" s="55"/>
      <c r="Q578" s="55"/>
      <c r="R578" s="2226"/>
      <c r="S578" s="255"/>
    </row>
    <row r="579" spans="1:19">
      <c r="A579" s="255"/>
      <c r="B579" s="55"/>
      <c r="C579" s="55"/>
      <c r="D579" s="55"/>
      <c r="E579" s="55"/>
      <c r="F579" s="55"/>
      <c r="G579" s="55"/>
      <c r="H579" s="55"/>
      <c r="I579" s="55"/>
      <c r="J579" s="55"/>
      <c r="K579" s="55"/>
      <c r="L579" s="55"/>
      <c r="M579" s="55"/>
      <c r="N579" s="55"/>
      <c r="O579" s="55"/>
      <c r="P579" s="55"/>
      <c r="Q579" s="55"/>
      <c r="R579" s="2226"/>
      <c r="S579" s="255"/>
    </row>
    <row r="580" spans="1:19">
      <c r="A580" s="255"/>
      <c r="B580" s="55"/>
      <c r="C580" s="55"/>
      <c r="D580" s="55"/>
      <c r="E580" s="55"/>
      <c r="F580" s="55"/>
      <c r="G580" s="55"/>
      <c r="H580" s="55"/>
      <c r="I580" s="55"/>
      <c r="J580" s="55"/>
      <c r="K580" s="55"/>
      <c r="L580" s="55"/>
      <c r="M580" s="55"/>
      <c r="N580" s="55"/>
      <c r="O580" s="55"/>
      <c r="P580" s="55"/>
      <c r="Q580" s="55"/>
      <c r="R580" s="2226"/>
      <c r="S580" s="255"/>
    </row>
    <row r="581" spans="1:19">
      <c r="A581" s="255"/>
      <c r="B581" s="55"/>
      <c r="C581" s="55"/>
      <c r="D581" s="55"/>
      <c r="E581" s="55"/>
      <c r="F581" s="55"/>
      <c r="G581" s="55"/>
      <c r="H581" s="55"/>
      <c r="I581" s="55"/>
      <c r="J581" s="55"/>
      <c r="K581" s="55"/>
      <c r="L581" s="55"/>
      <c r="M581" s="55"/>
      <c r="N581" s="55"/>
      <c r="O581" s="55"/>
      <c r="P581" s="55"/>
      <c r="Q581" s="55"/>
      <c r="R581" s="2226"/>
      <c r="S581" s="255"/>
    </row>
    <row r="582" spans="1:19">
      <c r="A582" s="255"/>
      <c r="B582" s="55"/>
      <c r="C582" s="55"/>
      <c r="D582" s="55"/>
      <c r="E582" s="55"/>
      <c r="F582" s="55"/>
      <c r="G582" s="55"/>
      <c r="H582" s="55"/>
      <c r="I582" s="55"/>
      <c r="J582" s="55"/>
      <c r="K582" s="55"/>
      <c r="L582" s="55"/>
      <c r="M582" s="55"/>
      <c r="N582" s="55"/>
      <c r="O582" s="55"/>
      <c r="P582" s="55"/>
      <c r="Q582" s="55"/>
      <c r="R582" s="2226"/>
      <c r="S582" s="255"/>
    </row>
    <row r="583" spans="1:19">
      <c r="A583" s="255"/>
      <c r="B583" s="55"/>
      <c r="C583" s="55"/>
      <c r="D583" s="55"/>
      <c r="E583" s="55"/>
      <c r="F583" s="55"/>
      <c r="G583" s="55"/>
      <c r="H583" s="55"/>
      <c r="I583" s="55"/>
      <c r="J583" s="55"/>
      <c r="K583" s="55"/>
      <c r="L583" s="55"/>
      <c r="M583" s="55"/>
      <c r="N583" s="55"/>
      <c r="O583" s="55"/>
      <c r="P583" s="55"/>
      <c r="Q583" s="55"/>
      <c r="R583" s="2226"/>
      <c r="S583" s="255"/>
    </row>
    <row r="584" spans="1:19">
      <c r="A584" s="255"/>
      <c r="B584" s="55"/>
      <c r="C584" s="55"/>
      <c r="D584" s="55"/>
      <c r="E584" s="55"/>
      <c r="F584" s="55"/>
      <c r="G584" s="55"/>
      <c r="H584" s="55"/>
      <c r="I584" s="55"/>
      <c r="J584" s="55"/>
      <c r="K584" s="55"/>
      <c r="L584" s="55"/>
      <c r="M584" s="55"/>
      <c r="N584" s="55"/>
      <c r="O584" s="55"/>
      <c r="P584" s="55"/>
      <c r="Q584" s="55"/>
      <c r="R584" s="2226"/>
      <c r="S584" s="255"/>
    </row>
    <row r="585" spans="1:19">
      <c r="A585" s="255"/>
      <c r="B585" s="55"/>
      <c r="C585" s="55"/>
      <c r="D585" s="55"/>
      <c r="E585" s="55"/>
      <c r="F585" s="55"/>
      <c r="G585" s="55"/>
      <c r="H585" s="55"/>
      <c r="I585" s="55"/>
      <c r="J585" s="55"/>
      <c r="K585" s="55"/>
      <c r="L585" s="55"/>
      <c r="M585" s="55"/>
      <c r="N585" s="55"/>
      <c r="O585" s="55"/>
      <c r="P585" s="55"/>
      <c r="Q585" s="55"/>
      <c r="R585" s="2226"/>
      <c r="S585" s="255"/>
    </row>
    <row r="586" spans="1:19">
      <c r="A586" s="255"/>
      <c r="B586" s="55"/>
      <c r="C586" s="55"/>
      <c r="D586" s="55"/>
      <c r="E586" s="55"/>
      <c r="F586" s="55"/>
      <c r="G586" s="55"/>
      <c r="H586" s="55"/>
      <c r="I586" s="55"/>
      <c r="J586" s="55"/>
      <c r="K586" s="55"/>
      <c r="L586" s="55"/>
      <c r="M586" s="55"/>
      <c r="N586" s="55"/>
      <c r="O586" s="55"/>
      <c r="P586" s="55"/>
      <c r="Q586" s="55"/>
      <c r="R586" s="2226"/>
      <c r="S586" s="255"/>
    </row>
    <row r="587" spans="1:19">
      <c r="A587" s="255"/>
      <c r="B587" s="55"/>
      <c r="C587" s="55"/>
      <c r="D587" s="55"/>
      <c r="E587" s="55"/>
      <c r="F587" s="55"/>
      <c r="G587" s="55"/>
      <c r="H587" s="55"/>
      <c r="I587" s="55"/>
      <c r="J587" s="55"/>
      <c r="K587" s="55"/>
      <c r="L587" s="55"/>
      <c r="M587" s="55"/>
      <c r="N587" s="55"/>
      <c r="O587" s="55"/>
      <c r="P587" s="55"/>
      <c r="Q587" s="55"/>
      <c r="R587" s="2226"/>
      <c r="S587" s="255"/>
    </row>
    <row r="588" spans="1:19">
      <c r="A588" s="255"/>
      <c r="B588" s="55"/>
      <c r="C588" s="55"/>
      <c r="D588" s="55"/>
      <c r="E588" s="55"/>
      <c r="F588" s="55"/>
      <c r="G588" s="55"/>
      <c r="H588" s="55"/>
      <c r="I588" s="55"/>
      <c r="J588" s="55"/>
      <c r="K588" s="55"/>
      <c r="L588" s="55"/>
      <c r="M588" s="55"/>
      <c r="N588" s="55"/>
      <c r="O588" s="55"/>
      <c r="P588" s="55"/>
      <c r="Q588" s="55"/>
      <c r="R588" s="2226"/>
      <c r="S588" s="255"/>
    </row>
    <row r="589" spans="1:19">
      <c r="A589" s="255"/>
      <c r="B589" s="55"/>
      <c r="C589" s="55"/>
      <c r="D589" s="55"/>
      <c r="E589" s="55"/>
      <c r="F589" s="55"/>
      <c r="G589" s="55"/>
      <c r="H589" s="55"/>
      <c r="I589" s="55"/>
      <c r="J589" s="55"/>
      <c r="K589" s="55"/>
      <c r="L589" s="55"/>
      <c r="M589" s="55"/>
      <c r="N589" s="55"/>
      <c r="O589" s="55"/>
      <c r="P589" s="55"/>
      <c r="Q589" s="55"/>
      <c r="R589" s="2226"/>
      <c r="S589" s="255"/>
    </row>
    <row r="590" spans="1:19">
      <c r="A590" s="255"/>
      <c r="B590" s="55"/>
      <c r="C590" s="55"/>
      <c r="D590" s="55"/>
      <c r="E590" s="55"/>
      <c r="F590" s="55"/>
      <c r="G590" s="55"/>
      <c r="H590" s="55"/>
      <c r="I590" s="55"/>
      <c r="J590" s="55"/>
      <c r="K590" s="55"/>
      <c r="L590" s="55"/>
      <c r="M590" s="55"/>
      <c r="N590" s="55"/>
      <c r="O590" s="55"/>
      <c r="P590" s="55"/>
      <c r="Q590" s="55"/>
      <c r="R590" s="2226"/>
      <c r="S590" s="255"/>
    </row>
    <row r="591" spans="1:19">
      <c r="A591" s="255"/>
      <c r="B591" s="55"/>
      <c r="C591" s="55"/>
      <c r="D591" s="55"/>
      <c r="E591" s="55"/>
      <c r="F591" s="55"/>
      <c r="G591" s="55"/>
      <c r="H591" s="55"/>
      <c r="I591" s="55"/>
      <c r="J591" s="55"/>
      <c r="K591" s="55"/>
      <c r="L591" s="55"/>
      <c r="M591" s="55"/>
      <c r="N591" s="55"/>
      <c r="O591" s="55"/>
      <c r="P591" s="55"/>
      <c r="Q591" s="55"/>
      <c r="R591" s="2226"/>
      <c r="S591" s="255"/>
    </row>
    <row r="592" spans="1:19">
      <c r="A592" s="255"/>
      <c r="B592" s="55"/>
      <c r="C592" s="55"/>
      <c r="D592" s="55"/>
      <c r="E592" s="55"/>
      <c r="F592" s="55"/>
      <c r="G592" s="55"/>
      <c r="H592" s="55"/>
      <c r="I592" s="55"/>
      <c r="J592" s="55"/>
      <c r="K592" s="55"/>
      <c r="L592" s="55"/>
      <c r="M592" s="55"/>
      <c r="N592" s="55"/>
      <c r="O592" s="55"/>
      <c r="P592" s="55"/>
      <c r="Q592" s="55"/>
      <c r="R592" s="2226"/>
      <c r="S592" s="255"/>
    </row>
    <row r="593" spans="1:19">
      <c r="A593" s="255"/>
      <c r="B593" s="55"/>
      <c r="C593" s="55"/>
      <c r="D593" s="55"/>
      <c r="E593" s="55"/>
      <c r="F593" s="55"/>
      <c r="G593" s="55"/>
      <c r="H593" s="55"/>
      <c r="I593" s="55"/>
      <c r="J593" s="55"/>
      <c r="K593" s="55"/>
      <c r="L593" s="55"/>
      <c r="M593" s="55"/>
      <c r="N593" s="55"/>
      <c r="O593" s="55"/>
      <c r="P593" s="55"/>
      <c r="Q593" s="55"/>
      <c r="R593" s="2226"/>
      <c r="S593" s="255"/>
    </row>
    <row r="594" spans="1:19">
      <c r="A594" s="255"/>
      <c r="B594" s="55"/>
      <c r="C594" s="55"/>
      <c r="D594" s="55"/>
      <c r="E594" s="55"/>
      <c r="F594" s="55"/>
      <c r="G594" s="55"/>
      <c r="H594" s="55"/>
      <c r="I594" s="55"/>
      <c r="J594" s="55"/>
      <c r="K594" s="55"/>
      <c r="L594" s="55"/>
      <c r="M594" s="55"/>
      <c r="N594" s="55"/>
      <c r="O594" s="55"/>
      <c r="P594" s="55"/>
      <c r="Q594" s="55"/>
      <c r="R594" s="2226"/>
      <c r="S594" s="255"/>
    </row>
    <row r="595" spans="1:19">
      <c r="A595" s="255"/>
      <c r="B595" s="55"/>
      <c r="C595" s="55"/>
      <c r="D595" s="55"/>
      <c r="E595" s="55"/>
      <c r="F595" s="55"/>
      <c r="G595" s="55"/>
      <c r="H595" s="55"/>
      <c r="I595" s="55"/>
      <c r="J595" s="55"/>
      <c r="K595" s="55"/>
      <c r="L595" s="55"/>
      <c r="M595" s="55"/>
      <c r="N595" s="55"/>
      <c r="O595" s="55"/>
      <c r="P595" s="55"/>
      <c r="Q595" s="55"/>
      <c r="R595" s="2226"/>
      <c r="S595" s="255"/>
    </row>
    <row r="596" spans="1:19">
      <c r="A596" s="255"/>
      <c r="B596" s="55"/>
      <c r="C596" s="55"/>
      <c r="D596" s="55"/>
      <c r="E596" s="55"/>
      <c r="F596" s="55"/>
      <c r="G596" s="55"/>
      <c r="H596" s="55"/>
      <c r="I596" s="55"/>
      <c r="J596" s="55"/>
      <c r="K596" s="55"/>
      <c r="L596" s="55"/>
      <c r="M596" s="55"/>
      <c r="N596" s="55"/>
      <c r="O596" s="55"/>
      <c r="P596" s="55"/>
      <c r="Q596" s="55"/>
      <c r="R596" s="2226"/>
      <c r="S596" s="255"/>
    </row>
    <row r="597" spans="1:19">
      <c r="A597" s="255"/>
      <c r="B597" s="55"/>
      <c r="C597" s="55"/>
      <c r="D597" s="55"/>
      <c r="E597" s="55"/>
      <c r="F597" s="55"/>
      <c r="G597" s="55"/>
      <c r="H597" s="55"/>
      <c r="I597" s="55"/>
      <c r="J597" s="55"/>
      <c r="K597" s="55"/>
      <c r="L597" s="55"/>
      <c r="M597" s="55"/>
      <c r="N597" s="55"/>
      <c r="O597" s="55"/>
      <c r="P597" s="55"/>
      <c r="Q597" s="55"/>
      <c r="R597" s="2226"/>
      <c r="S597" s="255"/>
    </row>
    <row r="598" spans="1:19">
      <c r="A598" s="255"/>
      <c r="B598" s="55"/>
      <c r="C598" s="55"/>
      <c r="D598" s="55"/>
      <c r="E598" s="55"/>
      <c r="F598" s="55"/>
      <c r="G598" s="55"/>
      <c r="H598" s="55"/>
      <c r="I598" s="55"/>
      <c r="J598" s="55"/>
      <c r="K598" s="55"/>
      <c r="L598" s="55"/>
      <c r="M598" s="55"/>
      <c r="N598" s="55"/>
      <c r="O598" s="55"/>
      <c r="P598" s="55"/>
      <c r="Q598" s="55"/>
      <c r="R598" s="2226"/>
      <c r="S598" s="255"/>
    </row>
    <row r="599" spans="1:19">
      <c r="A599" s="255"/>
      <c r="B599" s="55"/>
      <c r="C599" s="55"/>
      <c r="D599" s="55"/>
      <c r="E599" s="55"/>
      <c r="F599" s="55"/>
      <c r="G599" s="55"/>
      <c r="H599" s="55"/>
      <c r="I599" s="55"/>
      <c r="J599" s="55"/>
      <c r="K599" s="55"/>
      <c r="L599" s="55"/>
      <c r="M599" s="55"/>
      <c r="N599" s="55"/>
      <c r="O599" s="55"/>
      <c r="P599" s="55"/>
      <c r="Q599" s="55"/>
      <c r="R599" s="2226"/>
      <c r="S599" s="255"/>
    </row>
    <row r="600" spans="1:19">
      <c r="A600" s="255"/>
      <c r="B600" s="55"/>
      <c r="C600" s="55"/>
      <c r="D600" s="55"/>
      <c r="E600" s="55"/>
      <c r="F600" s="55"/>
      <c r="G600" s="55"/>
      <c r="H600" s="55"/>
      <c r="I600" s="55"/>
      <c r="J600" s="55"/>
      <c r="K600" s="55"/>
      <c r="L600" s="55"/>
      <c r="M600" s="55"/>
      <c r="N600" s="55"/>
      <c r="O600" s="55"/>
      <c r="P600" s="55"/>
      <c r="Q600" s="55"/>
      <c r="R600" s="2226"/>
      <c r="S600" s="255"/>
    </row>
    <row r="601" spans="1:19">
      <c r="A601" s="255"/>
      <c r="B601" s="55"/>
      <c r="C601" s="55"/>
      <c r="D601" s="55"/>
      <c r="E601" s="55"/>
      <c r="F601" s="55"/>
      <c r="G601" s="55"/>
      <c r="H601" s="55"/>
      <c r="I601" s="55"/>
      <c r="J601" s="55"/>
      <c r="K601" s="55"/>
      <c r="L601" s="55"/>
      <c r="M601" s="55"/>
      <c r="N601" s="55"/>
      <c r="O601" s="55"/>
      <c r="P601" s="55"/>
      <c r="Q601" s="55"/>
      <c r="R601" s="2226"/>
      <c r="S601" s="255"/>
    </row>
    <row r="602" spans="1:19">
      <c r="A602" s="255"/>
      <c r="B602" s="55"/>
      <c r="C602" s="55"/>
      <c r="D602" s="55"/>
      <c r="E602" s="55"/>
      <c r="F602" s="55"/>
      <c r="G602" s="55"/>
      <c r="H602" s="55"/>
      <c r="I602" s="55"/>
      <c r="J602" s="55"/>
      <c r="K602" s="55"/>
      <c r="L602" s="55"/>
      <c r="M602" s="55"/>
      <c r="N602" s="55"/>
      <c r="O602" s="55"/>
      <c r="P602" s="55"/>
      <c r="Q602" s="55"/>
      <c r="R602" s="2226"/>
      <c r="S602" s="255"/>
    </row>
    <row r="603" spans="1:19">
      <c r="A603" s="255"/>
      <c r="B603" s="55"/>
      <c r="C603" s="55"/>
      <c r="D603" s="55"/>
      <c r="E603" s="55"/>
      <c r="F603" s="55"/>
      <c r="G603" s="55"/>
      <c r="H603" s="55"/>
      <c r="I603" s="55"/>
      <c r="J603" s="55"/>
      <c r="K603" s="55"/>
      <c r="L603" s="55"/>
      <c r="M603" s="55"/>
      <c r="N603" s="55"/>
      <c r="O603" s="55"/>
      <c r="P603" s="55"/>
      <c r="Q603" s="55"/>
      <c r="R603" s="2226"/>
      <c r="S603" s="255"/>
    </row>
    <row r="604" spans="1:19">
      <c r="A604" s="255"/>
      <c r="B604" s="55"/>
      <c r="C604" s="55"/>
      <c r="D604" s="55"/>
      <c r="E604" s="55"/>
      <c r="F604" s="55"/>
      <c r="G604" s="55"/>
      <c r="H604" s="55"/>
      <c r="I604" s="55"/>
      <c r="J604" s="55"/>
      <c r="K604" s="55"/>
      <c r="L604" s="55"/>
      <c r="M604" s="55"/>
      <c r="N604" s="55"/>
      <c r="O604" s="55"/>
      <c r="P604" s="55"/>
      <c r="Q604" s="55"/>
      <c r="R604" s="2226"/>
      <c r="S604" s="255"/>
    </row>
    <row r="605" spans="1:19">
      <c r="A605" s="255"/>
      <c r="B605" s="55"/>
      <c r="C605" s="55"/>
      <c r="D605" s="55"/>
      <c r="E605" s="55"/>
      <c r="F605" s="55"/>
      <c r="G605" s="55"/>
      <c r="H605" s="55"/>
      <c r="I605" s="55"/>
      <c r="J605" s="55"/>
      <c r="K605" s="55"/>
      <c r="L605" s="55"/>
      <c r="M605" s="55"/>
      <c r="N605" s="55"/>
      <c r="O605" s="55"/>
      <c r="P605" s="55"/>
      <c r="Q605" s="55"/>
      <c r="R605" s="2226"/>
      <c r="S605" s="255"/>
    </row>
    <row r="606" spans="1:19">
      <c r="A606" s="255"/>
      <c r="B606" s="55"/>
      <c r="C606" s="55"/>
      <c r="D606" s="55"/>
      <c r="E606" s="55"/>
      <c r="F606" s="55"/>
      <c r="G606" s="55"/>
      <c r="H606" s="55"/>
      <c r="I606" s="55"/>
      <c r="J606" s="55"/>
      <c r="K606" s="55"/>
      <c r="L606" s="55"/>
      <c r="M606" s="55"/>
      <c r="N606" s="55"/>
      <c r="O606" s="55"/>
      <c r="P606" s="55"/>
      <c r="Q606" s="55"/>
      <c r="R606" s="2226"/>
      <c r="S606" s="255"/>
    </row>
    <row r="607" spans="1:19">
      <c r="A607" s="255"/>
      <c r="B607" s="55"/>
      <c r="C607" s="55"/>
      <c r="D607" s="55"/>
      <c r="E607" s="55"/>
      <c r="F607" s="55"/>
      <c r="G607" s="55"/>
      <c r="H607" s="55"/>
      <c r="I607" s="55"/>
      <c r="J607" s="55"/>
      <c r="K607" s="55"/>
      <c r="L607" s="55"/>
      <c r="M607" s="55"/>
      <c r="N607" s="55"/>
      <c r="O607" s="55"/>
      <c r="P607" s="55"/>
      <c r="Q607" s="55"/>
      <c r="R607" s="2226"/>
      <c r="S607" s="255"/>
    </row>
    <row r="608" spans="1:19">
      <c r="A608" s="255"/>
      <c r="B608" s="55"/>
      <c r="C608" s="55"/>
      <c r="D608" s="55"/>
      <c r="E608" s="55"/>
      <c r="F608" s="55"/>
      <c r="G608" s="55"/>
      <c r="H608" s="55"/>
      <c r="I608" s="55"/>
      <c r="J608" s="55"/>
      <c r="K608" s="55"/>
      <c r="L608" s="55"/>
      <c r="M608" s="55"/>
      <c r="N608" s="55"/>
      <c r="O608" s="55"/>
      <c r="P608" s="55"/>
      <c r="Q608" s="55"/>
      <c r="R608" s="2226"/>
      <c r="S608" s="255"/>
    </row>
    <row r="609" spans="1:19">
      <c r="A609" s="255"/>
      <c r="B609" s="55"/>
      <c r="C609" s="55"/>
      <c r="D609" s="55"/>
      <c r="E609" s="55"/>
      <c r="F609" s="55"/>
      <c r="G609" s="55"/>
      <c r="H609" s="55"/>
      <c r="I609" s="55"/>
      <c r="J609" s="55"/>
      <c r="K609" s="55"/>
      <c r="L609" s="55"/>
      <c r="M609" s="55"/>
      <c r="N609" s="55"/>
      <c r="O609" s="55"/>
      <c r="P609" s="55"/>
      <c r="Q609" s="55"/>
      <c r="R609" s="2226"/>
      <c r="S609" s="255"/>
    </row>
    <row r="610" spans="1:19">
      <c r="A610" s="255"/>
      <c r="B610" s="55"/>
      <c r="C610" s="55"/>
      <c r="D610" s="55"/>
      <c r="E610" s="55"/>
      <c r="F610" s="55"/>
      <c r="G610" s="55"/>
      <c r="H610" s="55"/>
      <c r="I610" s="55"/>
      <c r="J610" s="55"/>
      <c r="K610" s="55"/>
      <c r="L610" s="55"/>
      <c r="M610" s="55"/>
      <c r="N610" s="55"/>
      <c r="O610" s="55"/>
      <c r="P610" s="55"/>
      <c r="Q610" s="55"/>
      <c r="R610" s="2226"/>
      <c r="S610" s="255"/>
    </row>
    <row r="611" spans="1:19">
      <c r="A611" s="255"/>
      <c r="B611" s="55"/>
      <c r="C611" s="55"/>
      <c r="D611" s="55"/>
      <c r="E611" s="55"/>
      <c r="F611" s="55"/>
      <c r="G611" s="55"/>
      <c r="H611" s="55"/>
      <c r="I611" s="55"/>
      <c r="J611" s="55"/>
      <c r="K611" s="55"/>
      <c r="L611" s="55"/>
      <c r="M611" s="55"/>
      <c r="N611" s="55"/>
      <c r="O611" s="55"/>
      <c r="P611" s="55"/>
      <c r="Q611" s="55"/>
      <c r="R611" s="2226"/>
      <c r="S611" s="255"/>
    </row>
    <row r="612" spans="1:19">
      <c r="A612" s="255"/>
      <c r="B612" s="55"/>
      <c r="C612" s="55"/>
      <c r="D612" s="55"/>
      <c r="E612" s="55"/>
      <c r="F612" s="55"/>
      <c r="G612" s="55"/>
      <c r="H612" s="55"/>
      <c r="I612" s="55"/>
      <c r="J612" s="55"/>
      <c r="K612" s="55"/>
      <c r="L612" s="55"/>
      <c r="M612" s="55"/>
      <c r="N612" s="55"/>
      <c r="O612" s="55"/>
      <c r="P612" s="55"/>
      <c r="Q612" s="55"/>
      <c r="R612" s="2226"/>
      <c r="S612" s="255"/>
    </row>
    <row r="613" spans="1:19">
      <c r="A613" s="255"/>
      <c r="B613" s="55"/>
      <c r="C613" s="55"/>
      <c r="D613" s="55"/>
      <c r="E613" s="55"/>
      <c r="F613" s="55"/>
      <c r="G613" s="55"/>
      <c r="H613" s="55"/>
      <c r="I613" s="55"/>
      <c r="J613" s="55"/>
      <c r="K613" s="55"/>
      <c r="L613" s="55"/>
      <c r="M613" s="55"/>
      <c r="N613" s="55"/>
      <c r="O613" s="55"/>
      <c r="P613" s="55"/>
      <c r="Q613" s="55"/>
      <c r="R613" s="2226"/>
      <c r="S613" s="255"/>
    </row>
    <row r="614" spans="1:19">
      <c r="A614" s="255"/>
      <c r="B614" s="55"/>
      <c r="C614" s="55"/>
      <c r="D614" s="55"/>
      <c r="E614" s="55"/>
      <c r="F614" s="55"/>
      <c r="G614" s="55"/>
      <c r="H614" s="55"/>
      <c r="I614" s="55"/>
      <c r="J614" s="55"/>
      <c r="K614" s="55"/>
      <c r="L614" s="55"/>
      <c r="M614" s="55"/>
      <c r="N614" s="55"/>
      <c r="O614" s="55"/>
      <c r="P614" s="55"/>
      <c r="Q614" s="55"/>
      <c r="R614" s="2226"/>
      <c r="S614" s="255"/>
    </row>
    <row r="615" spans="1:19">
      <c r="A615" s="255"/>
      <c r="B615" s="55"/>
      <c r="C615" s="55"/>
      <c r="D615" s="55"/>
      <c r="E615" s="55"/>
      <c r="F615" s="55"/>
      <c r="G615" s="55"/>
      <c r="H615" s="55"/>
      <c r="I615" s="55"/>
      <c r="J615" s="55"/>
      <c r="K615" s="55"/>
      <c r="L615" s="55"/>
      <c r="M615" s="55"/>
      <c r="N615" s="55"/>
      <c r="O615" s="55"/>
      <c r="P615" s="55"/>
      <c r="Q615" s="55"/>
      <c r="R615" s="2226"/>
      <c r="S615" s="255"/>
    </row>
    <row r="616" spans="1:19">
      <c r="A616" s="255"/>
      <c r="B616" s="55"/>
      <c r="C616" s="55"/>
      <c r="D616" s="55"/>
      <c r="E616" s="55"/>
      <c r="F616" s="55"/>
      <c r="G616" s="55"/>
      <c r="H616" s="55"/>
      <c r="I616" s="55"/>
      <c r="J616" s="55"/>
      <c r="K616" s="55"/>
      <c r="L616" s="55"/>
      <c r="M616" s="55"/>
      <c r="N616" s="55"/>
      <c r="O616" s="55"/>
      <c r="P616" s="55"/>
      <c r="Q616" s="55"/>
      <c r="R616" s="2226"/>
      <c r="S616" s="255"/>
    </row>
    <row r="617" spans="1:19">
      <c r="A617" s="255"/>
      <c r="B617" s="55"/>
      <c r="C617" s="55"/>
      <c r="D617" s="55"/>
      <c r="E617" s="55"/>
      <c r="F617" s="55"/>
      <c r="G617" s="55"/>
      <c r="H617" s="55"/>
      <c r="I617" s="55"/>
      <c r="J617" s="55"/>
      <c r="K617" s="55"/>
      <c r="L617" s="55"/>
      <c r="M617" s="55"/>
      <c r="N617" s="55"/>
      <c r="O617" s="55"/>
      <c r="P617" s="55"/>
      <c r="Q617" s="55"/>
      <c r="R617" s="2226"/>
      <c r="S617" s="255"/>
    </row>
    <row r="618" spans="1:19">
      <c r="A618" s="255"/>
      <c r="B618" s="55"/>
      <c r="C618" s="55"/>
      <c r="D618" s="55"/>
      <c r="E618" s="55"/>
      <c r="F618" s="55"/>
      <c r="G618" s="55"/>
      <c r="H618" s="55"/>
      <c r="I618" s="55"/>
      <c r="J618" s="55"/>
      <c r="K618" s="55"/>
      <c r="L618" s="55"/>
      <c r="M618" s="55"/>
      <c r="N618" s="55"/>
      <c r="O618" s="55"/>
      <c r="P618" s="55"/>
      <c r="Q618" s="55"/>
      <c r="R618" s="2226"/>
      <c r="S618" s="255"/>
    </row>
    <row r="619" spans="1:19">
      <c r="A619" s="255"/>
      <c r="B619" s="55"/>
      <c r="C619" s="55"/>
      <c r="D619" s="55"/>
      <c r="E619" s="55"/>
      <c r="F619" s="55"/>
      <c r="G619" s="55"/>
      <c r="H619" s="55"/>
      <c r="I619" s="55"/>
      <c r="J619" s="55"/>
      <c r="K619" s="55"/>
      <c r="L619" s="55"/>
      <c r="M619" s="55"/>
      <c r="N619" s="55"/>
      <c r="O619" s="55"/>
      <c r="P619" s="55"/>
      <c r="Q619" s="55"/>
      <c r="R619" s="2226"/>
      <c r="S619" s="255"/>
    </row>
    <row r="620" spans="1:19">
      <c r="A620" s="255"/>
      <c r="B620" s="55"/>
      <c r="C620" s="55"/>
      <c r="D620" s="55"/>
      <c r="E620" s="55"/>
      <c r="F620" s="55"/>
      <c r="G620" s="55"/>
      <c r="H620" s="55"/>
      <c r="I620" s="55"/>
      <c r="J620" s="55"/>
      <c r="K620" s="55"/>
      <c r="L620" s="55"/>
      <c r="M620" s="55"/>
      <c r="N620" s="55"/>
      <c r="O620" s="55"/>
      <c r="P620" s="55"/>
      <c r="Q620" s="55"/>
      <c r="R620" s="2226"/>
      <c r="S620" s="255"/>
    </row>
    <row r="621" spans="1:19">
      <c r="A621" s="255"/>
      <c r="B621" s="55"/>
      <c r="C621" s="55"/>
      <c r="D621" s="55"/>
      <c r="E621" s="55"/>
      <c r="F621" s="55"/>
      <c r="G621" s="55"/>
      <c r="H621" s="55"/>
      <c r="I621" s="55"/>
      <c r="J621" s="55"/>
      <c r="K621" s="55"/>
      <c r="L621" s="55"/>
      <c r="M621" s="55"/>
      <c r="N621" s="55"/>
      <c r="O621" s="55"/>
      <c r="P621" s="55"/>
      <c r="Q621" s="55"/>
      <c r="R621" s="2226"/>
      <c r="S621" s="255"/>
    </row>
    <row r="622" spans="1:19">
      <c r="A622" s="255"/>
      <c r="B622" s="55"/>
      <c r="C622" s="55"/>
      <c r="D622" s="55"/>
      <c r="E622" s="55"/>
      <c r="F622" s="55"/>
      <c r="G622" s="55"/>
      <c r="H622" s="55"/>
      <c r="I622" s="55"/>
      <c r="J622" s="55"/>
      <c r="K622" s="55"/>
      <c r="L622" s="55"/>
      <c r="M622" s="55"/>
      <c r="N622" s="55"/>
      <c r="O622" s="55"/>
      <c r="P622" s="55"/>
      <c r="Q622" s="55"/>
      <c r="R622" s="2226"/>
      <c r="S622" s="255"/>
    </row>
    <row r="623" spans="1:19">
      <c r="A623" s="255"/>
      <c r="B623" s="55"/>
      <c r="C623" s="55"/>
      <c r="D623" s="55"/>
      <c r="E623" s="55"/>
      <c r="F623" s="55"/>
      <c r="G623" s="55"/>
      <c r="H623" s="55"/>
      <c r="I623" s="55"/>
      <c r="J623" s="55"/>
      <c r="K623" s="55"/>
      <c r="L623" s="55"/>
      <c r="M623" s="55"/>
      <c r="N623" s="55"/>
      <c r="O623" s="55"/>
      <c r="P623" s="55"/>
      <c r="Q623" s="55"/>
      <c r="R623" s="2226"/>
      <c r="S623" s="255"/>
    </row>
    <row r="624" spans="1:19">
      <c r="A624" s="255"/>
      <c r="B624" s="55"/>
      <c r="C624" s="55"/>
      <c r="D624" s="55"/>
      <c r="E624" s="55"/>
      <c r="F624" s="55"/>
      <c r="G624" s="55"/>
      <c r="H624" s="55"/>
      <c r="I624" s="55"/>
      <c r="J624" s="55"/>
      <c r="K624" s="55"/>
      <c r="L624" s="55"/>
      <c r="M624" s="55"/>
      <c r="N624" s="55"/>
      <c r="O624" s="55"/>
      <c r="P624" s="55"/>
      <c r="Q624" s="55"/>
      <c r="R624" s="2226"/>
      <c r="S624" s="255"/>
    </row>
    <row r="625" spans="1:19">
      <c r="A625" s="255"/>
      <c r="B625" s="55"/>
      <c r="C625" s="55"/>
      <c r="D625" s="55"/>
      <c r="E625" s="55"/>
      <c r="F625" s="55"/>
      <c r="G625" s="55"/>
      <c r="H625" s="55"/>
      <c r="I625" s="55"/>
      <c r="J625" s="55"/>
      <c r="K625" s="55"/>
      <c r="L625" s="55"/>
      <c r="M625" s="55"/>
      <c r="N625" s="55"/>
      <c r="O625" s="55"/>
      <c r="P625" s="55"/>
      <c r="Q625" s="55"/>
      <c r="R625" s="2226"/>
      <c r="S625" s="255"/>
    </row>
    <row r="626" spans="1:19">
      <c r="A626" s="255"/>
      <c r="B626" s="55"/>
      <c r="C626" s="55"/>
      <c r="D626" s="55"/>
      <c r="E626" s="55"/>
      <c r="F626" s="55"/>
      <c r="G626" s="55"/>
      <c r="H626" s="55"/>
      <c r="I626" s="55"/>
      <c r="J626" s="55"/>
      <c r="K626" s="55"/>
      <c r="L626" s="55"/>
      <c r="M626" s="55"/>
      <c r="N626" s="55"/>
      <c r="O626" s="55"/>
      <c r="P626" s="55"/>
      <c r="Q626" s="55"/>
      <c r="R626" s="2226"/>
      <c r="S626" s="255"/>
    </row>
    <row r="627" spans="1:19">
      <c r="A627" s="255"/>
      <c r="B627" s="55"/>
      <c r="C627" s="55"/>
      <c r="D627" s="55"/>
      <c r="E627" s="55"/>
      <c r="F627" s="55"/>
      <c r="G627" s="55"/>
      <c r="H627" s="55"/>
      <c r="I627" s="55"/>
      <c r="J627" s="55"/>
      <c r="K627" s="55"/>
      <c r="L627" s="55"/>
      <c r="M627" s="55"/>
      <c r="N627" s="55"/>
      <c r="O627" s="55"/>
      <c r="P627" s="55"/>
      <c r="Q627" s="55"/>
      <c r="R627" s="2226"/>
      <c r="S627" s="255"/>
    </row>
    <row r="628" spans="1:19">
      <c r="A628" s="255"/>
      <c r="B628" s="55"/>
      <c r="C628" s="55"/>
      <c r="D628" s="55"/>
      <c r="E628" s="55"/>
      <c r="F628" s="55"/>
      <c r="G628" s="55"/>
      <c r="H628" s="55"/>
      <c r="I628" s="55"/>
      <c r="J628" s="55"/>
      <c r="K628" s="55"/>
      <c r="L628" s="55"/>
      <c r="M628" s="55"/>
      <c r="N628" s="55"/>
      <c r="O628" s="55"/>
      <c r="P628" s="55"/>
      <c r="Q628" s="55"/>
      <c r="R628" s="2226"/>
      <c r="S628" s="255"/>
    </row>
    <row r="629" spans="1:19">
      <c r="A629" s="255"/>
      <c r="B629" s="55"/>
      <c r="C629" s="55"/>
      <c r="D629" s="55"/>
      <c r="E629" s="55"/>
      <c r="F629" s="55"/>
      <c r="G629" s="55"/>
      <c r="H629" s="55"/>
      <c r="I629" s="55"/>
      <c r="J629" s="55"/>
      <c r="K629" s="55"/>
      <c r="L629" s="55"/>
      <c r="M629" s="55"/>
      <c r="N629" s="55"/>
      <c r="O629" s="55"/>
      <c r="P629" s="55"/>
      <c r="Q629" s="55"/>
      <c r="R629" s="2226"/>
      <c r="S629" s="255"/>
    </row>
    <row r="630" spans="1:19">
      <c r="A630" s="255"/>
      <c r="B630" s="55"/>
      <c r="C630" s="55"/>
      <c r="D630" s="55"/>
      <c r="E630" s="55"/>
      <c r="F630" s="55"/>
      <c r="G630" s="55"/>
      <c r="H630" s="55"/>
      <c r="I630" s="55"/>
      <c r="J630" s="55"/>
      <c r="K630" s="55"/>
      <c r="L630" s="55"/>
      <c r="M630" s="55"/>
      <c r="N630" s="55"/>
      <c r="O630" s="55"/>
      <c r="P630" s="55"/>
      <c r="Q630" s="55"/>
      <c r="R630" s="2226"/>
      <c r="S630" s="255"/>
    </row>
    <row r="631" spans="1:19">
      <c r="A631" s="255"/>
      <c r="B631" s="55"/>
      <c r="C631" s="55"/>
      <c r="D631" s="55"/>
      <c r="E631" s="55"/>
      <c r="F631" s="55"/>
      <c r="G631" s="55"/>
      <c r="H631" s="55"/>
      <c r="I631" s="55"/>
      <c r="J631" s="55"/>
      <c r="K631" s="55"/>
      <c r="L631" s="55"/>
      <c r="M631" s="55"/>
      <c r="N631" s="55"/>
      <c r="O631" s="55"/>
      <c r="P631" s="55"/>
      <c r="Q631" s="55"/>
      <c r="R631" s="2226"/>
      <c r="S631" s="255"/>
    </row>
    <row r="632" spans="1:19">
      <c r="A632" s="255"/>
      <c r="B632" s="55"/>
      <c r="C632" s="55"/>
      <c r="D632" s="55"/>
      <c r="E632" s="55"/>
      <c r="F632" s="55"/>
      <c r="G632" s="55"/>
      <c r="H632" s="55"/>
      <c r="I632" s="55"/>
      <c r="J632" s="55"/>
      <c r="K632" s="55"/>
      <c r="L632" s="55"/>
      <c r="M632" s="55"/>
      <c r="N632" s="55"/>
      <c r="O632" s="55"/>
      <c r="P632" s="55"/>
      <c r="Q632" s="55"/>
      <c r="R632" s="2226"/>
      <c r="S632" s="255"/>
    </row>
    <row r="633" spans="1:19">
      <c r="A633" s="255"/>
      <c r="B633" s="55"/>
      <c r="C633" s="55"/>
      <c r="D633" s="55"/>
      <c r="E633" s="55"/>
      <c r="F633" s="55"/>
      <c r="G633" s="55"/>
      <c r="H633" s="55"/>
      <c r="I633" s="55"/>
      <c r="J633" s="55"/>
      <c r="K633" s="55"/>
      <c r="L633" s="55"/>
      <c r="M633" s="55"/>
      <c r="N633" s="55"/>
      <c r="O633" s="55"/>
      <c r="P633" s="55"/>
      <c r="Q633" s="55"/>
      <c r="R633" s="2226"/>
      <c r="S633" s="255"/>
    </row>
    <row r="634" spans="1:19">
      <c r="A634" s="255"/>
      <c r="B634" s="55"/>
      <c r="C634" s="55"/>
      <c r="D634" s="55"/>
      <c r="E634" s="55"/>
      <c r="F634" s="55"/>
      <c r="G634" s="55"/>
      <c r="H634" s="55"/>
      <c r="I634" s="55"/>
      <c r="J634" s="55"/>
      <c r="K634" s="55"/>
      <c r="L634" s="55"/>
      <c r="M634" s="55"/>
      <c r="N634" s="55"/>
      <c r="O634" s="55"/>
      <c r="P634" s="55"/>
      <c r="Q634" s="55"/>
      <c r="R634" s="2226"/>
      <c r="S634" s="255"/>
    </row>
    <row r="635" spans="1:19">
      <c r="A635" s="255"/>
      <c r="B635" s="55"/>
      <c r="C635" s="55"/>
      <c r="D635" s="55"/>
      <c r="E635" s="55"/>
      <c r="F635" s="55"/>
      <c r="G635" s="55"/>
      <c r="H635" s="55"/>
      <c r="I635" s="55"/>
      <c r="J635" s="55"/>
      <c r="K635" s="55"/>
      <c r="L635" s="55"/>
      <c r="M635" s="55"/>
      <c r="N635" s="55"/>
      <c r="O635" s="55"/>
      <c r="P635" s="55"/>
      <c r="Q635" s="55"/>
      <c r="R635" s="2226"/>
      <c r="S635" s="255"/>
    </row>
    <row r="636" spans="1:19">
      <c r="A636" s="255"/>
      <c r="B636" s="55"/>
      <c r="C636" s="55"/>
      <c r="D636" s="55"/>
      <c r="E636" s="55"/>
      <c r="F636" s="55"/>
      <c r="G636" s="55"/>
      <c r="H636" s="55"/>
      <c r="I636" s="55"/>
      <c r="J636" s="55"/>
      <c r="K636" s="55"/>
      <c r="L636" s="55"/>
      <c r="M636" s="55"/>
      <c r="N636" s="55"/>
      <c r="O636" s="55"/>
      <c r="P636" s="55"/>
      <c r="Q636" s="55"/>
      <c r="R636" s="2226"/>
      <c r="S636" s="255"/>
    </row>
    <row r="637" spans="1:19">
      <c r="A637" s="255"/>
      <c r="B637" s="55"/>
      <c r="C637" s="55"/>
      <c r="D637" s="55"/>
      <c r="E637" s="55"/>
      <c r="F637" s="55"/>
      <c r="G637" s="55"/>
      <c r="H637" s="55"/>
      <c r="I637" s="55"/>
      <c r="J637" s="55"/>
      <c r="K637" s="55"/>
      <c r="L637" s="55"/>
      <c r="M637" s="55"/>
      <c r="N637" s="55"/>
      <c r="O637" s="55"/>
      <c r="P637" s="55"/>
      <c r="Q637" s="55"/>
      <c r="R637" s="2226"/>
      <c r="S637" s="255"/>
    </row>
    <row r="638" spans="1:19">
      <c r="A638" s="255"/>
      <c r="B638" s="55"/>
      <c r="C638" s="55"/>
      <c r="D638" s="55"/>
      <c r="E638" s="55"/>
      <c r="F638" s="55"/>
      <c r="G638" s="55"/>
      <c r="H638" s="55"/>
      <c r="I638" s="55"/>
      <c r="J638" s="55"/>
      <c r="K638" s="55"/>
      <c r="L638" s="55"/>
      <c r="M638" s="55"/>
      <c r="N638" s="55"/>
      <c r="O638" s="55"/>
      <c r="P638" s="55"/>
      <c r="Q638" s="55"/>
      <c r="R638" s="2226"/>
      <c r="S638" s="255"/>
    </row>
    <row r="639" spans="1:19">
      <c r="A639" s="255"/>
      <c r="B639" s="55"/>
      <c r="C639" s="55"/>
      <c r="D639" s="55"/>
      <c r="E639" s="55"/>
      <c r="F639" s="55"/>
      <c r="G639" s="55"/>
      <c r="H639" s="55"/>
      <c r="I639" s="55"/>
      <c r="J639" s="55"/>
      <c r="K639" s="55"/>
      <c r="L639" s="55"/>
      <c r="M639" s="55"/>
      <c r="N639" s="55"/>
      <c r="O639" s="55"/>
      <c r="P639" s="55"/>
      <c r="Q639" s="55"/>
      <c r="R639" s="2226"/>
      <c r="S639" s="255"/>
    </row>
    <row r="640" spans="1:19">
      <c r="A640" s="255"/>
      <c r="B640" s="55"/>
      <c r="C640" s="55"/>
      <c r="D640" s="55"/>
      <c r="E640" s="55"/>
      <c r="F640" s="55"/>
      <c r="G640" s="55"/>
      <c r="H640" s="55"/>
      <c r="I640" s="55"/>
      <c r="J640" s="55"/>
      <c r="K640" s="55"/>
      <c r="L640" s="55"/>
      <c r="M640" s="55"/>
      <c r="N640" s="55"/>
      <c r="O640" s="55"/>
      <c r="P640" s="55"/>
      <c r="Q640" s="55"/>
      <c r="R640" s="2226"/>
      <c r="S640" s="255"/>
    </row>
    <row r="641" spans="1:19">
      <c r="A641" s="255"/>
      <c r="B641" s="55"/>
      <c r="C641" s="55"/>
      <c r="D641" s="55"/>
      <c r="E641" s="55"/>
      <c r="F641" s="55"/>
      <c r="G641" s="55"/>
      <c r="H641" s="55"/>
      <c r="I641" s="55"/>
      <c r="J641" s="55"/>
      <c r="K641" s="55"/>
      <c r="L641" s="55"/>
      <c r="M641" s="55"/>
      <c r="N641" s="55"/>
      <c r="O641" s="55"/>
      <c r="P641" s="55"/>
      <c r="Q641" s="55"/>
      <c r="R641" s="2226"/>
      <c r="S641" s="255"/>
    </row>
    <row r="642" spans="1:19">
      <c r="A642" s="255"/>
      <c r="B642" s="55"/>
      <c r="C642" s="55"/>
      <c r="D642" s="55"/>
      <c r="E642" s="55"/>
      <c r="F642" s="55"/>
      <c r="G642" s="55"/>
      <c r="H642" s="55"/>
      <c r="I642" s="55"/>
      <c r="J642" s="55"/>
      <c r="K642" s="55"/>
      <c r="L642" s="55"/>
      <c r="M642" s="55"/>
      <c r="N642" s="55"/>
      <c r="O642" s="55"/>
      <c r="P642" s="55"/>
      <c r="Q642" s="55"/>
      <c r="R642" s="2226"/>
      <c r="S642" s="255"/>
    </row>
    <row r="643" spans="1:19">
      <c r="A643" s="255"/>
      <c r="B643" s="55"/>
      <c r="C643" s="55"/>
      <c r="D643" s="55"/>
      <c r="E643" s="55"/>
      <c r="F643" s="55"/>
      <c r="G643" s="55"/>
      <c r="H643" s="55"/>
      <c r="I643" s="55"/>
      <c r="J643" s="55"/>
      <c r="K643" s="55"/>
      <c r="L643" s="55"/>
      <c r="M643" s="55"/>
      <c r="N643" s="55"/>
      <c r="O643" s="55"/>
      <c r="P643" s="55"/>
      <c r="Q643" s="55"/>
      <c r="R643" s="2226"/>
      <c r="S643" s="255"/>
    </row>
    <row r="644" spans="1:19">
      <c r="A644" s="255"/>
      <c r="B644" s="55"/>
      <c r="C644" s="55"/>
      <c r="D644" s="55"/>
      <c r="E644" s="55"/>
      <c r="F644" s="55"/>
      <c r="G644" s="55"/>
      <c r="H644" s="55"/>
      <c r="I644" s="55"/>
      <c r="J644" s="55"/>
      <c r="K644" s="55"/>
      <c r="L644" s="55"/>
      <c r="M644" s="55"/>
      <c r="N644" s="55"/>
      <c r="O644" s="55"/>
      <c r="P644" s="55"/>
      <c r="Q644" s="55"/>
      <c r="R644" s="2226"/>
      <c r="S644" s="255"/>
    </row>
    <row r="645" spans="1:19">
      <c r="A645" s="255"/>
      <c r="B645" s="55"/>
      <c r="C645" s="55"/>
      <c r="D645" s="55"/>
      <c r="E645" s="55"/>
      <c r="F645" s="55"/>
      <c r="G645" s="55"/>
      <c r="H645" s="55"/>
      <c r="I645" s="55"/>
      <c r="J645" s="55"/>
      <c r="K645" s="55"/>
      <c r="L645" s="55"/>
      <c r="M645" s="55"/>
      <c r="N645" s="55"/>
      <c r="O645" s="55"/>
      <c r="P645" s="55"/>
      <c r="Q645" s="55"/>
      <c r="R645" s="2226"/>
      <c r="S645" s="255"/>
    </row>
    <row r="646" spans="1:19">
      <c r="A646" s="255"/>
      <c r="B646" s="55"/>
      <c r="C646" s="55"/>
      <c r="D646" s="55"/>
      <c r="E646" s="55"/>
      <c r="F646" s="55"/>
      <c r="G646" s="55"/>
      <c r="H646" s="55"/>
      <c r="I646" s="55"/>
      <c r="J646" s="55"/>
      <c r="K646" s="55"/>
      <c r="L646" s="55"/>
      <c r="M646" s="55"/>
      <c r="N646" s="55"/>
      <c r="O646" s="55"/>
      <c r="P646" s="55"/>
      <c r="Q646" s="55"/>
      <c r="R646" s="2226"/>
      <c r="S646" s="255"/>
    </row>
    <row r="647" spans="1:19">
      <c r="A647" s="255"/>
      <c r="B647" s="55"/>
      <c r="C647" s="55"/>
      <c r="D647" s="55"/>
      <c r="E647" s="55"/>
      <c r="F647" s="55"/>
      <c r="G647" s="55"/>
      <c r="H647" s="55"/>
      <c r="I647" s="55"/>
      <c r="J647" s="55"/>
      <c r="K647" s="55"/>
      <c r="L647" s="55"/>
      <c r="M647" s="55"/>
      <c r="N647" s="55"/>
      <c r="O647" s="55"/>
      <c r="P647" s="55"/>
      <c r="Q647" s="55"/>
      <c r="R647" s="2226"/>
      <c r="S647" s="255"/>
    </row>
    <row r="648" spans="1:19">
      <c r="A648" s="255"/>
      <c r="B648" s="55"/>
      <c r="C648" s="55"/>
      <c r="D648" s="55"/>
      <c r="E648" s="55"/>
      <c r="F648" s="55"/>
      <c r="G648" s="55"/>
      <c r="H648" s="55"/>
      <c r="I648" s="55"/>
      <c r="J648" s="55"/>
      <c r="K648" s="55"/>
      <c r="L648" s="55"/>
      <c r="M648" s="55"/>
      <c r="N648" s="55"/>
      <c r="O648" s="55"/>
      <c r="P648" s="55"/>
      <c r="Q648" s="55"/>
      <c r="R648" s="2226"/>
      <c r="S648" s="255"/>
    </row>
    <row r="649" spans="1:19">
      <c r="A649" s="255"/>
      <c r="B649" s="55"/>
      <c r="C649" s="55"/>
      <c r="D649" s="55"/>
      <c r="E649" s="55"/>
      <c r="F649" s="55"/>
      <c r="G649" s="55"/>
      <c r="H649" s="55"/>
      <c r="I649" s="55"/>
      <c r="J649" s="55"/>
      <c r="K649" s="55"/>
      <c r="L649" s="55"/>
      <c r="M649" s="55"/>
      <c r="N649" s="55"/>
      <c r="O649" s="55"/>
      <c r="P649" s="55"/>
      <c r="Q649" s="55"/>
      <c r="R649" s="2226"/>
      <c r="S649" s="255"/>
    </row>
    <row r="650" spans="1:19">
      <c r="A650" s="255"/>
      <c r="B650" s="55"/>
      <c r="C650" s="55"/>
      <c r="D650" s="55"/>
      <c r="E650" s="55"/>
      <c r="F650" s="55"/>
      <c r="G650" s="55"/>
      <c r="H650" s="55"/>
      <c r="I650" s="55"/>
      <c r="J650" s="55"/>
      <c r="K650" s="55"/>
      <c r="L650" s="55"/>
      <c r="M650" s="55"/>
      <c r="N650" s="55"/>
      <c r="O650" s="55"/>
      <c r="P650" s="55"/>
      <c r="Q650" s="55"/>
      <c r="R650" s="2226"/>
      <c r="S650" s="255"/>
    </row>
    <row r="651" spans="1:19">
      <c r="A651" s="255"/>
      <c r="B651" s="55"/>
      <c r="C651" s="55"/>
      <c r="D651" s="55"/>
      <c r="E651" s="55"/>
      <c r="F651" s="55"/>
      <c r="G651" s="55"/>
      <c r="H651" s="55"/>
      <c r="I651" s="55"/>
      <c r="J651" s="55"/>
      <c r="K651" s="55"/>
      <c r="L651" s="55"/>
      <c r="M651" s="55"/>
      <c r="N651" s="55"/>
      <c r="O651" s="55"/>
      <c r="P651" s="55"/>
      <c r="Q651" s="55"/>
      <c r="R651" s="2226"/>
      <c r="S651" s="255"/>
    </row>
    <row r="652" spans="1:19">
      <c r="A652" s="255"/>
      <c r="B652" s="55"/>
      <c r="C652" s="55"/>
      <c r="D652" s="55"/>
      <c r="E652" s="55"/>
      <c r="F652" s="55"/>
      <c r="G652" s="55"/>
      <c r="H652" s="55"/>
      <c r="I652" s="55"/>
      <c r="J652" s="55"/>
      <c r="K652" s="55"/>
      <c r="L652" s="55"/>
      <c r="M652" s="55"/>
      <c r="N652" s="55"/>
      <c r="O652" s="55"/>
      <c r="P652" s="55"/>
      <c r="Q652" s="55"/>
      <c r="R652" s="2226"/>
      <c r="S652" s="255"/>
    </row>
    <row r="653" spans="1:19">
      <c r="A653" s="255"/>
      <c r="B653" s="55"/>
      <c r="C653" s="55"/>
      <c r="D653" s="55"/>
      <c r="E653" s="55"/>
      <c r="F653" s="55"/>
      <c r="G653" s="55"/>
      <c r="H653" s="55"/>
      <c r="I653" s="55"/>
      <c r="J653" s="55"/>
      <c r="K653" s="55"/>
      <c r="L653" s="55"/>
      <c r="M653" s="55"/>
      <c r="N653" s="55"/>
      <c r="O653" s="55"/>
      <c r="P653" s="55"/>
      <c r="Q653" s="55"/>
      <c r="R653" s="2226"/>
      <c r="S653" s="255"/>
    </row>
    <row r="654" spans="1:19">
      <c r="A654" s="255"/>
      <c r="B654" s="55"/>
      <c r="C654" s="55"/>
      <c r="D654" s="55"/>
      <c r="E654" s="55"/>
      <c r="F654" s="55"/>
      <c r="G654" s="55"/>
      <c r="H654" s="55"/>
      <c r="I654" s="55"/>
      <c r="J654" s="55"/>
      <c r="K654" s="55"/>
      <c r="L654" s="55"/>
      <c r="M654" s="55"/>
      <c r="N654" s="55"/>
      <c r="O654" s="55"/>
      <c r="P654" s="55"/>
      <c r="Q654" s="55"/>
      <c r="R654" s="2226"/>
      <c r="S654" s="255"/>
    </row>
    <row r="655" spans="1:19">
      <c r="A655" s="255"/>
      <c r="B655" s="55"/>
      <c r="C655" s="55"/>
      <c r="D655" s="55"/>
      <c r="E655" s="55"/>
      <c r="F655" s="55"/>
      <c r="G655" s="55"/>
      <c r="H655" s="55"/>
      <c r="I655" s="55"/>
      <c r="J655" s="55"/>
      <c r="K655" s="55"/>
      <c r="L655" s="55"/>
      <c r="M655" s="55"/>
      <c r="N655" s="55"/>
      <c r="O655" s="55"/>
      <c r="P655" s="55"/>
      <c r="Q655" s="55"/>
      <c r="R655" s="2226"/>
      <c r="S655" s="255"/>
    </row>
    <row r="656" spans="1:19">
      <c r="A656" s="255"/>
      <c r="B656" s="55"/>
      <c r="C656" s="55"/>
      <c r="D656" s="55"/>
      <c r="E656" s="55"/>
      <c r="F656" s="55"/>
      <c r="G656" s="55"/>
      <c r="H656" s="55"/>
      <c r="I656" s="55"/>
      <c r="J656" s="55"/>
      <c r="K656" s="55"/>
      <c r="L656" s="55"/>
      <c r="M656" s="55"/>
      <c r="N656" s="55"/>
      <c r="O656" s="55"/>
      <c r="P656" s="55"/>
      <c r="Q656" s="55"/>
      <c r="R656" s="2226"/>
      <c r="S656" s="255"/>
    </row>
    <row r="657" spans="1:19">
      <c r="A657" s="255"/>
      <c r="B657" s="55"/>
      <c r="C657" s="55"/>
      <c r="D657" s="55"/>
      <c r="E657" s="55"/>
      <c r="F657" s="55"/>
      <c r="G657" s="55"/>
      <c r="H657" s="55"/>
      <c r="I657" s="55"/>
      <c r="J657" s="55"/>
      <c r="K657" s="55"/>
      <c r="L657" s="55"/>
      <c r="M657" s="55"/>
      <c r="N657" s="55"/>
      <c r="O657" s="55"/>
      <c r="P657" s="55"/>
      <c r="Q657" s="55"/>
      <c r="R657" s="2226"/>
      <c r="S657" s="255"/>
    </row>
    <row r="658" spans="1:19">
      <c r="A658" s="255"/>
      <c r="B658" s="55"/>
      <c r="C658" s="55"/>
      <c r="D658" s="55"/>
      <c r="E658" s="55"/>
      <c r="F658" s="55"/>
      <c r="G658" s="55"/>
      <c r="H658" s="55"/>
      <c r="I658" s="55"/>
      <c r="J658" s="55"/>
      <c r="K658" s="55"/>
      <c r="L658" s="55"/>
      <c r="M658" s="55"/>
      <c r="N658" s="55"/>
      <c r="O658" s="55"/>
      <c r="P658" s="55"/>
      <c r="Q658" s="55"/>
      <c r="R658" s="2226"/>
      <c r="S658" s="255"/>
    </row>
    <row r="659" spans="1:19">
      <c r="A659" s="255"/>
      <c r="B659" s="55"/>
      <c r="C659" s="55"/>
      <c r="D659" s="55"/>
      <c r="E659" s="55"/>
      <c r="F659" s="55"/>
      <c r="G659" s="55"/>
      <c r="H659" s="55"/>
      <c r="I659" s="55"/>
      <c r="J659" s="55"/>
      <c r="K659" s="55"/>
      <c r="L659" s="55"/>
      <c r="M659" s="55"/>
      <c r="N659" s="55"/>
      <c r="O659" s="55"/>
      <c r="P659" s="55"/>
      <c r="Q659" s="55"/>
      <c r="R659" s="2226"/>
      <c r="S659" s="255"/>
    </row>
    <row r="660" spans="1:19">
      <c r="A660" s="255"/>
      <c r="B660" s="55"/>
      <c r="C660" s="55"/>
      <c r="D660" s="55"/>
      <c r="E660" s="55"/>
      <c r="F660" s="55"/>
      <c r="G660" s="55"/>
      <c r="H660" s="55"/>
      <c r="I660" s="55"/>
      <c r="J660" s="55"/>
      <c r="K660" s="55"/>
      <c r="L660" s="55"/>
      <c r="M660" s="55"/>
      <c r="N660" s="55"/>
      <c r="O660" s="55"/>
      <c r="P660" s="55"/>
      <c r="Q660" s="55"/>
      <c r="R660" s="2226"/>
      <c r="S660" s="255"/>
    </row>
    <row r="661" spans="1:19">
      <c r="A661" s="255"/>
      <c r="B661" s="55"/>
      <c r="C661" s="55"/>
      <c r="D661" s="55"/>
      <c r="E661" s="55"/>
      <c r="F661" s="55"/>
      <c r="G661" s="55"/>
      <c r="H661" s="55"/>
      <c r="I661" s="55"/>
      <c r="J661" s="55"/>
      <c r="K661" s="55"/>
      <c r="L661" s="55"/>
      <c r="M661" s="55"/>
      <c r="N661" s="55"/>
      <c r="O661" s="55"/>
      <c r="P661" s="55"/>
      <c r="Q661" s="55"/>
      <c r="R661" s="2226"/>
      <c r="S661" s="255"/>
    </row>
    <row r="662" spans="1:19">
      <c r="A662" s="255"/>
      <c r="B662" s="55"/>
      <c r="C662" s="55"/>
      <c r="D662" s="55"/>
      <c r="E662" s="55"/>
      <c r="F662" s="55"/>
      <c r="G662" s="55"/>
      <c r="H662" s="55"/>
      <c r="I662" s="55"/>
      <c r="J662" s="55"/>
      <c r="K662" s="55"/>
      <c r="L662" s="55"/>
      <c r="M662" s="55"/>
      <c r="N662" s="55"/>
      <c r="O662" s="55"/>
      <c r="P662" s="55"/>
      <c r="Q662" s="55"/>
      <c r="R662" s="2226"/>
      <c r="S662" s="255"/>
    </row>
    <row r="663" spans="1:19">
      <c r="A663" s="255"/>
      <c r="B663" s="55"/>
      <c r="C663" s="55"/>
      <c r="D663" s="55"/>
      <c r="E663" s="55"/>
      <c r="F663" s="55"/>
      <c r="G663" s="55"/>
      <c r="H663" s="55"/>
      <c r="I663" s="55"/>
      <c r="J663" s="55"/>
      <c r="K663" s="55"/>
      <c r="L663" s="55"/>
      <c r="M663" s="55"/>
      <c r="N663" s="55"/>
      <c r="O663" s="55"/>
      <c r="P663" s="55"/>
      <c r="Q663" s="55"/>
      <c r="R663" s="2226"/>
      <c r="S663" s="255"/>
    </row>
    <row r="664" spans="1:19">
      <c r="A664" s="255"/>
      <c r="B664" s="55"/>
      <c r="C664" s="55"/>
      <c r="D664" s="55"/>
      <c r="E664" s="55"/>
      <c r="F664" s="55"/>
      <c r="G664" s="55"/>
      <c r="H664" s="55"/>
      <c r="I664" s="55"/>
      <c r="J664" s="55"/>
      <c r="K664" s="55"/>
      <c r="L664" s="55"/>
      <c r="M664" s="55"/>
      <c r="N664" s="55"/>
      <c r="O664" s="55"/>
      <c r="P664" s="55"/>
      <c r="Q664" s="55"/>
      <c r="R664" s="2226"/>
      <c r="S664" s="255"/>
    </row>
    <row r="665" spans="1:19">
      <c r="A665" s="255"/>
      <c r="B665" s="55"/>
      <c r="C665" s="55"/>
      <c r="D665" s="55"/>
      <c r="E665" s="55"/>
      <c r="F665" s="55"/>
      <c r="G665" s="55"/>
      <c r="H665" s="55"/>
      <c r="I665" s="55"/>
      <c r="J665" s="55"/>
      <c r="K665" s="55"/>
      <c r="L665" s="55"/>
      <c r="M665" s="55"/>
      <c r="N665" s="55"/>
      <c r="O665" s="55"/>
      <c r="P665" s="55"/>
      <c r="Q665" s="55"/>
      <c r="R665" s="2226"/>
      <c r="S665" s="255"/>
    </row>
    <row r="666" spans="1:19">
      <c r="A666" s="255"/>
      <c r="B666" s="55"/>
      <c r="C666" s="55"/>
      <c r="D666" s="55"/>
      <c r="E666" s="55"/>
      <c r="F666" s="55"/>
      <c r="G666" s="55"/>
      <c r="H666" s="55"/>
      <c r="I666" s="55"/>
      <c r="J666" s="55"/>
      <c r="K666" s="55"/>
      <c r="L666" s="55"/>
      <c r="M666" s="55"/>
      <c r="N666" s="55"/>
      <c r="O666" s="55"/>
      <c r="P666" s="55"/>
      <c r="Q666" s="55"/>
      <c r="R666" s="2226"/>
      <c r="S666" s="255"/>
    </row>
    <row r="667" spans="1:19">
      <c r="A667" s="255"/>
      <c r="B667" s="55"/>
      <c r="C667" s="55"/>
      <c r="D667" s="55"/>
      <c r="E667" s="55"/>
      <c r="F667" s="55"/>
      <c r="G667" s="55"/>
      <c r="H667" s="55"/>
      <c r="I667" s="55"/>
      <c r="J667" s="55"/>
      <c r="K667" s="55"/>
      <c r="L667" s="55"/>
      <c r="M667" s="55"/>
      <c r="N667" s="55"/>
      <c r="O667" s="55"/>
      <c r="P667" s="55"/>
      <c r="Q667" s="55"/>
      <c r="R667" s="2226"/>
      <c r="S667" s="255"/>
    </row>
    <row r="668" spans="1:19">
      <c r="A668" s="255"/>
      <c r="B668" s="55"/>
      <c r="C668" s="55"/>
      <c r="D668" s="55"/>
      <c r="E668" s="55"/>
      <c r="F668" s="55"/>
      <c r="G668" s="55"/>
      <c r="H668" s="55"/>
      <c r="I668" s="55"/>
      <c r="J668" s="55"/>
      <c r="K668" s="55"/>
      <c r="L668" s="55"/>
      <c r="M668" s="55"/>
      <c r="N668" s="55"/>
      <c r="O668" s="55"/>
      <c r="P668" s="55"/>
      <c r="Q668" s="55"/>
      <c r="R668" s="2226"/>
      <c r="S668" s="255"/>
    </row>
    <row r="669" spans="1:19">
      <c r="A669" s="255"/>
      <c r="B669" s="55"/>
      <c r="C669" s="55"/>
      <c r="D669" s="55"/>
      <c r="E669" s="55"/>
      <c r="F669" s="55"/>
      <c r="G669" s="55"/>
      <c r="H669" s="55"/>
      <c r="I669" s="55"/>
      <c r="J669" s="55"/>
      <c r="K669" s="55"/>
      <c r="L669" s="55"/>
      <c r="M669" s="55"/>
      <c r="N669" s="55"/>
      <c r="O669" s="55"/>
      <c r="P669" s="55"/>
      <c r="Q669" s="55"/>
      <c r="R669" s="2226"/>
      <c r="S669" s="255"/>
    </row>
    <row r="670" spans="1:19">
      <c r="A670" s="255"/>
      <c r="B670" s="55"/>
      <c r="C670" s="55"/>
      <c r="D670" s="55"/>
      <c r="E670" s="55"/>
      <c r="F670" s="55"/>
      <c r="G670" s="55"/>
      <c r="H670" s="55"/>
      <c r="I670" s="55"/>
      <c r="J670" s="55"/>
      <c r="K670" s="55"/>
      <c r="L670" s="55"/>
      <c r="M670" s="55"/>
      <c r="N670" s="55"/>
      <c r="O670" s="55"/>
      <c r="P670" s="55"/>
      <c r="Q670" s="55"/>
      <c r="R670" s="2226"/>
      <c r="S670" s="255"/>
    </row>
    <row r="671" spans="1:19">
      <c r="A671" s="255"/>
      <c r="B671" s="55"/>
      <c r="C671" s="55"/>
      <c r="D671" s="55"/>
      <c r="E671" s="55"/>
      <c r="F671" s="55"/>
      <c r="G671" s="55"/>
      <c r="H671" s="55"/>
      <c r="I671" s="55"/>
      <c r="J671" s="55"/>
      <c r="K671" s="55"/>
      <c r="L671" s="55"/>
      <c r="M671" s="55"/>
      <c r="N671" s="55"/>
      <c r="O671" s="55"/>
      <c r="P671" s="55"/>
      <c r="Q671" s="55"/>
      <c r="R671" s="2226"/>
      <c r="S671" s="255"/>
    </row>
    <row r="672" spans="1:19">
      <c r="A672" s="255"/>
      <c r="B672" s="55"/>
      <c r="C672" s="55"/>
      <c r="D672" s="55"/>
      <c r="E672" s="55"/>
      <c r="F672" s="55"/>
      <c r="G672" s="55"/>
      <c r="H672" s="55"/>
      <c r="I672" s="55"/>
      <c r="J672" s="55"/>
      <c r="K672" s="55"/>
      <c r="L672" s="55"/>
      <c r="M672" s="55"/>
      <c r="N672" s="55"/>
      <c r="O672" s="55"/>
      <c r="P672" s="55"/>
      <c r="Q672" s="55"/>
      <c r="R672" s="2226"/>
      <c r="S672" s="255"/>
    </row>
    <row r="673" spans="1:19">
      <c r="A673" s="255"/>
      <c r="B673" s="55"/>
      <c r="C673" s="55"/>
      <c r="D673" s="55"/>
      <c r="E673" s="55"/>
      <c r="F673" s="55"/>
      <c r="G673" s="55"/>
      <c r="H673" s="55"/>
      <c r="I673" s="55"/>
      <c r="J673" s="55"/>
      <c r="K673" s="55"/>
      <c r="L673" s="55"/>
      <c r="M673" s="55"/>
      <c r="N673" s="55"/>
      <c r="O673" s="55"/>
      <c r="P673" s="55"/>
      <c r="Q673" s="55"/>
      <c r="R673" s="2226"/>
      <c r="S673" s="255"/>
    </row>
    <row r="674" spans="1:19">
      <c r="A674" s="255"/>
      <c r="B674" s="55"/>
      <c r="C674" s="55"/>
      <c r="D674" s="55"/>
      <c r="E674" s="55"/>
      <c r="F674" s="55"/>
      <c r="G674" s="55"/>
      <c r="H674" s="55"/>
      <c r="I674" s="55"/>
      <c r="J674" s="55"/>
      <c r="K674" s="55"/>
      <c r="L674" s="55"/>
      <c r="M674" s="55"/>
      <c r="N674" s="55"/>
      <c r="O674" s="55"/>
      <c r="P674" s="55"/>
      <c r="Q674" s="55"/>
      <c r="R674" s="2226"/>
      <c r="S674" s="255"/>
    </row>
    <row r="675" spans="1:19">
      <c r="A675" s="255"/>
      <c r="B675" s="55"/>
      <c r="C675" s="55"/>
      <c r="D675" s="55"/>
      <c r="E675" s="55"/>
      <c r="F675" s="55"/>
      <c r="G675" s="55"/>
      <c r="H675" s="55"/>
      <c r="I675" s="55"/>
      <c r="J675" s="55"/>
      <c r="K675" s="55"/>
      <c r="L675" s="55"/>
      <c r="M675" s="55"/>
      <c r="N675" s="55"/>
      <c r="O675" s="55"/>
      <c r="P675" s="55"/>
      <c r="Q675" s="55"/>
      <c r="R675" s="2226"/>
      <c r="S675" s="255"/>
    </row>
    <row r="676" spans="1:19">
      <c r="A676" s="255"/>
      <c r="B676" s="55"/>
      <c r="C676" s="55"/>
      <c r="D676" s="55"/>
      <c r="E676" s="55"/>
      <c r="F676" s="55"/>
      <c r="G676" s="55"/>
      <c r="H676" s="55"/>
      <c r="I676" s="55"/>
      <c r="J676" s="55"/>
      <c r="K676" s="55"/>
      <c r="L676" s="55"/>
      <c r="M676" s="55"/>
      <c r="N676" s="55"/>
      <c r="O676" s="55"/>
      <c r="P676" s="55"/>
      <c r="Q676" s="55"/>
      <c r="R676" s="2226"/>
      <c r="S676" s="255"/>
    </row>
    <row r="677" spans="1:19">
      <c r="A677" s="255"/>
      <c r="B677" s="55"/>
      <c r="C677" s="55"/>
      <c r="D677" s="55"/>
      <c r="E677" s="55"/>
      <c r="F677" s="55"/>
      <c r="G677" s="55"/>
      <c r="H677" s="55"/>
      <c r="I677" s="55"/>
      <c r="J677" s="55"/>
      <c r="K677" s="55"/>
      <c r="L677" s="55"/>
      <c r="M677" s="55"/>
      <c r="N677" s="55"/>
      <c r="O677" s="55"/>
      <c r="P677" s="55"/>
      <c r="Q677" s="55"/>
      <c r="R677" s="2226"/>
      <c r="S677" s="255"/>
    </row>
    <row r="678" spans="1:19">
      <c r="A678" s="255"/>
      <c r="B678" s="55"/>
      <c r="C678" s="55"/>
      <c r="D678" s="55"/>
      <c r="E678" s="55"/>
      <c r="F678" s="55"/>
      <c r="G678" s="55"/>
      <c r="H678" s="55"/>
      <c r="I678" s="55"/>
      <c r="J678" s="55"/>
      <c r="K678" s="55"/>
      <c r="L678" s="55"/>
      <c r="M678" s="55"/>
      <c r="N678" s="55"/>
      <c r="O678" s="55"/>
      <c r="P678" s="55"/>
      <c r="Q678" s="55"/>
      <c r="R678" s="2226"/>
      <c r="S678" s="255"/>
    </row>
    <row r="679" spans="1:19">
      <c r="A679" s="255"/>
      <c r="B679" s="55"/>
      <c r="C679" s="55"/>
      <c r="D679" s="55"/>
      <c r="E679" s="55"/>
      <c r="F679" s="55"/>
      <c r="G679" s="55"/>
      <c r="H679" s="55"/>
      <c r="I679" s="55"/>
      <c r="J679" s="55"/>
      <c r="K679" s="55"/>
      <c r="L679" s="55"/>
      <c r="M679" s="55"/>
      <c r="N679" s="55"/>
      <c r="O679" s="55"/>
      <c r="P679" s="55"/>
      <c r="Q679" s="55"/>
      <c r="R679" s="2226"/>
      <c r="S679" s="255"/>
    </row>
    <row r="680" spans="1:19">
      <c r="A680" s="255"/>
      <c r="B680" s="55"/>
      <c r="C680" s="55"/>
      <c r="D680" s="55"/>
      <c r="E680" s="55"/>
      <c r="F680" s="55"/>
      <c r="G680" s="55"/>
      <c r="H680" s="55"/>
      <c r="I680" s="55"/>
      <c r="J680" s="55"/>
      <c r="K680" s="55"/>
      <c r="L680" s="55"/>
      <c r="M680" s="55"/>
      <c r="N680" s="55"/>
      <c r="O680" s="55"/>
      <c r="P680" s="55"/>
      <c r="Q680" s="55"/>
      <c r="R680" s="2226"/>
      <c r="S680" s="255"/>
    </row>
    <row r="681" spans="1:19">
      <c r="A681" s="255"/>
      <c r="B681" s="55"/>
      <c r="C681" s="55"/>
      <c r="D681" s="55"/>
      <c r="E681" s="55"/>
      <c r="F681" s="55"/>
      <c r="G681" s="55"/>
      <c r="H681" s="55"/>
      <c r="I681" s="55"/>
      <c r="J681" s="55"/>
      <c r="K681" s="55"/>
      <c r="L681" s="55"/>
      <c r="M681" s="55"/>
      <c r="N681" s="55"/>
      <c r="O681" s="55"/>
      <c r="P681" s="55"/>
      <c r="Q681" s="55"/>
      <c r="R681" s="2226"/>
      <c r="S681" s="255"/>
    </row>
    <row r="682" spans="1:19">
      <c r="A682" s="255"/>
      <c r="B682" s="55"/>
      <c r="C682" s="55"/>
      <c r="D682" s="55"/>
      <c r="E682" s="55"/>
      <c r="F682" s="55"/>
      <c r="G682" s="55"/>
      <c r="H682" s="55"/>
      <c r="I682" s="55"/>
      <c r="J682" s="55"/>
      <c r="K682" s="55"/>
      <c r="L682" s="55"/>
      <c r="M682" s="55"/>
      <c r="N682" s="55"/>
      <c r="O682" s="55"/>
      <c r="P682" s="55"/>
      <c r="Q682" s="55"/>
      <c r="R682" s="2226"/>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2791</v>
      </c>
      <c r="C1" s="3026">
        <f>项目基本情况!D3</f>
        <v>43230</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2822</v>
      </c>
      <c r="C2" s="3027">
        <f>'数据-取费表'!B22</f>
        <v>1.5</v>
      </c>
      <c r="D2" s="3022" t="s">
        <v>2792</v>
      </c>
      <c r="E2" s="3025">
        <f ca="1">INDIRECT("I"&amp;$I$1)/100</f>
        <v>4.7500000000000001E-2</v>
      </c>
      <c r="G2" s="2962"/>
      <c r="H2" s="2962"/>
      <c r="I2" s="2962" t="s">
        <v>2793</v>
      </c>
      <c r="K2" s="2962"/>
      <c r="L2" s="2962"/>
      <c r="M2" s="2962"/>
      <c r="N2" s="2962" t="s">
        <v>2794</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2824</v>
      </c>
      <c r="C3" s="3024">
        <f>'数据-取费表'!B19</f>
        <v>0</v>
      </c>
      <c r="D3" s="3022" t="s">
        <v>2792</v>
      </c>
      <c r="E3" s="3025">
        <f ca="1">INDIRECT("J"&amp;$J$1)/100</f>
        <v>0</v>
      </c>
      <c r="G3" s="2964" t="s">
        <v>2795</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2823</v>
      </c>
      <c r="C4" s="3025">
        <f ca="1">N4/100</f>
        <v>1.4999999999999999E-2</v>
      </c>
      <c r="G4" s="2970" t="s">
        <v>2796</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2797</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2798</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2799</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2800</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2801</v>
      </c>
      <c r="C10" s="2989"/>
      <c r="D10" s="2989"/>
      <c r="E10" s="2989"/>
      <c r="F10" s="2989"/>
      <c r="G10" s="2989"/>
      <c r="H10" s="2989"/>
      <c r="I10" s="2963"/>
      <c r="J10" s="2963"/>
      <c r="K10" s="2989"/>
      <c r="L10" s="2990" t="s">
        <v>2802</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2803</v>
      </c>
      <c r="C11" s="2994" t="s">
        <v>2804</v>
      </c>
      <c r="D11" s="2995" t="s">
        <v>2805</v>
      </c>
      <c r="E11" s="2996"/>
      <c r="F11" s="2995" t="s">
        <v>2806</v>
      </c>
      <c r="G11" s="2997"/>
      <c r="H11" s="2996"/>
      <c r="I11" s="2995" t="s">
        <v>2807</v>
      </c>
      <c r="J11" s="2996"/>
      <c r="K11" s="2992"/>
      <c r="L11" s="2993" t="s">
        <v>2803</v>
      </c>
      <c r="M11" s="2994" t="s">
        <v>2804</v>
      </c>
      <c r="N11" s="2993" t="s">
        <v>2808</v>
      </c>
      <c r="O11" s="2995" t="s">
        <v>2809</v>
      </c>
      <c r="P11" s="2997"/>
      <c r="Q11" s="2997"/>
      <c r="R11" s="2997"/>
      <c r="S11" s="2997"/>
      <c r="T11" s="2996"/>
      <c r="U11" s="2995" t="s">
        <v>2810</v>
      </c>
      <c r="V11" s="2997"/>
      <c r="W11" s="2996"/>
      <c r="X11" s="2993" t="s">
        <v>2811</v>
      </c>
      <c r="Y11" s="2993" t="s">
        <v>2812</v>
      </c>
      <c r="Z11" s="2993" t="s">
        <v>2813</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2814</v>
      </c>
      <c r="E12" s="3002" t="s">
        <v>2815</v>
      </c>
      <c r="F12" s="3002" t="s">
        <v>2816</v>
      </c>
      <c r="G12" s="3002" t="s">
        <v>2817</v>
      </c>
      <c r="H12" s="3002" t="s">
        <v>2799</v>
      </c>
      <c r="I12" s="3003" t="s">
        <v>2818</v>
      </c>
      <c r="J12" s="3003" t="s">
        <v>2818</v>
      </c>
      <c r="K12" s="2999"/>
      <c r="L12" s="3000"/>
      <c r="M12" s="3001"/>
      <c r="N12" s="3000"/>
      <c r="O12" s="3003" t="s">
        <v>2819</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2820</v>
      </c>
      <c r="C13" s="3007">
        <v>42301</v>
      </c>
      <c r="D13" s="3008">
        <v>4.3499999999999996</v>
      </c>
      <c r="E13" s="3008">
        <v>4.3499999999999996</v>
      </c>
      <c r="F13" s="3008">
        <v>4.75</v>
      </c>
      <c r="G13" s="3008">
        <v>4.75</v>
      </c>
      <c r="H13" s="3008">
        <v>4.9000000000000004</v>
      </c>
      <c r="I13" s="3008">
        <v>2.75</v>
      </c>
      <c r="J13" s="3008">
        <v>3.25</v>
      </c>
      <c r="K13" s="3005"/>
      <c r="L13" s="3006" t="s">
        <v>2820</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2821</v>
      </c>
      <c r="Y42" s="3012" t="s">
        <v>2821</v>
      </c>
      <c r="Z42" s="3012" t="s">
        <v>2821</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2821</v>
      </c>
      <c r="Y43" s="3012" t="s">
        <v>2821</v>
      </c>
      <c r="Z43" s="3012" t="s">
        <v>2821</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2821</v>
      </c>
      <c r="Y44" s="3012" t="s">
        <v>2821</v>
      </c>
      <c r="Z44" s="3012" t="s">
        <v>2821</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2821</v>
      </c>
      <c r="Y45" s="3012" t="s">
        <v>2821</v>
      </c>
      <c r="Z45" s="3012" t="s">
        <v>2821</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2821</v>
      </c>
      <c r="Y46" s="3012" t="s">
        <v>2821</v>
      </c>
      <c r="Z46" s="3012" t="s">
        <v>2821</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2821</v>
      </c>
      <c r="Y47" s="3012" t="s">
        <v>2821</v>
      </c>
      <c r="Z47" s="3012" t="s">
        <v>2821</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2821</v>
      </c>
      <c r="Y48" s="3012" t="s">
        <v>2821</v>
      </c>
      <c r="Z48" s="3012" t="s">
        <v>2821</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2821</v>
      </c>
      <c r="Y49" s="3012" t="s">
        <v>2821</v>
      </c>
      <c r="Z49" s="3012" t="s">
        <v>2821</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2821</v>
      </c>
      <c r="Y50" s="3012" t="s">
        <v>2821</v>
      </c>
      <c r="Z50" s="3012" t="s">
        <v>2821</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2821</v>
      </c>
      <c r="V51" s="3012" t="s">
        <v>2821</v>
      </c>
      <c r="W51" s="3012" t="s">
        <v>2821</v>
      </c>
      <c r="X51" s="3012" t="s">
        <v>2821</v>
      </c>
      <c r="Y51" s="3012" t="s">
        <v>2821</v>
      </c>
      <c r="Z51" s="3012" t="s">
        <v>2821</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2821</v>
      </c>
      <c r="J55" s="3012" t="s">
        <v>2821</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
  <sheetViews>
    <sheetView topLeftCell="A82" workbookViewId="0">
      <selection activeCell="I31" sqref="I31"/>
    </sheetView>
  </sheetViews>
  <sheetFormatPr defaultRowHeight="13.5"/>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
  <sheetViews>
    <sheetView workbookViewId="0">
      <selection activeCell="Q15" sqref="Q15"/>
    </sheetView>
  </sheetViews>
  <sheetFormatPr defaultRowHeight="13.5"/>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dimension ref="A1"/>
  <sheetViews>
    <sheetView topLeftCell="A127" workbookViewId="0">
      <selection activeCell="P155" sqref="P155"/>
    </sheetView>
  </sheetViews>
  <sheetFormatPr defaultRowHeight="13.5"/>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dimension ref="A1"/>
  <sheetViews>
    <sheetView workbookViewId="0">
      <selection activeCell="M29" sqref="M29"/>
    </sheetView>
  </sheetViews>
  <sheetFormatPr defaultRowHeight="13.5"/>
  <sheetData/>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1"/>
  <sheetViews>
    <sheetView workbookViewId="0">
      <selection activeCell="N25" sqref="N25"/>
    </sheetView>
  </sheetViews>
  <sheetFormatPr defaultRowHeight="13.5"/>
  <sheetData>
    <row r="1" spans="1:1">
      <c r="A1" t="s">
        <v>3113</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7" t="s">
        <v>2041</v>
      </c>
      <c r="B1" s="3267"/>
      <c r="C1" s="3267"/>
      <c r="D1" s="3267"/>
      <c r="E1" s="3267"/>
      <c r="F1" s="3267"/>
      <c r="G1" s="3267"/>
      <c r="H1" s="3267"/>
      <c r="I1" s="3267"/>
      <c r="J1" s="3267"/>
      <c r="K1" s="3267"/>
      <c r="L1" s="3267"/>
      <c r="M1" s="3267"/>
      <c r="N1" s="3267"/>
      <c r="O1" s="3267"/>
      <c r="P1" s="3267"/>
      <c r="Q1" s="3267"/>
      <c r="R1" s="3267"/>
    </row>
    <row r="2" spans="1:18">
      <c r="A2" s="1807" t="s">
        <v>2043</v>
      </c>
      <c r="B2" s="1807"/>
      <c r="C2" s="1807"/>
      <c r="D2" s="1807"/>
      <c r="E2" s="1807"/>
      <c r="F2" s="1807"/>
      <c r="G2" s="1807"/>
      <c r="H2" s="1807"/>
      <c r="I2" s="1808"/>
      <c r="J2" s="1808"/>
      <c r="K2" s="1809" t="str">
        <f>"估价期日："&amp;TEXT(项目基本情况!D3,"yyyy年m月d日;;")</f>
        <v>估价期日：2018年5月10日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68" t="s">
        <v>2032</v>
      </c>
      <c r="B3" s="3268" t="s">
        <v>2735</v>
      </c>
      <c r="C3" s="3269" t="s">
        <v>2033</v>
      </c>
      <c r="D3" s="3268" t="s">
        <v>2739</v>
      </c>
      <c r="E3" s="3271" t="s">
        <v>2034</v>
      </c>
      <c r="F3" s="3271"/>
      <c r="G3" s="3271"/>
      <c r="H3" s="3271" t="s">
        <v>2035</v>
      </c>
      <c r="I3" s="3271"/>
      <c r="J3" s="3271"/>
      <c r="K3" s="3269" t="s">
        <v>2036</v>
      </c>
      <c r="L3" s="3269" t="s">
        <v>2037</v>
      </c>
      <c r="M3" s="3268" t="s">
        <v>2736</v>
      </c>
      <c r="N3" s="3270" t="str">
        <f>"（分摊）"&amp;项目基本情况!B16&amp;"国有建设用地使用权面积/㎡"</f>
        <v>（分摊）出让国有建设用地使用权面积/㎡</v>
      </c>
      <c r="O3" s="3268" t="s">
        <v>2066</v>
      </c>
      <c r="P3" s="3269" t="s">
        <v>2046</v>
      </c>
      <c r="Q3" s="3269" t="s">
        <v>2067</v>
      </c>
      <c r="R3" s="3269" t="s">
        <v>2038</v>
      </c>
    </row>
    <row r="4" spans="1:18" ht="36.75" customHeight="1">
      <c r="A4" s="3268"/>
      <c r="B4" s="3268"/>
      <c r="C4" s="3269"/>
      <c r="D4" s="3268"/>
      <c r="E4" s="2671" t="s">
        <v>2045</v>
      </c>
      <c r="F4" s="2671" t="s">
        <v>2748</v>
      </c>
      <c r="G4" s="2671" t="s">
        <v>2039</v>
      </c>
      <c r="H4" s="2671" t="s">
        <v>2040</v>
      </c>
      <c r="I4" s="2671" t="s">
        <v>2749</v>
      </c>
      <c r="J4" s="2671" t="s">
        <v>2039</v>
      </c>
      <c r="K4" s="3269"/>
      <c r="L4" s="3269"/>
      <c r="M4" s="3268"/>
      <c r="N4" s="3270"/>
      <c r="O4" s="3268"/>
      <c r="P4" s="3269"/>
      <c r="Q4" s="3269"/>
      <c r="R4" s="3269"/>
    </row>
    <row r="5" spans="1:18" ht="135" customHeight="1">
      <c r="A5" s="1943" t="s">
        <v>2659</v>
      </c>
      <c r="B5" s="2889" t="s">
        <v>2657</v>
      </c>
      <c r="C5" s="2670">
        <v>22</v>
      </c>
      <c r="D5" s="2669" t="s">
        <v>2658</v>
      </c>
      <c r="E5" s="1810">
        <f>项目基本情况!B12</f>
        <v>0</v>
      </c>
      <c r="F5" s="2669">
        <v>258</v>
      </c>
      <c r="G5" s="1810">
        <f>项目基本情况!B13</f>
        <v>0</v>
      </c>
      <c r="H5" s="2669">
        <v>1.5</v>
      </c>
      <c r="I5" s="2669">
        <v>1.5</v>
      </c>
      <c r="J5" s="2669">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2079.0700000000002</v>
      </c>
      <c r="O5" s="1810">
        <f>项目基本情况!C21</f>
        <v>10000</v>
      </c>
      <c r="P5" s="1810">
        <f ca="1">结果表!E42</f>
        <v>160504</v>
      </c>
      <c r="Q5" s="1810">
        <f ca="1">结果表!D42</f>
        <v>33370</v>
      </c>
      <c r="R5" s="1811">
        <f ca="1">结果表!C42</f>
        <v>33370</v>
      </c>
    </row>
    <row r="6" spans="1:18">
      <c r="A6" s="3272" t="str">
        <f>IF(项目基本情况!B9="市场价格","——","抵押价格")</f>
        <v>——</v>
      </c>
      <c r="B6" s="3273"/>
      <c r="C6" s="3273"/>
      <c r="D6" s="3273"/>
      <c r="E6" s="3273"/>
      <c r="F6" s="3273"/>
      <c r="G6" s="3273"/>
      <c r="H6" s="3273"/>
      <c r="I6" s="3273"/>
      <c r="J6" s="3273"/>
      <c r="K6" s="3273"/>
      <c r="L6" s="3273"/>
      <c r="M6" s="3273"/>
      <c r="N6" s="3273"/>
      <c r="O6" s="3273"/>
      <c r="P6" s="3273"/>
      <c r="Q6" s="3274"/>
      <c r="R6" s="1812" t="str">
        <f>结果表!O39</f>
        <v>——</v>
      </c>
    </row>
    <row r="7" spans="1:18">
      <c r="A7" s="3272" t="str">
        <f>IF(项目基本情况!B9="市场价格","——",IF(项目基本情况!E8="已注销及未注销","抵押担保权已注销时的抵押价格","——"))</f>
        <v>——</v>
      </c>
      <c r="B7" s="3273"/>
      <c r="C7" s="3273"/>
      <c r="D7" s="3273"/>
      <c r="E7" s="3273"/>
      <c r="F7" s="3273"/>
      <c r="G7" s="3273"/>
      <c r="H7" s="3273"/>
      <c r="I7" s="3273"/>
      <c r="J7" s="3273"/>
      <c r="K7" s="3273"/>
      <c r="L7" s="3273"/>
      <c r="M7" s="3273"/>
      <c r="N7" s="3273"/>
      <c r="O7" s="3273"/>
      <c r="P7" s="3273"/>
      <c r="Q7" s="3274"/>
      <c r="R7" s="1812" t="str">
        <f>结果表!O40</f>
        <v>——</v>
      </c>
    </row>
    <row r="8" spans="1:18">
      <c r="A8" s="3272" t="str">
        <f>IF(项目基本情况!B9="市场价格","——",项目基本情况!E9)</f>
        <v>——</v>
      </c>
      <c r="B8" s="3273"/>
      <c r="C8" s="3273"/>
      <c r="D8" s="3273"/>
      <c r="E8" s="3273"/>
      <c r="F8" s="3273"/>
      <c r="G8" s="3273"/>
      <c r="H8" s="3273"/>
      <c r="I8" s="3273"/>
      <c r="J8" s="3273"/>
      <c r="K8" s="3273"/>
      <c r="L8" s="3273"/>
      <c r="M8" s="3273"/>
      <c r="N8" s="3273"/>
      <c r="O8" s="3273"/>
      <c r="P8" s="3273"/>
      <c r="Q8" s="3274"/>
      <c r="R8" s="1812" t="str">
        <f>结果表!O41</f>
        <v>——</v>
      </c>
    </row>
    <row r="9" spans="1:18">
      <c r="A9" s="1813" t="s">
        <v>2044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76" t="s">
        <v>2068</v>
      </c>
      <c r="B1" s="3276"/>
      <c r="C1" s="3276"/>
      <c r="D1" s="3276"/>
    </row>
    <row r="2" spans="1:4" ht="47.25" customHeight="1">
      <c r="A2" s="3277" t="str">
        <f>"1.权利限制："&amp;项目基本情况!L24&amp;"未设定租赁等其他他项权利。"</f>
        <v>1.权利限制：根据估价对象《不动产权证书》原件、《国有土地使用权》复印件，截至估价期日，估价对象抵押权未见登记。未设定租赁等其他他项权利。</v>
      </c>
      <c r="B2" s="3277"/>
      <c r="C2" s="3277"/>
      <c r="D2" s="3277"/>
    </row>
    <row r="3" spans="1:4" ht="48" customHeight="1">
      <c r="A3" s="327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6"/>
      <c r="C3" s="3276"/>
      <c r="D3" s="3276"/>
    </row>
    <row r="4" spans="1:4" ht="36.75" customHeight="1">
      <c r="A4" s="3276" t="str">
        <f>"3.估价规划限制条件：详见"&amp;项目基本情况!E21&amp;"。"</f>
        <v>3.估价规划限制条件：详见《建设工程规划许可证》[]、《出让合同》[]。</v>
      </c>
      <c r="B4" s="3276"/>
      <c r="C4" s="3276"/>
      <c r="D4" s="3276"/>
    </row>
    <row r="5" spans="1:4">
      <c r="A5" s="3275" t="s">
        <v>2069</v>
      </c>
      <c r="B5" s="3275"/>
      <c r="C5" s="3275"/>
      <c r="D5" s="3275"/>
    </row>
    <row r="6" spans="1:4">
      <c r="A6" s="3276" t="s">
        <v>2047</v>
      </c>
      <c r="B6" s="3276"/>
      <c r="C6" s="3276"/>
      <c r="D6" s="3276"/>
    </row>
    <row r="7" spans="1:4" ht="33" customHeight="1">
      <c r="A7" s="3276" t="s">
        <v>2579</v>
      </c>
      <c r="B7" s="3276"/>
      <c r="C7" s="3276"/>
      <c r="D7" s="3276"/>
    </row>
    <row r="8" spans="1:4" ht="32.25" customHeight="1">
      <c r="A8" s="32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76"/>
      <c r="C8" s="3276"/>
      <c r="D8" s="3276"/>
    </row>
    <row r="9" spans="1:4" ht="33.75" customHeight="1">
      <c r="A9" s="3276" t="str">
        <f>IF(项目基本情况!B8="抵押","3.抵押双方在办理抵押登记手续时，应使用本公司出具的正式《土地估价报告》，特提请报告使用者注意。","——")</f>
        <v>——</v>
      </c>
      <c r="B9" s="3276"/>
      <c r="C9" s="3276"/>
      <c r="D9" s="3276"/>
    </row>
    <row r="10" spans="1:4">
      <c r="A10" s="3276" t="str">
        <f>IF(项目基本情况!B8="抵押","4.估价师所知悉的法定优先受偿款情况为：","——")</f>
        <v>——</v>
      </c>
      <c r="B10" s="3276"/>
      <c r="C10" s="3276"/>
      <c r="D10" s="3276"/>
    </row>
    <row r="11" spans="1:4" ht="37.5" customHeight="1">
      <c r="A11" s="3278" t="str">
        <f>IF(项目基本情况!B8="抵押","（1）"&amp;CONCATENATE(项目基本情况!L24,项目基本情况!L25,项目基本情况!L26),"——")</f>
        <v>——</v>
      </c>
      <c r="B11" s="3278"/>
      <c r="C11" s="3278"/>
      <c r="D11" s="3278"/>
    </row>
    <row r="12" spans="1:4" ht="168" customHeight="1">
      <c r="A12" s="3275" t="s">
        <v>2071</v>
      </c>
      <c r="B12" s="3275"/>
      <c r="C12" s="3275"/>
      <c r="D12" s="3275"/>
    </row>
    <row r="13" spans="1:4">
      <c r="A13" s="3279" t="s">
        <v>2750</v>
      </c>
      <c r="B13" s="3279"/>
      <c r="C13" s="3279"/>
      <c r="D13" s="3279"/>
    </row>
    <row r="14" spans="1:4">
      <c r="A14" s="3278" t="str">
        <f>IF(项目基本情况!B8="抵押","综上，"&amp;结果表!K47,"——")</f>
        <v>——</v>
      </c>
      <c r="B14" s="3278"/>
      <c r="C14" s="3278"/>
      <c r="D14" s="3278"/>
    </row>
    <row r="15" spans="1:4" ht="58.5" customHeight="1">
      <c r="A15" s="32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6"/>
      <c r="C15" s="3276"/>
      <c r="D15" s="3276"/>
    </row>
    <row r="16" spans="1:4" ht="70.5" customHeight="1">
      <c r="A16" s="32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6"/>
      <c r="C16" s="3276"/>
      <c r="D16" s="3276"/>
    </row>
    <row r="17" spans="1:4">
      <c r="A17" s="3276" t="s">
        <v>2706</v>
      </c>
      <c r="B17" s="3276"/>
      <c r="C17" s="3276"/>
      <c r="D17" s="3276"/>
    </row>
    <row r="18" spans="1:4">
      <c r="A18" s="3276" t="s">
        <v>2698</v>
      </c>
      <c r="B18" s="3276"/>
      <c r="C18" s="3276"/>
      <c r="D18" s="3276"/>
    </row>
    <row r="19" spans="1:4">
      <c r="A19" s="2890" t="s">
        <v>2699</v>
      </c>
      <c r="B19" s="2890" t="s">
        <v>2700</v>
      </c>
      <c r="C19" s="2890" t="s">
        <v>2701</v>
      </c>
      <c r="D19" s="2890" t="s">
        <v>2702</v>
      </c>
    </row>
    <row r="20" spans="1:4">
      <c r="A20" s="2890" t="str">
        <f>项目基本情况!B4</f>
        <v>陈颖</v>
      </c>
      <c r="B20" s="2890">
        <f ca="1">项目基本情况!C4</f>
        <v>2004110096</v>
      </c>
      <c r="C20" s="2892"/>
      <c r="D20" s="1800" t="s">
        <v>2707</v>
      </c>
    </row>
    <row r="21" spans="1:4">
      <c r="A21" s="2890" t="str">
        <f>项目基本情况!D4</f>
        <v>杨红英</v>
      </c>
      <c r="B21" s="2890">
        <f>项目基本情况!E4</f>
        <v>2004110128</v>
      </c>
      <c r="C21" s="2892"/>
      <c r="D21" s="1800" t="s">
        <v>2708</v>
      </c>
    </row>
    <row r="23" spans="1:4">
      <c r="A23" s="3276" t="s">
        <v>2703</v>
      </c>
      <c r="B23" s="3276"/>
      <c r="C23" s="3276"/>
      <c r="D23" s="3276"/>
    </row>
    <row r="24" spans="1:4">
      <c r="A24" s="2890" t="s">
        <v>2699</v>
      </c>
      <c r="B24" s="2890" t="s">
        <v>2704</v>
      </c>
      <c r="C24" s="2890" t="s">
        <v>2701</v>
      </c>
      <c r="D24" s="2890" t="s">
        <v>2702</v>
      </c>
    </row>
    <row r="25" spans="1:4">
      <c r="A25" s="2893" t="s">
        <v>2705</v>
      </c>
      <c r="B25" s="2890" t="s">
        <v>952</v>
      </c>
      <c r="C25" s="2892"/>
      <c r="D25" s="1800" t="s">
        <v>2708</v>
      </c>
    </row>
    <row r="29" spans="1:4">
      <c r="D29" s="2891" t="s">
        <v>2042</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872</v>
      </c>
    </row>
    <row r="13" spans="1:7">
      <c r="A13" s="1169" t="s">
        <v>52</v>
      </c>
    </row>
    <row r="15" spans="1:7" ht="14.25">
      <c r="A15" s="3287" t="s">
        <v>53</v>
      </c>
      <c r="B15" s="3288" t="s">
        <v>846</v>
      </c>
      <c r="C15" s="3284"/>
    </row>
    <row r="16" spans="1:7" ht="14.25">
      <c r="A16" s="3287"/>
      <c r="B16" s="3285" t="s">
        <v>54</v>
      </c>
      <c r="C16" s="1170" t="s">
        <v>53</v>
      </c>
    </row>
    <row r="17" spans="1:3" ht="14.25">
      <c r="A17" s="3287"/>
      <c r="B17" s="3285"/>
      <c r="C17" s="1170" t="s">
        <v>55</v>
      </c>
    </row>
    <row r="18" spans="1:3" ht="14.25">
      <c r="A18" s="3287"/>
      <c r="B18" s="3285"/>
      <c r="C18" s="1170" t="s">
        <v>56</v>
      </c>
    </row>
    <row r="19" spans="1:3" ht="14.25">
      <c r="A19" s="3287"/>
      <c r="B19" s="3283" t="s">
        <v>57</v>
      </c>
      <c r="C19" s="3284"/>
    </row>
    <row r="20" spans="1:3" ht="14.25">
      <c r="A20" s="1171" t="s">
        <v>58</v>
      </c>
      <c r="B20" s="1172"/>
      <c r="C20" s="1173"/>
    </row>
    <row r="21" spans="1:3" ht="14.25">
      <c r="A21" s="3286" t="s">
        <v>59</v>
      </c>
      <c r="B21" s="3283" t="s">
        <v>60</v>
      </c>
      <c r="C21" s="3284"/>
    </row>
    <row r="22" spans="1:3" ht="14.25">
      <c r="A22" s="3286"/>
      <c r="B22" s="3283" t="s">
        <v>61</v>
      </c>
      <c r="C22" s="3284"/>
    </row>
    <row r="23" spans="1:3" ht="14.25">
      <c r="A23" s="3286"/>
      <c r="B23" s="3283" t="s">
        <v>62</v>
      </c>
      <c r="C23" s="3284"/>
    </row>
    <row r="24" spans="1:3" ht="14.25">
      <c r="A24" s="3286"/>
      <c r="B24" s="3289" t="s">
        <v>63</v>
      </c>
      <c r="C24" s="1174" t="s">
        <v>837</v>
      </c>
    </row>
    <row r="25" spans="1:3" ht="14.25">
      <c r="A25" s="3286"/>
      <c r="B25" s="3290"/>
      <c r="C25" s="1174" t="s">
        <v>838</v>
      </c>
    </row>
    <row r="26" spans="1:3" ht="14.25">
      <c r="A26" s="3286"/>
      <c r="B26" s="3290"/>
      <c r="C26" s="1174" t="s">
        <v>839</v>
      </c>
    </row>
    <row r="27" spans="1:3" ht="14.25">
      <c r="A27" s="3286"/>
      <c r="B27" s="3290"/>
      <c r="C27" s="1174" t="s">
        <v>840</v>
      </c>
    </row>
    <row r="28" spans="1:3" ht="14.25">
      <c r="A28" s="3286"/>
      <c r="B28" s="3290"/>
      <c r="C28" s="1174" t="s">
        <v>841</v>
      </c>
    </row>
    <row r="29" spans="1:3" ht="14.25">
      <c r="A29" s="3286"/>
      <c r="B29" s="3290"/>
      <c r="C29" s="1174" t="s">
        <v>842</v>
      </c>
    </row>
    <row r="30" spans="1:3" ht="14.25">
      <c r="A30" s="3286"/>
      <c r="B30" s="3290"/>
      <c r="C30" s="1174" t="s">
        <v>843</v>
      </c>
    </row>
    <row r="31" spans="1:3" ht="14.25">
      <c r="A31" s="3286"/>
      <c r="B31" s="3290"/>
      <c r="C31" s="1174" t="s">
        <v>844</v>
      </c>
    </row>
    <row r="32" spans="1:3" ht="14.25">
      <c r="A32" s="3286"/>
      <c r="B32" s="3290"/>
      <c r="C32" s="1174" t="s">
        <v>1647</v>
      </c>
    </row>
    <row r="33" spans="1:3" ht="14.25">
      <c r="A33" s="3286"/>
      <c r="B33" s="3280" t="s">
        <v>1653</v>
      </c>
      <c r="C33" s="1174" t="s">
        <v>1648</v>
      </c>
    </row>
    <row r="34" spans="1:3" ht="14.25">
      <c r="A34" s="3286"/>
      <c r="B34" s="3281"/>
      <c r="C34" s="1179" t="s">
        <v>1649</v>
      </c>
    </row>
    <row r="35" spans="1:3" ht="14.25">
      <c r="A35" s="3286"/>
      <c r="B35" s="3281"/>
      <c r="C35" s="1180" t="s">
        <v>1650</v>
      </c>
    </row>
    <row r="36" spans="1:3" ht="14.25">
      <c r="A36" s="3286"/>
      <c r="B36" s="3281"/>
      <c r="C36" s="1180" t="s">
        <v>1651</v>
      </c>
    </row>
    <row r="37" spans="1:3" ht="14.25">
      <c r="A37" s="3286"/>
      <c r="B37" s="3282"/>
      <c r="C37" s="1181" t="s">
        <v>1652</v>
      </c>
    </row>
    <row r="38" spans="1:3">
      <c r="A38" s="1175" t="s">
        <v>845</v>
      </c>
    </row>
    <row r="41" spans="1:3">
      <c r="A41" s="1175" t="s">
        <v>68</v>
      </c>
    </row>
    <row r="42" spans="1:3" ht="14.25">
      <c r="A42" s="1176" t="s">
        <v>853</v>
      </c>
    </row>
    <row r="43" spans="1:3" ht="14.25">
      <c r="A43" s="1177" t="s">
        <v>69</v>
      </c>
    </row>
    <row r="44" spans="1:3" ht="14.25">
      <c r="A44" s="1176" t="s">
        <v>852</v>
      </c>
    </row>
    <row r="45" spans="1:3" ht="14.25">
      <c r="A45" s="1178" t="s">
        <v>854</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E6" sqref="E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6">
        <f ca="1">TODAY()</f>
        <v>43306</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28">
        <v>43849</v>
      </c>
      <c r="D4" s="2343" t="s">
        <v>1915</v>
      </c>
      <c r="E4" s="2343">
        <f ca="1">IF(F4&lt;B2,"已过期",96010014)</f>
        <v>96010014</v>
      </c>
      <c r="F4" s="3029">
        <v>47118</v>
      </c>
    </row>
    <row r="5" spans="1:6" ht="20.25" customHeight="1">
      <c r="A5" s="2343" t="s">
        <v>1916</v>
      </c>
      <c r="B5" s="2343">
        <f ca="1">IF(C5&lt;B2,"已过期",1119970074)</f>
        <v>1119970074</v>
      </c>
      <c r="C5" s="3028">
        <v>43849</v>
      </c>
      <c r="D5" s="2343" t="s">
        <v>1916</v>
      </c>
      <c r="E5" s="2343">
        <f ca="1">IF(F5&lt;B2,"已过期",2002110027)</f>
        <v>2002110027</v>
      </c>
      <c r="F5" s="3029">
        <v>46752</v>
      </c>
    </row>
    <row r="6" spans="1:6" ht="20.25" customHeight="1">
      <c r="A6" s="2343" t="s">
        <v>1917</v>
      </c>
      <c r="B6" s="2343">
        <f ca="1">IF(C6&lt;B2,"已过期",1119970111)</f>
        <v>1119970111</v>
      </c>
      <c r="C6" s="3028">
        <v>43849</v>
      </c>
      <c r="D6" s="2343" t="s">
        <v>1917</v>
      </c>
      <c r="E6" s="2343">
        <f ca="1">IF(F6&lt;B2,"已过期",94010078)</f>
        <v>94010078</v>
      </c>
      <c r="F6" s="3029">
        <v>46387</v>
      </c>
    </row>
    <row r="7" spans="1:6" ht="20.25" customHeight="1">
      <c r="A7" s="2343" t="s">
        <v>1918</v>
      </c>
      <c r="B7" s="2343">
        <f ca="1">IF(C7&lt;B2,"已过期",1120050019)</f>
        <v>1120050019</v>
      </c>
      <c r="C7" s="3028">
        <v>43359</v>
      </c>
      <c r="D7" s="2343" t="s">
        <v>1918</v>
      </c>
      <c r="E7" s="2343">
        <f ca="1">IF(F7&lt;B2,"已过期",2002110030)</f>
        <v>2002110030</v>
      </c>
      <c r="F7" s="3029">
        <v>46387</v>
      </c>
    </row>
    <row r="8" spans="1:6" ht="20.25" customHeight="1">
      <c r="A8" s="2343" t="s">
        <v>1919</v>
      </c>
      <c r="B8" s="2343">
        <f ca="1">IF(C8&lt;B2,"已过期",1120000080)</f>
        <v>1120000080</v>
      </c>
      <c r="C8" s="3028">
        <v>43849</v>
      </c>
      <c r="D8" s="2343" t="s">
        <v>1919</v>
      </c>
      <c r="E8" s="2343">
        <f ca="1">IF(F8&lt;B2,"已过期",2000110082)</f>
        <v>2000110082</v>
      </c>
      <c r="F8" s="3029">
        <v>46387</v>
      </c>
    </row>
    <row r="9" spans="1:6" ht="20.25" customHeight="1">
      <c r="A9" s="2343" t="s">
        <v>1920</v>
      </c>
      <c r="B9" s="2343">
        <f ca="1">IF(C9&lt;B2,"已过期",1419970001)</f>
        <v>1419970001</v>
      </c>
      <c r="C9" s="3028">
        <v>43867</v>
      </c>
      <c r="D9" s="2343" t="s">
        <v>1920</v>
      </c>
      <c r="E9" s="2343">
        <f ca="1">IF(F9&lt;B2,"已过期",2002110125)</f>
        <v>2002110125</v>
      </c>
      <c r="F9" s="3029">
        <v>47118</v>
      </c>
    </row>
    <row r="10" spans="1:6" ht="20.25" customHeight="1">
      <c r="A10" s="2343" t="s">
        <v>1921</v>
      </c>
      <c r="B10" s="2343">
        <f ca="1">IF(C10&lt;B2,"已过期",1120060040)</f>
        <v>1120060040</v>
      </c>
      <c r="C10" s="3028">
        <v>43483</v>
      </c>
      <c r="D10" s="2343" t="s">
        <v>1921</v>
      </c>
      <c r="E10" s="2343">
        <f ca="1">IF(F10&lt;B2,"已过期",2004110096)</f>
        <v>2004110096</v>
      </c>
      <c r="F10" s="3029">
        <v>47118</v>
      </c>
    </row>
    <row r="11" spans="1:6" ht="20.25" customHeight="1">
      <c r="A11" s="2343" t="s">
        <v>1922</v>
      </c>
      <c r="B11" s="2343">
        <f ca="1">IF(C11&lt;B2,"已过期",1120100036)</f>
        <v>1120100036</v>
      </c>
      <c r="C11" s="3028">
        <v>43622</v>
      </c>
      <c r="D11" s="2343" t="s">
        <v>1922</v>
      </c>
      <c r="E11" s="2343">
        <f ca="1">IF(F11&lt;B2,"已过期",2010110070)</f>
        <v>2010110070</v>
      </c>
      <c r="F11" s="3029">
        <v>47907</v>
      </c>
    </row>
    <row r="12" spans="1:6" ht="20.25" customHeight="1">
      <c r="A12" s="2343" t="s">
        <v>2980</v>
      </c>
      <c r="B12" s="2343">
        <v>1120110054</v>
      </c>
      <c r="C12" s="3028">
        <v>43937</v>
      </c>
      <c r="D12" s="2343" t="s">
        <v>2980</v>
      </c>
      <c r="E12" s="2343">
        <v>2008110060</v>
      </c>
      <c r="F12" s="3029">
        <v>47177</v>
      </c>
    </row>
    <row r="13" spans="1:6" ht="20.25" customHeight="1">
      <c r="A13" s="2343" t="s">
        <v>1923</v>
      </c>
      <c r="B13" s="2343">
        <f ca="1">IF(C13&lt;B2,"已过期",1120070131)</f>
        <v>1120070131</v>
      </c>
      <c r="C13" s="3028">
        <v>43814</v>
      </c>
      <c r="D13" s="2343" t="s">
        <v>1923</v>
      </c>
      <c r="E13" s="2343">
        <v>2014110011</v>
      </c>
      <c r="F13" s="3029">
        <v>49302</v>
      </c>
    </row>
    <row r="14" spans="1:6" ht="20.25" customHeight="1">
      <c r="A14" s="2343" t="s">
        <v>1924</v>
      </c>
      <c r="B14" s="2343">
        <f ca="1">IF(C14&lt;B2,"已过期",1120130020)</f>
        <v>1120130020</v>
      </c>
      <c r="C14" s="3028">
        <v>43622</v>
      </c>
      <c r="D14" s="2343"/>
      <c r="E14" s="2343"/>
      <c r="F14" s="2343"/>
    </row>
    <row r="15" spans="1:6" ht="20.25" customHeight="1">
      <c r="A15" s="2343" t="s">
        <v>2578</v>
      </c>
      <c r="B15" s="2343">
        <v>1120070085</v>
      </c>
      <c r="C15" s="3028">
        <v>43814</v>
      </c>
      <c r="D15" s="2343" t="s">
        <v>2578</v>
      </c>
      <c r="E15" s="2343">
        <v>2004110128</v>
      </c>
      <c r="F15" s="3029">
        <v>47118</v>
      </c>
    </row>
    <row r="16" spans="1:6" ht="20.25" customHeight="1">
      <c r="A16" s="2343" t="s">
        <v>1925</v>
      </c>
      <c r="B16" s="2343">
        <f ca="1">IF(C16&lt;B2,"已过期",1120140022)</f>
        <v>1120140022</v>
      </c>
      <c r="C16" s="3028">
        <v>44029</v>
      </c>
      <c r="D16" s="2343" t="s">
        <v>1925</v>
      </c>
      <c r="E16" s="2343">
        <f ca="1">IF(F16&lt;B2,"已过期",2008110059)</f>
        <v>2008110059</v>
      </c>
      <c r="F16" s="3029">
        <v>47177</v>
      </c>
    </row>
    <row r="17" spans="1:7" ht="20.25" customHeight="1">
      <c r="A17" s="2343"/>
      <c r="B17" s="2343"/>
      <c r="C17" s="3028"/>
      <c r="D17" s="2343"/>
      <c r="E17" s="2343"/>
      <c r="F17" s="3029"/>
    </row>
    <row r="18" spans="1:7" ht="20.25" customHeight="1">
      <c r="A18" s="2343"/>
      <c r="B18" s="2343"/>
      <c r="C18" s="3028"/>
      <c r="D18" s="2343"/>
      <c r="E18" s="2343"/>
      <c r="F18" s="3029"/>
    </row>
    <row r="19" spans="1:7" ht="20.25" customHeight="1">
      <c r="A19" s="2343"/>
      <c r="B19" s="2343"/>
      <c r="C19" s="3028"/>
      <c r="D19" s="2343"/>
      <c r="E19" s="2343"/>
      <c r="F19" s="2343"/>
    </row>
    <row r="20" spans="1:7" ht="20.25" customHeight="1">
      <c r="A20" s="2343"/>
      <c r="B20" s="2343"/>
      <c r="C20" s="3028"/>
      <c r="D20" s="2343"/>
      <c r="E20" s="2343"/>
      <c r="F20" s="2343"/>
    </row>
    <row r="21" spans="1:7" ht="20.25" customHeight="1">
      <c r="A21" s="2343"/>
      <c r="B21" s="2343"/>
      <c r="C21" s="3028"/>
      <c r="D21" s="2343" t="s">
        <v>1926</v>
      </c>
      <c r="E21" s="2343">
        <f ca="1">IF(F21&lt;B2,"已过期",2011110090)</f>
        <v>2011110090</v>
      </c>
      <c r="F21" s="3029">
        <v>48302</v>
      </c>
    </row>
    <row r="22" spans="1:7" ht="20.25" customHeight="1">
      <c r="A22" s="2343" t="s">
        <v>1927</v>
      </c>
      <c r="B22" s="2343" t="str">
        <f ca="1">IF(C22&lt;B2,"已过期",1120020033)</f>
        <v>已过期</v>
      </c>
      <c r="C22" s="3028">
        <v>43304</v>
      </c>
      <c r="D22" s="2343" t="s">
        <v>1927</v>
      </c>
      <c r="E22" s="2343">
        <f ca="1">IF(F22&lt;B2,"已过期",2000110137)</f>
        <v>2000110137</v>
      </c>
      <c r="F22" s="3029">
        <v>46387</v>
      </c>
    </row>
    <row r="23" spans="1:7" ht="20.25" customHeight="1">
      <c r="A23" s="2343" t="s">
        <v>1928</v>
      </c>
      <c r="B23" s="2343">
        <f ca="1">IF(C23&lt;B2,"已过期",1120130048)</f>
        <v>1120130048</v>
      </c>
      <c r="C23" s="3028">
        <v>43686</v>
      </c>
      <c r="D23" s="2343"/>
      <c r="E23" s="2343"/>
      <c r="F23" s="2343"/>
    </row>
    <row r="24" spans="1:7" s="2347" customFormat="1" ht="20.25" customHeight="1">
      <c r="A24" s="2345" t="s">
        <v>2056</v>
      </c>
      <c r="B24" s="2345" t="s">
        <v>2056</v>
      </c>
      <c r="C24" s="3028"/>
      <c r="D24" s="3030" t="s">
        <v>2056</v>
      </c>
      <c r="E24" s="2345" t="s">
        <v>2056</v>
      </c>
      <c r="F24" s="2346"/>
    </row>
    <row r="25" spans="1:7" ht="20.25" customHeight="1">
      <c r="A25" s="3291" t="s">
        <v>1929</v>
      </c>
      <c r="B25" s="3291"/>
      <c r="C25" s="3291"/>
      <c r="D25" s="3291"/>
      <c r="E25" s="3291"/>
      <c r="F25" s="3291"/>
      <c r="G25" s="3291"/>
    </row>
    <row r="26" spans="1:7" ht="20.25" customHeight="1">
      <c r="A26" s="3292" t="s">
        <v>1930</v>
      </c>
      <c r="B26" s="3292"/>
      <c r="C26" s="3292"/>
      <c r="D26" s="3292" t="s">
        <v>1931</v>
      </c>
      <c r="E26" s="3292"/>
      <c r="F26" s="3292"/>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5" priority="82">
      <formula>AND($C24-TODAY()&lt;30,TODAY()&lt;$C24)</formula>
    </cfRule>
  </conditionalFormatting>
  <conditionalFormatting sqref="C28">
    <cfRule type="expression" dxfId="184" priority="81">
      <formula>AND($C28-TODAY()&lt;30,TODAY()&lt;$C28)</formula>
    </cfRule>
  </conditionalFormatting>
  <conditionalFormatting sqref="C28 F4">
    <cfRule type="cellIs" dxfId="183" priority="83" stopIfTrue="1" operator="lessThan">
      <formula>$B$2</formula>
    </cfRule>
  </conditionalFormatting>
  <conditionalFormatting sqref="F5">
    <cfRule type="cellIs" dxfId="182" priority="79" stopIfTrue="1" operator="lessThan">
      <formula>$B$2</formula>
    </cfRule>
  </conditionalFormatting>
  <conditionalFormatting sqref="F6 F8 F10">
    <cfRule type="cellIs" dxfId="181" priority="77" stopIfTrue="1" operator="lessThan">
      <formula>$B$2</formula>
    </cfRule>
  </conditionalFormatting>
  <conditionalFormatting sqref="C24:D24">
    <cfRule type="expression" dxfId="180" priority="75">
      <formula>AND($C24-TODAY()&lt;30,TODAY()&lt;$C24)</formula>
    </cfRule>
  </conditionalFormatting>
  <conditionalFormatting sqref="F7 F9 F11 C24:D24">
    <cfRule type="cellIs" dxfId="179" priority="76" stopIfTrue="1" operator="lessThan">
      <formula>$B$2</formula>
    </cfRule>
  </conditionalFormatting>
  <conditionalFormatting sqref="F16">
    <cfRule type="cellIs" dxfId="178" priority="49" stopIfTrue="1" operator="lessThan">
      <formula>$B$2</formula>
    </cfRule>
  </conditionalFormatting>
  <conditionalFormatting sqref="F18">
    <cfRule type="cellIs" dxfId="177" priority="48" stopIfTrue="1" operator="lessThan">
      <formula>$B$2</formula>
    </cfRule>
  </conditionalFormatting>
  <conditionalFormatting sqref="F22">
    <cfRule type="cellIs" dxfId="176" priority="47" stopIfTrue="1" operator="lessThan">
      <formula>$B$2</formula>
    </cfRule>
  </conditionalFormatting>
  <conditionalFormatting sqref="F21">
    <cfRule type="cellIs" dxfId="175" priority="46" stopIfTrue="1" operator="lessThan">
      <formula>$B$2</formula>
    </cfRule>
  </conditionalFormatting>
  <conditionalFormatting sqref="F17">
    <cfRule type="cellIs" dxfId="174" priority="45" stopIfTrue="1" operator="lessThan">
      <formula>$B$2</formula>
    </cfRule>
  </conditionalFormatting>
  <conditionalFormatting sqref="B4:B11 E4:E11 E16:E23 B16:B23 B13:B14 E13:E14">
    <cfRule type="cellIs" dxfId="173" priority="44" stopIfTrue="1" operator="equal">
      <formula>"已过期"</formula>
    </cfRule>
  </conditionalFormatting>
  <conditionalFormatting sqref="F28">
    <cfRule type="cellIs" dxfId="172" priority="41" stopIfTrue="1" operator="lessThan">
      <formula>$B$2</formula>
    </cfRule>
  </conditionalFormatting>
  <conditionalFormatting sqref="F29">
    <cfRule type="cellIs" dxfId="171" priority="39" stopIfTrue="1" operator="lessThan">
      <formula>$B$2</formula>
    </cfRule>
  </conditionalFormatting>
  <conditionalFormatting sqref="F28">
    <cfRule type="expression" dxfId="170" priority="85">
      <formula>AND($E28-TODAY()&lt;30,TODAY()&lt;$E28)</formula>
    </cfRule>
  </conditionalFormatting>
  <conditionalFormatting sqref="F29">
    <cfRule type="expression" dxfId="169" priority="86" stopIfTrue="1">
      <formula>AND($E29-TODAY()&lt;30,TODAY()&lt;$E29)</formula>
    </cfRule>
  </conditionalFormatting>
  <conditionalFormatting sqref="C5">
    <cfRule type="expression" dxfId="168" priority="36">
      <formula>AND($C5-TODAY()&lt;30,TODAY()&lt;$C5)</formula>
    </cfRule>
  </conditionalFormatting>
  <conditionalFormatting sqref="C5">
    <cfRule type="cellIs" dxfId="167" priority="37" stopIfTrue="1" operator="lessThan">
      <formula>$B$2</formula>
    </cfRule>
  </conditionalFormatting>
  <conditionalFormatting sqref="C4:C6">
    <cfRule type="expression" dxfId="166" priority="34">
      <formula>AND($C4-TODAY()&lt;30,TODAY()&lt;$C4)</formula>
    </cfRule>
  </conditionalFormatting>
  <conditionalFormatting sqref="C4:C6">
    <cfRule type="cellIs" dxfId="165" priority="35" stopIfTrue="1" operator="lessThan">
      <formula>$B$2</formula>
    </cfRule>
  </conditionalFormatting>
  <conditionalFormatting sqref="C8:C9">
    <cfRule type="expression" dxfId="164" priority="32">
      <formula>AND($C8-TODAY()&lt;30,TODAY()&lt;$C8)</formula>
    </cfRule>
  </conditionalFormatting>
  <conditionalFormatting sqref="C8:C9">
    <cfRule type="cellIs" dxfId="163" priority="33" stopIfTrue="1" operator="lessThan">
      <formula>$B$2</formula>
    </cfRule>
  </conditionalFormatting>
  <conditionalFormatting sqref="B15 E15">
    <cfRule type="cellIs" dxfId="162" priority="20" stopIfTrue="1" operator="equal">
      <formula>"已过期"</formula>
    </cfRule>
  </conditionalFormatting>
  <conditionalFormatting sqref="F15">
    <cfRule type="cellIs" dxfId="161" priority="17" stopIfTrue="1" operator="lessThan">
      <formula>$B$2</formula>
    </cfRule>
  </conditionalFormatting>
  <conditionalFormatting sqref="C7">
    <cfRule type="expression" dxfId="160" priority="15">
      <formula>AND($C7-TODAY()&lt;30,TODAY()&lt;$C7)</formula>
    </cfRule>
  </conditionalFormatting>
  <conditionalFormatting sqref="C7">
    <cfRule type="cellIs" dxfId="159" priority="16" stopIfTrue="1" operator="lessThan">
      <formula>$B$2</formula>
    </cfRule>
  </conditionalFormatting>
  <conditionalFormatting sqref="C10:C11 C13:C23">
    <cfRule type="expression" dxfId="158" priority="13">
      <formula>AND($C10-TODAY()&lt;30,TODAY()&lt;$C10)</formula>
    </cfRule>
  </conditionalFormatting>
  <conditionalFormatting sqref="C10:C11 C13:C23">
    <cfRule type="cellIs" dxfId="157" priority="14" stopIfTrue="1" operator="lessThan">
      <formula>$B$2</formula>
    </cfRule>
  </conditionalFormatting>
  <conditionalFormatting sqref="F13">
    <cfRule type="cellIs" dxfId="156" priority="12" stopIfTrue="1" operator="lessThan">
      <formula>$B$2</formula>
    </cfRule>
  </conditionalFormatting>
  <conditionalFormatting sqref="F12">
    <cfRule type="cellIs" dxfId="155" priority="4" stopIfTrue="1" operator="lessThan">
      <formula>$B$2</formula>
    </cfRule>
  </conditionalFormatting>
  <conditionalFormatting sqref="B12 E12">
    <cfRule type="cellIs" dxfId="154" priority="3" stopIfTrue="1" operator="equal">
      <formula>"已过期"</formula>
    </cfRule>
  </conditionalFormatting>
  <conditionalFormatting sqref="C12">
    <cfRule type="expression" dxfId="153" priority="1">
      <formula>AND($C12-TODAY()&lt;30,TODAY()&lt;$C12)</formula>
    </cfRule>
  </conditionalFormatting>
  <conditionalFormatting sqref="C12">
    <cfRule type="cellIs" dxfId="15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2549</v>
      </c>
      <c r="R1" s="2604" t="s">
        <v>2543</v>
      </c>
      <c r="S1" s="6" t="s">
        <v>146</v>
      </c>
      <c r="T1" s="7" t="s">
        <v>147</v>
      </c>
      <c r="U1" s="6" t="s">
        <v>148</v>
      </c>
      <c r="V1" s="6" t="s">
        <v>149</v>
      </c>
      <c r="W1" s="1002"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4" t="s">
        <v>880</v>
      </c>
      <c r="Q2" s="9" t="s">
        <v>75</v>
      </c>
      <c r="R2" s="1004" t="s">
        <v>2544</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2545</v>
      </c>
      <c r="S3" s="9" t="s">
        <v>84</v>
      </c>
      <c r="T3" s="9" t="s">
        <v>85</v>
      </c>
      <c r="U3" s="9" t="s">
        <v>84</v>
      </c>
      <c r="V3" s="9" t="s">
        <v>86</v>
      </c>
      <c r="W3" s="9" t="s">
        <v>876</v>
      </c>
    </row>
    <row r="4" spans="1:23">
      <c r="A4" s="8" t="s">
        <v>87</v>
      </c>
      <c r="B4" s="8" t="s">
        <v>152</v>
      </c>
      <c r="C4" s="1550" t="s">
        <v>1712</v>
      </c>
      <c r="D4" s="9" t="s">
        <v>1997</v>
      </c>
      <c r="E4" s="9" t="s">
        <v>88</v>
      </c>
      <c r="F4" s="9" t="s">
        <v>89</v>
      </c>
      <c r="G4" s="9">
        <v>70</v>
      </c>
      <c r="H4" s="9" t="s">
        <v>90</v>
      </c>
      <c r="I4" s="9" t="s">
        <v>91</v>
      </c>
      <c r="K4" s="9" t="s">
        <v>92</v>
      </c>
      <c r="L4" s="9" t="s">
        <v>92</v>
      </c>
      <c r="M4" s="9" t="s">
        <v>92</v>
      </c>
      <c r="N4" s="9" t="s">
        <v>92</v>
      </c>
      <c r="O4" s="9" t="s">
        <v>92</v>
      </c>
      <c r="P4" s="1004" t="s">
        <v>760</v>
      </c>
      <c r="Q4" s="9" t="s">
        <v>92</v>
      </c>
      <c r="R4" s="1004" t="s">
        <v>2546</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4" t="s">
        <v>546</v>
      </c>
      <c r="Q5" s="9" t="s">
        <v>97</v>
      </c>
      <c r="R5" s="1004" t="s">
        <v>2547</v>
      </c>
      <c r="S5" s="9" t="s">
        <v>97</v>
      </c>
      <c r="T5" s="9" t="s">
        <v>98</v>
      </c>
      <c r="U5" s="9" t="s">
        <v>97</v>
      </c>
      <c r="W5" s="9" t="s">
        <v>878</v>
      </c>
    </row>
    <row r="6" spans="1:23">
      <c r="A6" s="8" t="s">
        <v>99</v>
      </c>
      <c r="B6" s="1147" t="s">
        <v>1641</v>
      </c>
      <c r="C6" s="1552" t="s">
        <v>1714</v>
      </c>
      <c r="F6" s="9" t="s">
        <v>71</v>
      </c>
      <c r="H6" s="9" t="s">
        <v>72</v>
      </c>
      <c r="I6" s="9" t="s">
        <v>100</v>
      </c>
      <c r="K6" s="9" t="s">
        <v>101</v>
      </c>
      <c r="L6" s="9" t="s">
        <v>101</v>
      </c>
      <c r="M6" s="9" t="s">
        <v>101</v>
      </c>
      <c r="N6" s="9" t="s">
        <v>101</v>
      </c>
      <c r="O6" s="9" t="s">
        <v>101</v>
      </c>
      <c r="P6" s="1004" t="s">
        <v>881</v>
      </c>
      <c r="Q6" s="9" t="s">
        <v>101</v>
      </c>
      <c r="R6" s="1004" t="s">
        <v>2548</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39" t="s">
        <v>2957</v>
      </c>
      <c r="C18" s="1553"/>
    </row>
    <row r="19" spans="1:3">
      <c r="A19" s="8" t="s">
        <v>120</v>
      </c>
      <c r="B19" s="3139" t="s">
        <v>2965</v>
      </c>
      <c r="C19" s="1553"/>
    </row>
    <row r="20" spans="1:3">
      <c r="A20" s="8" t="s">
        <v>121</v>
      </c>
      <c r="B20" s="8" t="s">
        <v>1642</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5" t="s">
        <v>1945</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293"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10日，在规划利用条件下、设定土地开发程度为红线外“七通”、宗地内场地，设定用途为，剩余土地使用年限为的出让国有建设用地使用权价格。</v>
      </c>
      <c r="D53" s="1767"/>
      <c r="E53" s="1767"/>
    </row>
    <row r="54" spans="1:5">
      <c r="A54" s="3293"/>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93"/>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93"/>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93"/>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2052</v>
      </c>
      <c r="B58" s="1766" t="s">
        <v>2053</v>
      </c>
      <c r="C58" s="11" t="s">
        <v>2054</v>
      </c>
      <c r="D58" s="1317"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132</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结果表二</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出售案例</vt:lpstr>
      <vt:lpstr>地图</vt:lpstr>
      <vt:lpstr>未使用案例</vt:lpstr>
      <vt:lpstr>Sheet1</vt:lpstr>
      <vt:lpstr>Sheet2</vt:lpstr>
      <vt:lpstr>'剩余法-现房'!Print_Area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2018-06-08T02:17:43Z</cp:lastPrinted>
  <dcterms:created xsi:type="dcterms:W3CDTF">2015-07-13T07:17:23Z</dcterms:created>
  <dcterms:modified xsi:type="dcterms:W3CDTF">2018-07-24T21:57:43Z</dcterms:modified>
</cp:coreProperties>
</file>