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48F45ABD-AC57-4411-883A-DEDC6FB049F5}" xr6:coauthVersionLast="47" xr6:coauthVersionMax="47" xr10:uidLastSave="{00000000-0000-0000-0000-000000000000}"/>
  <bookViews>
    <workbookView xWindow="588" yWindow="36" windowWidth="13992" windowHeight="12060" tabRatio="854" firstSheet="22"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8" r:id="rId42"/>
    <sheet name="比较法-商业2" sheetId="82" r:id="rId43"/>
    <sheet name="收益法2" sheetId="83" r:id="rId44"/>
    <sheet name="结果表104" sheetId="89"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50" i="85" l="1"/>
  <c r="F49" i="86"/>
  <c r="B14" i="74"/>
  <c r="C66" i="89"/>
  <c r="C75" i="89" s="1"/>
  <c r="C66" i="88"/>
  <c r="C66" i="9"/>
  <c r="A120" i="89"/>
  <c r="A118" i="89"/>
  <c r="E111" i="89"/>
  <c r="H112" i="89" s="1"/>
  <c r="E109" i="89"/>
  <c r="A124" i="89" s="1"/>
  <c r="E107" i="89"/>
  <c r="A122" i="89" s="1"/>
  <c r="H106" i="89"/>
  <c r="H105" i="89"/>
  <c r="H104" i="89"/>
  <c r="H103" i="89"/>
  <c r="D120" i="89" s="1"/>
  <c r="D101" i="89"/>
  <c r="C101" i="89"/>
  <c r="D93" i="89"/>
  <c r="C91" i="89"/>
  <c r="E90" i="89"/>
  <c r="D89" i="89"/>
  <c r="C89" i="89" s="1"/>
  <c r="C87" i="89" s="1"/>
  <c r="D78" i="89"/>
  <c r="H77" i="89"/>
  <c r="D77" i="89"/>
  <c r="D68" i="89"/>
  <c r="F59" i="89"/>
  <c r="E59" i="89"/>
  <c r="D59" i="89"/>
  <c r="J57" i="89"/>
  <c r="J59" i="89" s="1"/>
  <c r="J61" i="89" s="1"/>
  <c r="N56" i="89"/>
  <c r="M56" i="89"/>
  <c r="K56" i="89"/>
  <c r="J56" i="89"/>
  <c r="F56" i="89"/>
  <c r="O54" i="89" s="1"/>
  <c r="O55" i="89"/>
  <c r="N55" i="89"/>
  <c r="M55" i="89"/>
  <c r="K55" i="89"/>
  <c r="J55" i="89"/>
  <c r="I55" i="89"/>
  <c r="F55" i="89" s="1"/>
  <c r="O53" i="89" s="1"/>
  <c r="N54" i="89"/>
  <c r="F54" i="89"/>
  <c r="N53" i="89"/>
  <c r="F53" i="89"/>
  <c r="O52" i="89"/>
  <c r="N52" i="89"/>
  <c r="F52" i="89"/>
  <c r="R51" i="89"/>
  <c r="K49" i="89"/>
  <c r="F48" i="89"/>
  <c r="E48" i="89"/>
  <c r="M47" i="89"/>
  <c r="F33" i="89"/>
  <c r="D27" i="89"/>
  <c r="L25" i="89"/>
  <c r="K25" i="89"/>
  <c r="M25" i="89" s="1"/>
  <c r="C25" i="89"/>
  <c r="L24" i="89"/>
  <c r="K24" i="89"/>
  <c r="M24" i="89" s="1"/>
  <c r="C24" i="89"/>
  <c r="K23" i="89"/>
  <c r="M19" i="89"/>
  <c r="C118" i="89" s="1"/>
  <c r="L19" i="89"/>
  <c r="M18" i="89"/>
  <c r="B118" i="89" s="1"/>
  <c r="L18" i="89"/>
  <c r="C18" i="89"/>
  <c r="D18" i="89" s="1"/>
  <c r="D17" i="89"/>
  <c r="C17" i="89"/>
  <c r="L4" i="89"/>
  <c r="K4" i="89"/>
  <c r="A2" i="89"/>
  <c r="H1" i="89"/>
  <c r="A120" i="88"/>
  <c r="A118" i="88"/>
  <c r="E111" i="88"/>
  <c r="H112" i="88" s="1"/>
  <c r="E109" i="88"/>
  <c r="A124" i="88" s="1"/>
  <c r="E107" i="88"/>
  <c r="A122" i="88" s="1"/>
  <c r="H106" i="88"/>
  <c r="H105" i="88"/>
  <c r="H104" i="88"/>
  <c r="H103" i="88"/>
  <c r="D120" i="88" s="1"/>
  <c r="D101" i="88"/>
  <c r="C101" i="88"/>
  <c r="D93" i="88"/>
  <c r="C91" i="88"/>
  <c r="E90" i="88"/>
  <c r="D89" i="88"/>
  <c r="C89" i="88" s="1"/>
  <c r="C87" i="88" s="1"/>
  <c r="D78" i="88"/>
  <c r="H77" i="88"/>
  <c r="D77" i="88"/>
  <c r="C75" i="88"/>
  <c r="D68" i="88"/>
  <c r="F59" i="88"/>
  <c r="E59" i="88"/>
  <c r="D59" i="88"/>
  <c r="J57" i="88"/>
  <c r="J59" i="88" s="1"/>
  <c r="J61" i="88" s="1"/>
  <c r="N56" i="88"/>
  <c r="M56" i="88"/>
  <c r="K56" i="88"/>
  <c r="J56" i="88"/>
  <c r="F56" i="88"/>
  <c r="O54" i="88" s="1"/>
  <c r="O55" i="88"/>
  <c r="N55" i="88"/>
  <c r="M55" i="88"/>
  <c r="K55" i="88"/>
  <c r="J55" i="88"/>
  <c r="I55" i="88"/>
  <c r="F55" i="88" s="1"/>
  <c r="O53" i="88" s="1"/>
  <c r="N54" i="88"/>
  <c r="F54" i="88"/>
  <c r="N53" i="88"/>
  <c r="F53" i="88"/>
  <c r="O52" i="88"/>
  <c r="N52" i="88"/>
  <c r="F52" i="88"/>
  <c r="R51" i="88"/>
  <c r="K49" i="88"/>
  <c r="F48" i="88"/>
  <c r="E48" i="88"/>
  <c r="M47" i="88"/>
  <c r="F33" i="88"/>
  <c r="D27" i="88"/>
  <c r="L25" i="88"/>
  <c r="M25" i="88" s="1"/>
  <c r="K25" i="88"/>
  <c r="C25" i="88"/>
  <c r="L24" i="88"/>
  <c r="M24" i="88" s="1"/>
  <c r="K24" i="88"/>
  <c r="C24" i="88"/>
  <c r="K23" i="88"/>
  <c r="M19" i="88"/>
  <c r="C118" i="88" s="1"/>
  <c r="L19" i="88"/>
  <c r="M18" i="88"/>
  <c r="B118" i="88" s="1"/>
  <c r="L18" i="88"/>
  <c r="C18" i="88"/>
  <c r="D18" i="88" s="1"/>
  <c r="D17" i="88"/>
  <c r="C17" i="88"/>
  <c r="L4" i="88"/>
  <c r="K4" i="88"/>
  <c r="A2" i="88"/>
  <c r="H1" i="88"/>
  <c r="C75" i="9"/>
  <c r="E36" i="85"/>
  <c r="E36" i="82"/>
  <c r="Y22" i="1"/>
  <c r="I36" i="33"/>
  <c r="AE23" i="1"/>
  <c r="AB25" i="1"/>
  <c r="AC25" i="1" s="1"/>
  <c r="X25" i="1"/>
  <c r="Y25" i="1" s="1"/>
  <c r="AE25" i="1" s="1"/>
  <c r="AE26" i="1" s="1"/>
  <c r="X22" i="1" s="1"/>
  <c r="U8" i="1" s="1"/>
  <c r="AD8" i="1"/>
  <c r="N18" i="1"/>
  <c r="V22" i="1"/>
  <c r="T21" i="1"/>
  <c r="V21" i="1" s="1"/>
  <c r="T22" i="1"/>
  <c r="T20" i="1"/>
  <c r="V20" i="1" s="1"/>
  <c r="E104" i="33"/>
  <c r="F104" i="33" s="1"/>
  <c r="G104" i="33" s="1"/>
  <c r="H104" i="33" s="1"/>
  <c r="D104" i="33"/>
  <c r="D104" i="85"/>
  <c r="E104" i="85" s="1"/>
  <c r="F104" i="85" s="1"/>
  <c r="G104" i="85" s="1"/>
  <c r="H104" i="85" s="1"/>
  <c r="L8" i="1"/>
  <c r="L7" i="1"/>
  <c r="C20" i="88"/>
  <c r="C19" i="88"/>
  <c r="C92" i="89" l="1"/>
  <c r="C94" i="89"/>
  <c r="D121" i="89"/>
  <c r="K120" i="89"/>
  <c r="C76" i="89"/>
  <c r="H111" i="89"/>
  <c r="D126" i="89" s="1"/>
  <c r="D127" i="89" s="1"/>
  <c r="A126" i="89"/>
  <c r="C77" i="89"/>
  <c r="C74" i="89" s="1"/>
  <c r="H109" i="89"/>
  <c r="C103" i="88"/>
  <c r="C102" i="88"/>
  <c r="C21" i="88"/>
  <c r="C92" i="88"/>
  <c r="C94" i="88"/>
  <c r="D121" i="88"/>
  <c r="K120" i="88"/>
  <c r="C76" i="88"/>
  <c r="C74" i="88" s="1"/>
  <c r="H111" i="88"/>
  <c r="D126" i="88" s="1"/>
  <c r="D127" i="88" s="1"/>
  <c r="A126" i="88"/>
  <c r="C77" i="88"/>
  <c r="H109" i="88"/>
  <c r="AM8" i="1"/>
  <c r="AM7" i="1"/>
  <c r="AK7" i="1"/>
  <c r="AK8" i="1" s="1"/>
  <c r="C33" i="82"/>
  <c r="D124" i="89" l="1"/>
  <c r="D125" i="89" s="1"/>
  <c r="H110" i="89"/>
  <c r="D124" i="88"/>
  <c r="D125" i="88" s="1"/>
  <c r="H110" i="88"/>
  <c r="D89" i="33"/>
  <c r="E89" i="33" s="1"/>
  <c r="F89" i="33" s="1"/>
  <c r="G89" i="33" s="1"/>
  <c r="D104" i="82"/>
  <c r="E104" i="82" s="1"/>
  <c r="F104" i="82" s="1"/>
  <c r="G104" i="82" s="1"/>
  <c r="H104" i="82" s="1"/>
  <c r="G36" i="33"/>
  <c r="E36" i="33"/>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Q7" i="1"/>
  <c r="Q8" i="1" s="1"/>
  <c r="F21" i="6"/>
  <c r="F20" i="6"/>
  <c r="K24" i="9" s="1"/>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H26" i="82" s="1"/>
  <c r="AB26" i="82" s="1"/>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D2" i="82"/>
  <c r="C33" i="85" l="1"/>
  <c r="K25" i="9"/>
  <c r="F23" i="85"/>
  <c r="S23" i="85" s="1"/>
  <c r="D22" i="86"/>
  <c r="D23" i="83"/>
  <c r="F26" i="82"/>
  <c r="AA26" i="82" s="1"/>
  <c r="F30" i="85"/>
  <c r="AA30" i="85" s="1"/>
  <c r="D23" i="86"/>
  <c r="J26" i="82"/>
  <c r="AC26" i="82" s="1"/>
  <c r="D22" i="83"/>
  <c r="J26" i="85"/>
  <c r="W26" i="85" s="1"/>
  <c r="F43" i="82"/>
  <c r="J43" i="85"/>
  <c r="AC43" i="85" s="1"/>
  <c r="AA38" i="85"/>
  <c r="AB38" i="85"/>
  <c r="H23" i="82"/>
  <c r="AB23" i="82" s="1"/>
  <c r="H45" i="85"/>
  <c r="AB45" i="85" s="1"/>
  <c r="S46" i="82"/>
  <c r="J45" i="85"/>
  <c r="AC45" i="85" s="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F12" i="85"/>
  <c r="W14" i="85"/>
  <c r="S23" i="82"/>
  <c r="F44" i="82"/>
  <c r="AA44" i="82" s="1"/>
  <c r="F9" i="85"/>
  <c r="AA9" i="85" s="1"/>
  <c r="W11" i="82"/>
  <c r="J44" i="82"/>
  <c r="H9" i="85"/>
  <c r="AB9" i="85" s="1"/>
  <c r="F17" i="85"/>
  <c r="F44" i="85"/>
  <c r="J41" i="82"/>
  <c r="F13" i="85"/>
  <c r="AA13" i="85" s="1"/>
  <c r="H17" i="85"/>
  <c r="AB17" i="85" s="1"/>
  <c r="AA37" i="85"/>
  <c r="F41" i="85"/>
  <c r="AA41" i="85" s="1"/>
  <c r="H44" i="85"/>
  <c r="U44" i="85" s="1"/>
  <c r="P61" i="86"/>
  <c r="J43" i="82"/>
  <c r="AC43" i="82" s="1"/>
  <c r="F26" i="85"/>
  <c r="AA26" i="85" s="1"/>
  <c r="H26" i="85"/>
  <c r="F19" i="82"/>
  <c r="AB37" i="82"/>
  <c r="U46" i="85"/>
  <c r="W8" i="82"/>
  <c r="U38" i="82"/>
  <c r="F45" i="82"/>
  <c r="AA45" i="82" s="1"/>
  <c r="H13" i="85"/>
  <c r="U13" i="85" s="1"/>
  <c r="J17" i="85"/>
  <c r="AC17" i="85" s="1"/>
  <c r="H41" i="85"/>
  <c r="AB41" i="85" s="1"/>
  <c r="S8" i="85"/>
  <c r="AB11" i="85"/>
  <c r="U8" i="85"/>
  <c r="H12" i="85"/>
  <c r="AB39" i="85"/>
  <c r="U8" i="82"/>
  <c r="AC8" i="85"/>
  <c r="U43" i="85"/>
  <c r="J41" i="85"/>
  <c r="AC41" i="85" s="1"/>
  <c r="S11" i="85"/>
  <c r="AC40" i="85"/>
  <c r="S10" i="85"/>
  <c r="S21" i="85"/>
  <c r="AB30" i="85"/>
  <c r="AC35" i="85"/>
  <c r="H27" i="85"/>
  <c r="F27" i="85"/>
  <c r="W9" i="85"/>
  <c r="J33" i="85"/>
  <c r="H33" i="85"/>
  <c r="AC39" i="85"/>
  <c r="U10" i="85"/>
  <c r="AC11" i="85"/>
  <c r="W11" i="85"/>
  <c r="AC12"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F111" i="82"/>
  <c r="G111" i="82" s="1"/>
  <c r="H111" i="82" s="1"/>
  <c r="I111" i="82" s="1"/>
  <c r="J111" i="82" s="1"/>
  <c r="K111" i="82" s="1"/>
  <c r="L111" i="82" s="1"/>
  <c r="M111" i="82" s="1"/>
  <c r="S10" i="82"/>
  <c r="S21" i="82"/>
  <c r="AA40" i="82"/>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F81" i="82"/>
  <c r="G81" i="82" s="1"/>
  <c r="J19" i="82"/>
  <c r="H30" i="82"/>
  <c r="F30" i="82"/>
  <c r="W21" i="82"/>
  <c r="S26" i="82"/>
  <c r="S35" i="82"/>
  <c r="W37" i="82"/>
  <c r="S39" i="82"/>
  <c r="U40" i="82"/>
  <c r="F42" i="82"/>
  <c r="P61" i="83"/>
  <c r="S11" i="82"/>
  <c r="U26" i="82"/>
  <c r="U35" i="82"/>
  <c r="S38" i="82"/>
  <c r="U39" i="82"/>
  <c r="W40" i="82"/>
  <c r="AC42" i="82"/>
  <c r="W42" i="82"/>
  <c r="J46" i="82"/>
  <c r="H46" i="82"/>
  <c r="U45" i="82"/>
  <c r="AB13" i="85" l="1"/>
  <c r="AC26" i="85"/>
  <c r="AA23" i="85"/>
  <c r="U43" i="82"/>
  <c r="W43" i="85"/>
  <c r="W13" i="82"/>
  <c r="U41" i="82"/>
  <c r="U23" i="82"/>
  <c r="U45" i="85"/>
  <c r="S30" i="85"/>
  <c r="H15" i="82"/>
  <c r="AB15" i="82" s="1"/>
  <c r="AB44" i="85"/>
  <c r="U42" i="85"/>
  <c r="AC45" i="82"/>
  <c r="S9" i="85"/>
  <c r="S19" i="85"/>
  <c r="S44" i="82"/>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K23" i="9" s="1"/>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Q70" i="71"/>
  <c r="P70" i="71"/>
  <c r="O70" i="71"/>
  <c r="N70" i="71"/>
  <c r="Q69" i="71"/>
  <c r="P69" i="71"/>
  <c r="O69" i="71"/>
  <c r="N69" i="71"/>
  <c r="D69" i="71"/>
  <c r="F68" i="71"/>
  <c r="V68" i="71" s="1"/>
  <c r="E68" i="71"/>
  <c r="C68" i="71"/>
  <c r="D68" i="71" s="1"/>
  <c r="B68" i="71"/>
  <c r="S68" i="71" s="1"/>
  <c r="F67" i="71"/>
  <c r="Q67" i="71" s="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Q41" i="33"/>
  <c r="Z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R51" i="9" s="1"/>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26" i="31"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AF8" i="1" s="1"/>
  <c r="Z8" i="1" s="1"/>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B50" i="72" s="1"/>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44" i="72"/>
  <c r="B42" i="72"/>
  <c r="B10" i="72"/>
  <c r="B8" i="72"/>
  <c r="E10" i="76"/>
  <c r="B8" i="76"/>
  <c r="E2" i="68"/>
  <c r="B7" i="76"/>
  <c r="E2" i="69"/>
  <c r="AO10" i="1"/>
  <c r="E8" i="76"/>
  <c r="AO12" i="1"/>
  <c r="B13" i="76"/>
  <c r="D2" i="36"/>
  <c r="D2" i="37"/>
  <c r="E9" i="76"/>
  <c r="D2" i="35"/>
  <c r="B9" i="76"/>
  <c r="B12" i="76"/>
  <c r="B10" i="76"/>
  <c r="B11" i="76"/>
  <c r="AO9" i="1"/>
  <c r="D2" i="21"/>
  <c r="D2" i="34"/>
  <c r="F20" i="31"/>
  <c r="AO13" i="1"/>
  <c r="AO11" i="1"/>
  <c r="E7" i="76"/>
  <c r="E11" i="76"/>
  <c r="E13" i="76"/>
  <c r="E12" i="76"/>
  <c r="D2" i="33"/>
  <c r="G41" i="3" l="1"/>
  <c r="G54" i="3"/>
  <c r="BL55" i="3"/>
  <c r="G59" i="3"/>
  <c r="G67" i="3"/>
  <c r="G71" i="3"/>
  <c r="G79" i="3"/>
  <c r="G83" i="3"/>
  <c r="G109" i="3"/>
  <c r="G117" i="3"/>
  <c r="G121" i="3"/>
  <c r="BL128" i="3"/>
  <c r="G129" i="3"/>
  <c r="G133" i="3"/>
  <c r="BL137" i="3"/>
  <c r="G138" i="3"/>
  <c r="G151" i="3"/>
  <c r="BA156" i="3"/>
  <c r="G159" i="3"/>
  <c r="G167" i="3"/>
  <c r="G171" i="3"/>
  <c r="G253" i="3"/>
  <c r="BL256" i="3"/>
  <c r="G258" i="3"/>
  <c r="G270" i="3"/>
  <c r="G345" i="3"/>
  <c r="G349" i="3"/>
  <c r="BL407" i="3"/>
  <c r="BL474" i="3"/>
  <c r="BL478" i="3"/>
  <c r="F19" i="34"/>
  <c r="AA19" i="34" s="1"/>
  <c r="J41" i="33"/>
  <c r="AC41" i="33" s="1"/>
  <c r="C71" i="71"/>
  <c r="G49" i="3"/>
  <c r="G58" i="3"/>
  <c r="G150" i="3"/>
  <c r="G170" i="3"/>
  <c r="BL247" i="3"/>
  <c r="G261" i="3"/>
  <c r="G273" i="3"/>
  <c r="G277" i="3"/>
  <c r="G281" i="3"/>
  <c r="G285" i="3"/>
  <c r="BL335" i="3"/>
  <c r="BL451" i="3"/>
  <c r="BL514" i="3"/>
  <c r="G519" i="3"/>
  <c r="G523" i="3"/>
  <c r="BA551" i="3"/>
  <c r="BA556" i="3"/>
  <c r="G575" i="3"/>
  <c r="A24" i="51"/>
  <c r="B18" i="72" s="1"/>
  <c r="E83" i="43"/>
  <c r="B81" i="43" s="1"/>
  <c r="B67" i="71"/>
  <c r="G14" i="3"/>
  <c r="G23" i="3"/>
  <c r="G27" i="3"/>
  <c r="G31" i="3"/>
  <c r="G39" i="3"/>
  <c r="G61" i="3"/>
  <c r="G85" i="3"/>
  <c r="G89" i="3"/>
  <c r="G93" i="3"/>
  <c r="G98" i="3"/>
  <c r="G107" i="3"/>
  <c r="G115" i="3"/>
  <c r="G173" i="3"/>
  <c r="BA176" i="3"/>
  <c r="BL188" i="3"/>
  <c r="G189" i="3"/>
  <c r="G193" i="3"/>
  <c r="BA194" i="3"/>
  <c r="G201" i="3"/>
  <c r="G209" i="3"/>
  <c r="BA210" i="3"/>
  <c r="G218" i="3"/>
  <c r="BA228" i="3"/>
  <c r="G231" i="3"/>
  <c r="G235" i="3"/>
  <c r="G247" i="3"/>
  <c r="G302" i="3"/>
  <c r="G389" i="3"/>
  <c r="G393" i="3"/>
  <c r="BL435" i="3"/>
  <c r="G445" i="3"/>
  <c r="G453" i="3"/>
  <c r="G465" i="3"/>
  <c r="BA511" i="3"/>
  <c r="G574" i="3"/>
  <c r="F42" i="33"/>
  <c r="S42" i="33" s="1"/>
  <c r="U17" i="39"/>
  <c r="G237" i="3"/>
  <c r="BA392" i="3"/>
  <c r="BA412" i="3"/>
  <c r="BL279" i="3"/>
  <c r="C21" i="11"/>
  <c r="U13" i="79"/>
  <c r="AI13" i="79" s="1"/>
  <c r="BL347" i="3"/>
  <c r="G388" i="3"/>
  <c r="BA432" i="3"/>
  <c r="BL534" i="3"/>
  <c r="BA547" i="3"/>
  <c r="BL557" i="3"/>
  <c r="H19" i="34"/>
  <c r="AB19" i="34" s="1"/>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AZ340" i="3" s="1"/>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U47" i="34" s="1"/>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BA67" i="3"/>
  <c r="BL119" i="3"/>
  <c r="U32" i="82"/>
  <c r="AB32" i="82"/>
  <c r="BL79" i="3"/>
  <c r="AZ79" i="3" s="1"/>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N67" i="71"/>
  <c r="B66" i="71"/>
  <c r="N66" i="71" s="1"/>
  <c r="BL402" i="3"/>
  <c r="G559" i="3"/>
  <c r="W11" i="34"/>
  <c r="F19" i="33"/>
  <c r="AA19" i="33" s="1"/>
  <c r="R11" i="1"/>
  <c r="S11" i="1"/>
  <c r="T11" i="1" s="1"/>
  <c r="G324" i="3"/>
  <c r="G342" i="3"/>
  <c r="BA563" i="3"/>
  <c r="D3" i="82"/>
  <c r="D93" i="9"/>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B32" i="85"/>
  <c r="U32" i="85"/>
  <c r="BA53" i="3"/>
  <c r="BA144" i="3"/>
  <c r="BL203" i="3"/>
  <c r="BL237" i="3"/>
  <c r="BL271" i="3"/>
  <c r="BL363" i="3"/>
  <c r="BA433" i="3"/>
  <c r="BL436" i="3"/>
  <c r="BL438" i="3"/>
  <c r="G490" i="3"/>
  <c r="BL569" i="3"/>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BL219" i="3"/>
  <c r="BA335" i="3"/>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AZ257" i="3" s="1"/>
  <c r="BL304" i="3"/>
  <c r="BL322" i="3"/>
  <c r="BA384" i="3"/>
  <c r="H34" i="35"/>
  <c r="U34" i="35" s="1"/>
  <c r="J31" i="85"/>
  <c r="H31" i="85"/>
  <c r="F31" i="85"/>
  <c r="BA66" i="3"/>
  <c r="BL91" i="3"/>
  <c r="G120" i="3"/>
  <c r="BA135" i="3"/>
  <c r="G169" i="3"/>
  <c r="BA184" i="3"/>
  <c r="G212" i="3"/>
  <c r="BA220" i="3"/>
  <c r="BL221" i="3"/>
  <c r="BA353" i="3"/>
  <c r="G378" i="3"/>
  <c r="G398" i="3"/>
  <c r="G418" i="3"/>
  <c r="BL427" i="3"/>
  <c r="G440" i="3"/>
  <c r="W38" i="40"/>
  <c r="AC38" i="40"/>
  <c r="E27" i="71"/>
  <c r="E26" i="71" s="1"/>
  <c r="BL47" i="3"/>
  <c r="G69" i="3"/>
  <c r="BL118" i="3"/>
  <c r="BA124" i="3"/>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AZ269" i="3" s="1"/>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BA65" i="3"/>
  <c r="G72" i="3"/>
  <c r="BA74" i="3"/>
  <c r="BA75" i="3"/>
  <c r="BA77" i="3"/>
  <c r="BA84" i="3"/>
  <c r="AZ84" i="3" s="1"/>
  <c r="BA86" i="3"/>
  <c r="AZ86" i="3" s="1"/>
  <c r="BA87" i="3"/>
  <c r="BA89" i="3"/>
  <c r="BA92" i="3"/>
  <c r="BA94" i="3"/>
  <c r="BA95" i="3"/>
  <c r="BL95" i="3"/>
  <c r="BL96" i="3"/>
  <c r="BL97" i="3"/>
  <c r="BL98" i="3"/>
  <c r="G100" i="3"/>
  <c r="BA102" i="3"/>
  <c r="BA103" i="3"/>
  <c r="BA108" i="3"/>
  <c r="BA110" i="3"/>
  <c r="BA111" i="3"/>
  <c r="BL111" i="3"/>
  <c r="G116" i="3"/>
  <c r="BA118" i="3"/>
  <c r="BA119" i="3"/>
  <c r="BA121" i="3"/>
  <c r="AZ121" i="3" s="1"/>
  <c r="G128" i="3"/>
  <c r="BA130" i="3"/>
  <c r="BL148" i="3"/>
  <c r="BL149" i="3"/>
  <c r="BL150" i="3"/>
  <c r="BL155" i="3"/>
  <c r="BL163" i="3"/>
  <c r="G197" i="3"/>
  <c r="G205" i="3"/>
  <c r="AZ211" i="3"/>
  <c r="G213" i="3"/>
  <c r="BL223" i="3"/>
  <c r="G229" i="3"/>
  <c r="BG5" i="3"/>
  <c r="BM5" i="3"/>
  <c r="BL13" i="3"/>
  <c r="BN5" i="3"/>
  <c r="BR5" i="3"/>
  <c r="BL20" i="3"/>
  <c r="BL24" i="3"/>
  <c r="BL25" i="3"/>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AZ73" i="3" s="1"/>
  <c r="BL80" i="3"/>
  <c r="BL81" i="3"/>
  <c r="BL82" i="3"/>
  <c r="G84" i="3"/>
  <c r="BA85" i="3"/>
  <c r="G92" i="3"/>
  <c r="BA93" i="3"/>
  <c r="BA96" i="3"/>
  <c r="AZ96" i="3" s="1"/>
  <c r="BA98" i="3"/>
  <c r="BA99" i="3"/>
  <c r="BA101" i="3"/>
  <c r="AZ101" i="3" s="1"/>
  <c r="BL104" i="3"/>
  <c r="BL105" i="3"/>
  <c r="BL106" i="3"/>
  <c r="G108" i="3"/>
  <c r="BA109" i="3"/>
  <c r="BL112" i="3"/>
  <c r="BL113" i="3"/>
  <c r="AZ113" i="3" s="1"/>
  <c r="BL114" i="3"/>
  <c r="BA117" i="3"/>
  <c r="BL124" i="3"/>
  <c r="BL125" i="3"/>
  <c r="BL126" i="3"/>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BL133" i="3"/>
  <c r="G134" i="3"/>
  <c r="BL134" i="3"/>
  <c r="BA137" i="3"/>
  <c r="AZ137" i="3" s="1"/>
  <c r="G141" i="3"/>
  <c r="BA142" i="3"/>
  <c r="BA143" i="3"/>
  <c r="AZ143" i="3" s="1"/>
  <c r="BL151" i="3"/>
  <c r="G157" i="3"/>
  <c r="G165" i="3"/>
  <c r="BA172" i="3"/>
  <c r="BL195" i="3"/>
  <c r="BA244" i="3"/>
  <c r="BA280" i="3"/>
  <c r="BA416" i="3"/>
  <c r="S31" i="34"/>
  <c r="AA31" i="34"/>
  <c r="S14" i="21"/>
  <c r="AA14" i="21"/>
  <c r="BL144" i="3"/>
  <c r="BL145" i="3"/>
  <c r="AZ145" i="3" s="1"/>
  <c r="BL146" i="3"/>
  <c r="G148" i="3"/>
  <c r="BA150" i="3"/>
  <c r="BA151" i="3"/>
  <c r="BA153" i="3"/>
  <c r="G160" i="3"/>
  <c r="BA161" i="3"/>
  <c r="BL168" i="3"/>
  <c r="BL169" i="3"/>
  <c r="BL170" i="3"/>
  <c r="G172" i="3"/>
  <c r="BA174" i="3"/>
  <c r="BA175" i="3"/>
  <c r="BA177" i="3"/>
  <c r="BL184" i="3"/>
  <c r="BL185" i="3"/>
  <c r="BL186" i="3"/>
  <c r="G188" i="3"/>
  <c r="BA190" i="3"/>
  <c r="BA191" i="3"/>
  <c r="BA193" i="3"/>
  <c r="G200" i="3"/>
  <c r="BA201" i="3"/>
  <c r="G208" i="3"/>
  <c r="BA209" i="3"/>
  <c r="BL216" i="3"/>
  <c r="BL217" i="3"/>
  <c r="BL218" i="3"/>
  <c r="G220" i="3"/>
  <c r="BA222" i="3"/>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AZ173" i="3" s="1"/>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AZ192" i="3" s="1"/>
  <c r="BL193" i="3"/>
  <c r="G194" i="3"/>
  <c r="BL194" i="3"/>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BA407" i="3"/>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AZ513" i="3" s="1"/>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249" i="3"/>
  <c r="AZ252" i="3"/>
  <c r="AZ420" i="3"/>
  <c r="G29" i="6"/>
  <c r="G28" i="6"/>
  <c r="AZ33" i="3"/>
  <c r="AZ45" i="3"/>
  <c r="G25" i="78"/>
  <c r="T35" i="4"/>
  <c r="A19" i="51" s="1"/>
  <c r="B14" i="72" s="1"/>
  <c r="AZ178"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BL365" i="3"/>
  <c r="BL369" i="3"/>
  <c r="AZ369" i="3" s="1"/>
  <c r="BL373" i="3"/>
  <c r="BL377" i="3"/>
  <c r="BL381" i="3"/>
  <c r="BL385" i="3"/>
  <c r="BL389" i="3"/>
  <c r="BL393" i="3"/>
  <c r="BL397" i="3"/>
  <c r="BL401" i="3"/>
  <c r="BL405" i="3"/>
  <c r="BL409" i="3"/>
  <c r="BL413" i="3"/>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M29" i="15"/>
  <c r="F7" i="73"/>
  <c r="D7" i="73"/>
  <c r="F4" i="73"/>
  <c r="F5" i="73"/>
  <c r="M6" i="67"/>
  <c r="C36" i="69"/>
  <c r="F40" i="15"/>
  <c r="D9" i="69"/>
  <c r="F3" i="73"/>
  <c r="F16" i="15"/>
  <c r="M9" i="67"/>
  <c r="M7" i="1" l="1"/>
  <c r="X21" i="1"/>
  <c r="AZ500" i="3"/>
  <c r="AZ413" i="3"/>
  <c r="AZ365" i="3"/>
  <c r="AZ407" i="3"/>
  <c r="AZ290" i="3"/>
  <c r="AZ194" i="3"/>
  <c r="AZ350" i="3"/>
  <c r="AZ168" i="3"/>
  <c r="AZ78" i="3"/>
  <c r="AZ126" i="3"/>
  <c r="AZ93" i="3"/>
  <c r="AZ220" i="3"/>
  <c r="AZ216" i="3"/>
  <c r="AZ130" i="3"/>
  <c r="AZ144" i="3"/>
  <c r="AZ568" i="3"/>
  <c r="AB47" i="34"/>
  <c r="AZ272" i="3"/>
  <c r="AZ203" i="3"/>
  <c r="AZ117" i="3"/>
  <c r="AZ361" i="3"/>
  <c r="AZ432" i="3"/>
  <c r="AZ578" i="3"/>
  <c r="AZ435" i="3"/>
  <c r="AZ406" i="3"/>
  <c r="AZ355" i="3"/>
  <c r="AZ400" i="3"/>
  <c r="AZ195" i="3"/>
  <c r="AZ132" i="3"/>
  <c r="AZ118" i="3"/>
  <c r="AZ67" i="3"/>
  <c r="U19" i="34"/>
  <c r="AZ373" i="3"/>
  <c r="AB31" i="34"/>
  <c r="AZ276" i="3"/>
  <c r="AZ222" i="3"/>
  <c r="AZ172" i="3"/>
  <c r="AZ134" i="3"/>
  <c r="AZ105" i="3"/>
  <c r="AZ25" i="3"/>
  <c r="AZ108" i="3"/>
  <c r="AZ63" i="3"/>
  <c r="AZ378" i="3"/>
  <c r="AZ124" i="3"/>
  <c r="AZ335" i="3"/>
  <c r="AZ548" i="3"/>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F28" i="86"/>
  <c r="F32" i="83"/>
  <c r="F60" i="83" s="1"/>
  <c r="F28" i="83"/>
  <c r="F32" i="86"/>
  <c r="F60" i="86" s="1"/>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6" i="86"/>
  <c r="J15" i="67"/>
  <c r="F26" i="67"/>
  <c r="F41" i="15"/>
  <c r="M9" i="83"/>
  <c r="F38" i="83"/>
  <c r="M26" i="83"/>
  <c r="M28" i="15"/>
  <c r="M23" i="83"/>
  <c r="F37" i="67"/>
  <c r="M21" i="15"/>
  <c r="M8" i="83"/>
  <c r="F36" i="83"/>
  <c r="F26" i="86"/>
  <c r="F37" i="15"/>
  <c r="F13" i="67"/>
  <c r="C76" i="15"/>
  <c r="C76" i="67"/>
  <c r="F37" i="86"/>
  <c r="D4" i="73"/>
  <c r="C76" i="86"/>
  <c r="F38" i="86"/>
  <c r="F42" i="86"/>
  <c r="F26" i="83"/>
  <c r="L47" i="83"/>
  <c r="F7" i="15"/>
  <c r="M8" i="15"/>
  <c r="F9" i="15"/>
  <c r="F35" i="15"/>
  <c r="M24" i="83"/>
  <c r="F8" i="67"/>
  <c r="F8" i="15"/>
  <c r="F40" i="86"/>
  <c r="M27" i="67"/>
  <c r="F38" i="15"/>
  <c r="F43" i="86"/>
  <c r="F13" i="86"/>
  <c r="F36" i="86"/>
  <c r="F27" i="69"/>
  <c r="M29" i="86"/>
  <c r="F37" i="83"/>
  <c r="D5" i="73"/>
  <c r="L48" i="83"/>
  <c r="M24" i="67"/>
  <c r="F9" i="86"/>
  <c r="M26" i="15"/>
  <c r="F6" i="73"/>
  <c r="C16" i="15"/>
  <c r="D6" i="73"/>
  <c r="L48" i="15"/>
  <c r="M28" i="83"/>
  <c r="M27" i="15"/>
  <c r="L47" i="67"/>
  <c r="M22" i="86"/>
  <c r="M24" i="86"/>
  <c r="M28" i="67"/>
  <c r="J15" i="83"/>
  <c r="C76" i="83"/>
  <c r="F8" i="83"/>
  <c r="L48" i="67"/>
  <c r="F42" i="83"/>
  <c r="F42" i="15"/>
  <c r="F6" i="83"/>
  <c r="F16" i="83"/>
  <c r="F40" i="67"/>
  <c r="M9" i="15"/>
  <c r="F26" i="15"/>
  <c r="F8" i="86"/>
  <c r="F40" i="83"/>
  <c r="F13" i="83"/>
  <c r="M23" i="86"/>
  <c r="M6" i="83"/>
  <c r="J15" i="86"/>
  <c r="F6" i="67"/>
  <c r="F9" i="83"/>
  <c r="D3" i="73"/>
  <c r="F9" i="67"/>
  <c r="M26" i="67"/>
  <c r="M22" i="83"/>
  <c r="M22" i="15"/>
  <c r="M23" i="15"/>
  <c r="F36" i="15"/>
  <c r="F43" i="15"/>
  <c r="L48" i="86"/>
  <c r="M27" i="83"/>
  <c r="M28" i="86"/>
  <c r="L47" i="86"/>
  <c r="F13" i="15"/>
  <c r="M6" i="86"/>
  <c r="F7" i="86"/>
  <c r="F6" i="15"/>
  <c r="L47" i="15"/>
  <c r="M8" i="86"/>
  <c r="M26" i="86"/>
  <c r="F36" i="67"/>
  <c r="F16" i="67"/>
  <c r="M8" i="67"/>
  <c r="F42" i="67"/>
  <c r="F16" i="86"/>
  <c r="C14" i="15"/>
  <c r="F38" i="67"/>
  <c r="M24" i="15"/>
  <c r="M9" i="86"/>
  <c r="M22" i="67"/>
  <c r="J15" i="15"/>
  <c r="M6" i="15"/>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U36" i="33"/>
  <c r="AB36" i="33"/>
  <c r="AA36" i="33"/>
  <c r="S36" i="33"/>
  <c r="M11" i="86"/>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D3" i="33" s="1"/>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6" i="86"/>
  <c r="G1" i="73"/>
  <c r="C17" i="15"/>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U7" i="82" s="1"/>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M29" i="67"/>
  <c r="AE6" i="1"/>
  <c r="M29" i="83"/>
  <c r="F43" i="67"/>
  <c r="F7" i="83"/>
  <c r="F43" i="83"/>
  <c r="AE7" i="1"/>
  <c r="AE8" i="1"/>
  <c r="F7" i="67"/>
  <c r="C34" i="69"/>
  <c r="D10" i="69"/>
  <c r="C53" i="86" l="1"/>
  <c r="J10" i="86"/>
  <c r="J5" i="86" s="1"/>
  <c r="AG8" i="1"/>
  <c r="W7" i="82"/>
  <c r="I2" i="83"/>
  <c r="I2" i="67"/>
  <c r="J17" i="15"/>
  <c r="C48" i="15"/>
  <c r="J24" i="15"/>
  <c r="F25" i="12"/>
  <c r="C26" i="12" s="1"/>
  <c r="D25" i="12" s="1"/>
  <c r="F24" i="67"/>
  <c r="C24" i="67" s="1"/>
  <c r="F22" i="68"/>
  <c r="C44" i="68" s="1"/>
  <c r="D41" i="68" s="1"/>
  <c r="F24" i="15"/>
  <c r="C24" i="15" s="1"/>
  <c r="J18" i="86"/>
  <c r="W7" i="21"/>
  <c r="W7" i="34"/>
  <c r="C48" i="86"/>
  <c r="S7" i="34"/>
  <c r="D20" i="6"/>
  <c r="F22" i="69"/>
  <c r="C26" i="69" s="1"/>
  <c r="D22" i="69" s="1"/>
  <c r="D26" i="6"/>
  <c r="L36" i="43"/>
  <c r="O36" i="43" s="1"/>
  <c r="F24" i="83"/>
  <c r="C24" i="83" s="1"/>
  <c r="F22" i="11"/>
  <c r="C23" i="11" s="1"/>
  <c r="W7" i="85"/>
  <c r="AC7" i="85"/>
  <c r="V48" i="85" s="1"/>
  <c r="I48" i="85"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C16" i="83"/>
  <c r="C16" i="67"/>
  <c r="F41" i="67"/>
  <c r="F41" i="83"/>
  <c r="M27" i="86"/>
  <c r="G41" i="36" l="1"/>
  <c r="H41" i="36" s="1"/>
  <c r="E48" i="2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S7" i="1"/>
  <c r="E7" i="70" s="1"/>
  <c r="M21" i="6"/>
  <c r="I21" i="6"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3"/>
  <c r="C14" i="86"/>
  <c r="C17" i="86"/>
  <c r="C14" i="67"/>
  <c r="C17" i="67"/>
  <c r="E6" i="76"/>
  <c r="C17" i="83"/>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I6" i="6" l="1"/>
  <c r="C34" i="86"/>
  <c r="C31" i="86" s="1"/>
  <c r="C66" i="67"/>
  <c r="C60" i="67"/>
  <c r="C66" i="83"/>
  <c r="C60" i="83"/>
  <c r="Q68" i="15"/>
  <c r="C40" i="15"/>
  <c r="Q65" i="15" s="1"/>
  <c r="L46" i="15"/>
  <c r="J22" i="15"/>
  <c r="J16" i="15" s="1"/>
  <c r="J25" i="15" s="1"/>
  <c r="C58" i="15"/>
  <c r="C67" i="15" s="1"/>
  <c r="C68" i="15" s="1"/>
  <c r="C71" i="15" s="1"/>
  <c r="C80" i="15"/>
  <c r="C79" i="15" s="1"/>
  <c r="C19" i="86"/>
  <c r="C20" i="86" s="1"/>
  <c r="F63" i="86"/>
  <c r="C62" i="86" s="1"/>
  <c r="C59" i="86" s="1"/>
  <c r="J20" i="86"/>
  <c r="J17" i="86" s="1"/>
  <c r="T16" i="1"/>
  <c r="E2" i="70"/>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Q67" i="15" l="1"/>
  <c r="L57" i="15"/>
  <c r="L60" i="15" s="1"/>
  <c r="Q66" i="15" s="1"/>
  <c r="Q75" i="15" s="1"/>
  <c r="C43" i="15"/>
  <c r="Q56" i="15"/>
  <c r="B2" i="15"/>
  <c r="B3" i="15" s="1"/>
  <c r="C83" i="15"/>
  <c r="C82" i="15" s="1"/>
  <c r="Q47" i="15"/>
  <c r="Q53" i="15" s="1"/>
  <c r="C46" i="15"/>
  <c r="C26" i="86"/>
  <c r="C23" i="86"/>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B3" i="69"/>
  <c r="Q57" i="15" l="1"/>
  <c r="Q62" i="15" s="1"/>
  <c r="C29" i="86"/>
  <c r="C36" i="86" s="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9"/>
  <c r="M21" i="67"/>
  <c r="F35" i="67"/>
  <c r="M21" i="83"/>
  <c r="F35" i="83"/>
  <c r="C34" i="83" l="1"/>
  <c r="C31" i="83" s="1"/>
  <c r="C34" i="67"/>
  <c r="C31" i="67" s="1"/>
  <c r="J59" i="86"/>
  <c r="J60" i="86" s="1"/>
  <c r="Q48" i="86" s="1"/>
  <c r="J14" i="86"/>
  <c r="C13" i="86"/>
  <c r="C57" i="86"/>
  <c r="C64" i="86" s="1"/>
  <c r="Q49" i="86"/>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86"/>
  <c r="L51" i="67"/>
  <c r="H40" i="67" l="1"/>
  <c r="C80" i="67"/>
  <c r="C79" i="67" s="1"/>
  <c r="C40" i="67"/>
  <c r="Q47" i="67" s="1"/>
  <c r="Q53" i="67" s="1"/>
  <c r="C40" i="83"/>
  <c r="C43" i="83" s="1"/>
  <c r="Q69" i="83"/>
  <c r="Q68" i="83" s="1"/>
  <c r="H40" i="83"/>
  <c r="C80" i="86"/>
  <c r="C79" i="86" s="1"/>
  <c r="Q69" i="86"/>
  <c r="Q68" i="86" s="1"/>
  <c r="C40" i="86"/>
  <c r="C45" i="86" s="1"/>
  <c r="H40" i="86"/>
  <c r="J16" i="86"/>
  <c r="J25" i="86" s="1"/>
  <c r="J26" i="86" s="1"/>
  <c r="J29" i="86" s="1"/>
  <c r="Q67" i="86"/>
  <c r="Q67" i="67"/>
  <c r="T12" i="71"/>
  <c r="D12" i="71"/>
  <c r="U12" i="71" s="1"/>
  <c r="C11" i="71"/>
  <c r="M69" i="39"/>
  <c r="N67" i="39"/>
  <c r="M65" i="40"/>
  <c r="N63" i="40"/>
  <c r="D2" i="85"/>
  <c r="L51" i="83"/>
  <c r="C51" i="85" l="1"/>
  <c r="B2" i="85"/>
  <c r="C46" i="86"/>
  <c r="Q67" i="83"/>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D20" i="89"/>
  <c r="AO7" i="1"/>
  <c r="C19" i="89"/>
  <c r="D20" i="9"/>
  <c r="C102" i="89" l="1"/>
  <c r="C21" i="89"/>
  <c r="B3" i="85"/>
  <c r="D103" i="89"/>
  <c r="B2" i="67"/>
  <c r="D103" i="9"/>
  <c r="G20" i="9"/>
  <c r="D45" i="9" s="1"/>
  <c r="D55" i="9" s="1"/>
  <c r="B3" i="83"/>
  <c r="B2" i="86"/>
  <c r="L25" i="9"/>
  <c r="M25" i="9" s="1"/>
  <c r="B7" i="70"/>
  <c r="D10" i="71"/>
  <c r="C9" i="71"/>
  <c r="J7" i="39"/>
  <c r="F7" i="39"/>
  <c r="H7" i="39"/>
  <c r="F7" i="40"/>
  <c r="H7" i="40"/>
  <c r="J7" i="40"/>
  <c r="D34" i="88"/>
  <c r="D34" i="9"/>
  <c r="AO8" i="1"/>
  <c r="D35" i="9"/>
  <c r="D35" i="88"/>
  <c r="D19" i="9"/>
  <c r="AO6" i="1"/>
  <c r="D19" i="89"/>
  <c r="D34" i="89"/>
  <c r="D20" i="88"/>
  <c r="C20" i="89"/>
  <c r="D35" i="89"/>
  <c r="D19" i="88"/>
  <c r="C103" i="89" l="1"/>
  <c r="G20" i="89"/>
  <c r="D45" i="89" s="1"/>
  <c r="D103" i="88"/>
  <c r="G20" i="88"/>
  <c r="L23" i="88" s="1"/>
  <c r="M23" i="88" s="1"/>
  <c r="M26" i="88" s="1"/>
  <c r="D21" i="89"/>
  <c r="D102" i="89"/>
  <c r="D22" i="89"/>
  <c r="G19" i="89"/>
  <c r="G21" i="89" s="1"/>
  <c r="D21" i="88"/>
  <c r="D102" i="88"/>
  <c r="G19" i="88"/>
  <c r="G21" i="88" s="1"/>
  <c r="D22" i="88"/>
  <c r="M48" i="9"/>
  <c r="M49" i="9" s="1"/>
  <c r="Q51" i="9" s="1"/>
  <c r="L23" i="9"/>
  <c r="M23" i="9" s="1"/>
  <c r="B6" i="70"/>
  <c r="D21" i="9"/>
  <c r="G19" i="9"/>
  <c r="D22" i="9"/>
  <c r="D102" i="9"/>
  <c r="C32" i="9"/>
  <c r="I118" i="9" s="1"/>
  <c r="H118" i="9" s="1"/>
  <c r="B8" i="70"/>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2" i="88" l="1"/>
  <c r="L23" i="89"/>
  <c r="M23" i="89" s="1"/>
  <c r="M26" i="89" s="1"/>
  <c r="D45" i="88"/>
  <c r="D55" i="88" s="1"/>
  <c r="M53" i="88" s="1"/>
  <c r="C32" i="89"/>
  <c r="C35" i="89" s="1"/>
  <c r="G118" i="89" s="1"/>
  <c r="F118" i="89" s="1"/>
  <c r="F119" i="89" s="1"/>
  <c r="P54" i="9"/>
  <c r="D55" i="89"/>
  <c r="M53" i="89" s="1"/>
  <c r="D53" i="89"/>
  <c r="C78" i="89"/>
  <c r="C73" i="89" s="1"/>
  <c r="C72" i="89"/>
  <c r="D52" i="89"/>
  <c r="C93" i="89"/>
  <c r="C86" i="89" s="1"/>
  <c r="C85" i="89"/>
  <c r="C64" i="89"/>
  <c r="C63" i="89" s="1"/>
  <c r="C67" i="89" s="1"/>
  <c r="C68" i="89" s="1"/>
  <c r="D54" i="89" s="1"/>
  <c r="D48" i="89" s="1"/>
  <c r="M52" i="89" s="1"/>
  <c r="M48" i="89"/>
  <c r="M49" i="89" s="1"/>
  <c r="I118" i="88"/>
  <c r="C35" i="88"/>
  <c r="G118" i="88" s="1"/>
  <c r="F118" i="88" s="1"/>
  <c r="F119" i="88" s="1"/>
  <c r="C64" i="88"/>
  <c r="C63" i="88" s="1"/>
  <c r="C67" i="88" s="1"/>
  <c r="C68" i="88" s="1"/>
  <c r="D54" i="88" s="1"/>
  <c r="D48" i="88" s="1"/>
  <c r="M52" i="88" s="1"/>
  <c r="L24" i="9"/>
  <c r="M24" i="9" s="1"/>
  <c r="M26" i="9" s="1"/>
  <c r="G21" i="9"/>
  <c r="B2" i="70"/>
  <c r="B3" i="70" s="1"/>
  <c r="H101" i="9"/>
  <c r="C104" i="9"/>
  <c r="H4" i="52"/>
  <c r="H119" i="9"/>
  <c r="H5" i="52" s="1"/>
  <c r="C105" i="9"/>
  <c r="I4" i="52"/>
  <c r="H102" i="9"/>
  <c r="R24" i="31" s="1"/>
  <c r="R31" i="31" s="1"/>
  <c r="S31" i="31" s="1"/>
  <c r="C35" i="9"/>
  <c r="G118" i="9" s="1"/>
  <c r="G4" i="52" s="1"/>
  <c r="B52" i="72" s="1"/>
  <c r="D8" i="71"/>
  <c r="C7" i="71"/>
  <c r="I51" i="39"/>
  <c r="J51" i="39" s="1"/>
  <c r="G51" i="39"/>
  <c r="H51" i="39" s="1"/>
  <c r="G52" i="39"/>
  <c r="H52" i="39" s="1"/>
  <c r="R48" i="39"/>
  <c r="E47" i="39"/>
  <c r="G46" i="40"/>
  <c r="H46" i="40" s="1"/>
  <c r="G47" i="40"/>
  <c r="H47" i="40" s="1"/>
  <c r="I46" i="40"/>
  <c r="J46" i="40" s="1"/>
  <c r="R43" i="40"/>
  <c r="E42" i="40"/>
  <c r="U26" i="31"/>
  <c r="U32" i="31"/>
  <c r="T25" i="31"/>
  <c r="T28" i="31"/>
  <c r="T29" i="31"/>
  <c r="C85" i="88" l="1"/>
  <c r="Q51" i="89"/>
  <c r="P54" i="89"/>
  <c r="C72" i="88"/>
  <c r="C79" i="88" s="1"/>
  <c r="C78" i="88"/>
  <c r="C73" i="88" s="1"/>
  <c r="C93" i="88"/>
  <c r="C86" i="88" s="1"/>
  <c r="C95" i="88" s="1"/>
  <c r="D53" i="88"/>
  <c r="M48" i="88"/>
  <c r="M49" i="88" s="1"/>
  <c r="Q51" i="88" s="1"/>
  <c r="D52" i="88"/>
  <c r="I118" i="89"/>
  <c r="E14" i="74" s="1"/>
  <c r="D14" i="74" s="1"/>
  <c r="C79" i="89"/>
  <c r="C80" i="89" s="1"/>
  <c r="E80" i="89" s="1"/>
  <c r="E81" i="89" s="1"/>
  <c r="P55" i="9"/>
  <c r="P58" i="9" s="1"/>
  <c r="C95" i="89"/>
  <c r="C96" i="89" s="1"/>
  <c r="E96" i="89" s="1"/>
  <c r="E97" i="89" s="1"/>
  <c r="L65" i="89"/>
  <c r="M65" i="89" s="1"/>
  <c r="L66" i="89"/>
  <c r="M66" i="89" s="1"/>
  <c r="L63" i="89"/>
  <c r="M63" i="89" s="1"/>
  <c r="L68" i="89"/>
  <c r="M68" i="89" s="1"/>
  <c r="L67" i="89"/>
  <c r="M67" i="89" s="1"/>
  <c r="L64" i="89"/>
  <c r="M64" i="89" s="1"/>
  <c r="C34" i="89"/>
  <c r="H102" i="89"/>
  <c r="C34" i="88"/>
  <c r="E118" i="88"/>
  <c r="D118" i="88" s="1"/>
  <c r="D119" i="88" s="1"/>
  <c r="C105" i="88"/>
  <c r="H118" i="88"/>
  <c r="H102" i="88"/>
  <c r="D5" i="53"/>
  <c r="D6" i="53" s="1"/>
  <c r="B22" i="72" s="1"/>
  <c r="H107" i="9"/>
  <c r="D13" i="53" s="1"/>
  <c r="R32" i="31"/>
  <c r="S32" i="31" s="1"/>
  <c r="D59" i="9"/>
  <c r="M55" i="9" s="1"/>
  <c r="R25" i="31"/>
  <c r="S25" i="31" s="1"/>
  <c r="R30" i="31"/>
  <c r="S30" i="31" s="1"/>
  <c r="S24" i="31"/>
  <c r="R28" i="31"/>
  <c r="S28" i="31" s="1"/>
  <c r="R26" i="31"/>
  <c r="S26" i="31" s="1"/>
  <c r="R29" i="31"/>
  <c r="S29" i="31" s="1"/>
  <c r="R27" i="31"/>
  <c r="S27" i="31" s="1"/>
  <c r="D7" i="53"/>
  <c r="B21" i="72" s="1"/>
  <c r="E118" i="9"/>
  <c r="D118" i="9" s="1"/>
  <c r="F118" i="9"/>
  <c r="F119" i="9" s="1"/>
  <c r="F5" i="52" s="1"/>
  <c r="B53" i="72" s="1"/>
  <c r="C34" i="9"/>
  <c r="D7" i="71"/>
  <c r="C6" i="71"/>
  <c r="E47" i="40"/>
  <c r="F47" i="40" s="1"/>
  <c r="E46" i="40"/>
  <c r="F46" i="40" s="1"/>
  <c r="C42" i="40"/>
  <c r="C43" i="40"/>
  <c r="E52" i="39"/>
  <c r="F52" i="39" s="1"/>
  <c r="E51" i="39"/>
  <c r="F51" i="39" s="1"/>
  <c r="I47" i="40"/>
  <c r="J47" i="40" s="1"/>
  <c r="C47" i="39"/>
  <c r="C48" i="39"/>
  <c r="I52" i="39"/>
  <c r="J52" i="39" s="1"/>
  <c r="U28" i="31"/>
  <c r="T27" i="31"/>
  <c r="T30" i="31"/>
  <c r="U29" i="31"/>
  <c r="U25" i="31"/>
  <c r="T31" i="31"/>
  <c r="L65" i="88" l="1"/>
  <c r="M65" i="88" s="1"/>
  <c r="H118" i="89"/>
  <c r="C80" i="88"/>
  <c r="E80" i="88" s="1"/>
  <c r="E81" i="88" s="1"/>
  <c r="C81" i="88"/>
  <c r="D58" i="88" s="1"/>
  <c r="D56" i="88" s="1"/>
  <c r="M54" i="88" s="1"/>
  <c r="N57" i="88" s="1"/>
  <c r="P57" i="88" s="1"/>
  <c r="L67" i="88"/>
  <c r="M67" i="88" s="1"/>
  <c r="L68" i="88"/>
  <c r="M68" i="88" s="1"/>
  <c r="C105" i="89"/>
  <c r="E118" i="89"/>
  <c r="D118" i="89" s="1"/>
  <c r="D119" i="89" s="1"/>
  <c r="P54" i="88"/>
  <c r="P55" i="88" s="1"/>
  <c r="L63" i="88"/>
  <c r="M63" i="88" s="1"/>
  <c r="L64" i="88"/>
  <c r="M64" i="88" s="1"/>
  <c r="L66" i="88"/>
  <c r="M66" i="88" s="1"/>
  <c r="B20" i="72"/>
  <c r="H108" i="9"/>
  <c r="D15" i="53" s="1"/>
  <c r="B31" i="72" s="1"/>
  <c r="C81" i="89"/>
  <c r="D58" i="89" s="1"/>
  <c r="D56" i="89" s="1"/>
  <c r="M54" i="89" s="1"/>
  <c r="N57" i="89" s="1"/>
  <c r="P57" i="89" s="1"/>
  <c r="C96" i="88"/>
  <c r="E96" i="88" s="1"/>
  <c r="E97" i="88" s="1"/>
  <c r="H119" i="89"/>
  <c r="H101" i="89"/>
  <c r="H107" i="89" s="1"/>
  <c r="C104" i="89"/>
  <c r="C97" i="89"/>
  <c r="P55" i="89"/>
  <c r="P56" i="89" s="1"/>
  <c r="M69" i="89"/>
  <c r="N69" i="89" s="1"/>
  <c r="N59" i="88"/>
  <c r="H119" i="88"/>
  <c r="H101" i="88"/>
  <c r="H107" i="88" s="1"/>
  <c r="C104" i="88"/>
  <c r="Q54" i="88"/>
  <c r="E4" i="52"/>
  <c r="B48" i="72" s="1"/>
  <c r="D122" i="9"/>
  <c r="D123" i="9" s="1"/>
  <c r="D9" i="52" s="1"/>
  <c r="C72" i="9"/>
  <c r="C93" i="9"/>
  <c r="C86" i="9" s="1"/>
  <c r="D52" i="9"/>
  <c r="C64" i="9"/>
  <c r="C63" i="9" s="1"/>
  <c r="C67" i="9" s="1"/>
  <c r="C68" i="9" s="1"/>
  <c r="D54" i="9" s="1"/>
  <c r="D48" i="9" s="1"/>
  <c r="M52" i="9" s="1"/>
  <c r="M53" i="9"/>
  <c r="C85" i="9"/>
  <c r="D53" i="9"/>
  <c r="C78" i="9"/>
  <c r="C73" i="9" s="1"/>
  <c r="F4" i="52"/>
  <c r="B51" i="72" s="1"/>
  <c r="S22" i="31"/>
  <c r="B20" i="31" s="1"/>
  <c r="B21" i="31" s="1"/>
  <c r="P56" i="9"/>
  <c r="D4" i="52"/>
  <c r="B47" i="72" s="1"/>
  <c r="D119" i="9"/>
  <c r="D5" i="52" s="1"/>
  <c r="B49" i="72" s="1"/>
  <c r="D6" i="71"/>
  <c r="C5" i="71"/>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N58" i="88" l="1"/>
  <c r="Q54" i="89"/>
  <c r="S54" i="89" s="1"/>
  <c r="M69" i="88"/>
  <c r="N69" i="88" s="1"/>
  <c r="P58" i="89"/>
  <c r="P56" i="88"/>
  <c r="P58" i="88"/>
  <c r="Q55" i="88"/>
  <c r="S54" i="88"/>
  <c r="N59" i="89"/>
  <c r="N61" i="89" s="1"/>
  <c r="N58" i="89"/>
  <c r="D122" i="89"/>
  <c r="D123" i="89" s="1"/>
  <c r="H108" i="89"/>
  <c r="C97" i="88"/>
  <c r="N60" i="88"/>
  <c r="N61" i="88"/>
  <c r="D122" i="88"/>
  <c r="D123" i="88" s="1"/>
  <c r="H108" i="88"/>
  <c r="C95" i="9"/>
  <c r="C96" i="9" s="1"/>
  <c r="E96" i="9" s="1"/>
  <c r="E97" i="9" s="1"/>
  <c r="D8" i="52"/>
  <c r="C79" i="9"/>
  <c r="C80" i="9" s="1"/>
  <c r="E80" i="9" s="1"/>
  <c r="E81" i="9" s="1"/>
  <c r="R22" i="31"/>
  <c r="D5" i="71"/>
  <c r="M24" i="43" s="1"/>
  <c r="M69" i="9"/>
  <c r="N69" i="9" s="1"/>
  <c r="G14" i="74"/>
  <c r="B6" i="74" s="1"/>
  <c r="F14" i="74"/>
  <c r="B5" i="74"/>
  <c r="E5" i="74" s="1"/>
  <c r="F5" i="74" s="1"/>
  <c r="Q55" i="89" l="1"/>
  <c r="Q56" i="88"/>
  <c r="Q58" i="88"/>
  <c r="N60" i="89"/>
  <c r="C81" i="9"/>
  <c r="D58" i="9" s="1"/>
  <c r="D56" i="9" s="1"/>
  <c r="M54" i="9" s="1"/>
  <c r="N57" i="9" s="1"/>
  <c r="Q54" i="9" s="1"/>
  <c r="S54" i="9" s="1"/>
  <c r="C97" i="9"/>
  <c r="H111" i="9"/>
  <c r="D19" i="53" s="1"/>
  <c r="D6" i="74"/>
  <c r="C6" i="74"/>
  <c r="D5" i="74"/>
  <c r="C5" i="74"/>
  <c r="Q58" i="89" l="1"/>
  <c r="Q56" i="89"/>
  <c r="P57" i="9"/>
  <c r="Q55" i="9"/>
  <c r="N58" i="9"/>
  <c r="N59" i="9"/>
  <c r="T24" i="31" s="1"/>
  <c r="T22" i="31" s="1"/>
  <c r="U22" i="31" s="1"/>
  <c r="D126" i="9"/>
  <c r="D127" i="9" s="1"/>
  <c r="D13" i="52" s="1"/>
  <c r="B38" i="72"/>
  <c r="D20" i="53"/>
  <c r="B40" i="72" s="1"/>
  <c r="B8" i="74"/>
  <c r="E8" i="74" s="1"/>
  <c r="F8" i="74" s="1"/>
  <c r="Q56" i="9" l="1"/>
  <c r="Q58" i="9"/>
  <c r="N60" i="9"/>
  <c r="N61" i="9"/>
  <c r="H112" i="9" s="1"/>
  <c r="D21" i="53" s="1"/>
  <c r="B39" i="72" s="1"/>
  <c r="D12" i="52"/>
  <c r="C8" i="74"/>
  <c r="D8" i="74"/>
  <c r="U24"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A431695-F1E6-4658-BBC7-5879FCB56801}">
      <text>
        <r>
          <rPr>
            <sz val="12"/>
            <rFont val="楷体_GB2312"/>
            <family val="3"/>
            <charset val="134"/>
          </rPr>
          <t>不分项目类型时为空即可</t>
        </r>
        <r>
          <rPr>
            <sz val="9"/>
            <rFont val="宋体"/>
            <family val="3"/>
            <charset val="134"/>
          </rPr>
          <t xml:space="preserve">
</t>
        </r>
      </text>
    </comment>
    <comment ref="L18" authorId="0" shapeId="0" xr:uid="{06F89636-1ED0-4125-A989-6CE66DBA7A56}">
      <text>
        <r>
          <rPr>
            <sz val="12"/>
            <rFont val="宋体"/>
            <family val="3"/>
            <charset val="134"/>
          </rPr>
          <t>C1单元格选空即为估价对象全部</t>
        </r>
        <r>
          <rPr>
            <sz val="9"/>
            <rFont val="宋体"/>
            <family val="3"/>
            <charset val="134"/>
          </rPr>
          <t xml:space="preserve">
</t>
        </r>
      </text>
    </comment>
    <comment ref="A24" authorId="1" shapeId="0" xr:uid="{CB586E2D-9C6A-476A-A74C-8C590A61132F}">
      <text>
        <r>
          <rPr>
            <sz val="11"/>
            <rFont val="宋体"/>
            <family val="3"/>
            <charset val="134"/>
          </rPr>
          <t>需在下方列示计算过程</t>
        </r>
        <r>
          <rPr>
            <sz val="9"/>
            <rFont val="宋体"/>
            <family val="3"/>
            <charset val="134"/>
          </rPr>
          <t xml:space="preserve">
</t>
        </r>
      </text>
    </comment>
    <comment ref="H75" authorId="2" shapeId="0" xr:uid="{ADA47802-4C29-46AB-A457-98C25FF5F8F7}">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94E7324-1204-46EE-B799-81BAA5E3458C}">
      <text>
        <r>
          <rPr>
            <sz val="12"/>
            <rFont val="楷体_GB2312"/>
            <family val="3"/>
            <charset val="134"/>
          </rPr>
          <t>不分项目类型时为空即可</t>
        </r>
        <r>
          <rPr>
            <sz val="9"/>
            <rFont val="宋体"/>
            <family val="3"/>
            <charset val="134"/>
          </rPr>
          <t xml:space="preserve">
</t>
        </r>
      </text>
    </comment>
    <comment ref="L18" authorId="0" shapeId="0" xr:uid="{32433591-7D8A-4893-9B4D-0998E62A0F9E}">
      <text>
        <r>
          <rPr>
            <sz val="12"/>
            <rFont val="宋体"/>
            <family val="3"/>
            <charset val="134"/>
          </rPr>
          <t>C1单元格选空即为估价对象全部</t>
        </r>
        <r>
          <rPr>
            <sz val="9"/>
            <rFont val="宋体"/>
            <family val="3"/>
            <charset val="134"/>
          </rPr>
          <t xml:space="preserve">
</t>
        </r>
      </text>
    </comment>
    <comment ref="A24" authorId="1" shapeId="0" xr:uid="{678A191A-3805-4B94-A8DD-8FA3409E7595}">
      <text>
        <r>
          <rPr>
            <sz val="11"/>
            <rFont val="宋体"/>
            <family val="3"/>
            <charset val="134"/>
          </rPr>
          <t>需在下方列示计算过程</t>
        </r>
        <r>
          <rPr>
            <sz val="9"/>
            <rFont val="宋体"/>
            <family val="3"/>
            <charset val="134"/>
          </rPr>
          <t xml:space="preserve">
</t>
        </r>
      </text>
    </comment>
    <comment ref="H75" authorId="2" shapeId="0" xr:uid="{0A278988-9515-4232-AC69-3750124F945C}">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<sst xmlns="http://schemas.openxmlformats.org/spreadsheetml/2006/main" count="10401" uniqueCount="2897">
  <si>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</si>
  <si>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</si>
  <si>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</si>
  <si>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</si>
  <si>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</si>
  <si>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</si>
  <si>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</si>
  <si>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</si>
  <si>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</si>
  <si>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</si>
  <si>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</si>
  <si>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</si>
  <si>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</si>
  <si>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</si>
  <si>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</si>
  <si>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</si>
  <si>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</si>
  <si>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</si>
  <si>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</si>
  <si>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</si>
  <si>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</si>
  <si>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</si>
  <si>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</si>
  <si>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</si>
  <si>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</si>
  <si>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</si>
  <si>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</si>
  <si>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</si>
  <si>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</si>
  <si>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</si>
  <si>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</si>
  <si>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</si>
  <si>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</si>
  <si>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</si>
  <si>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</si>
  <si>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</si>
  <si>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</si>
  <si>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</si>
  <si>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</si>
  <si>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</si>
  <si>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</si>
  <si>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</si>
  <si>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</si>
  <si>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</si>
  <si>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</si>
  <si>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</si>
  <si>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</si>
  <si>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</si>
  <si>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</si>
  <si>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</si>
  <si>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</si>
  <si>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</si>
  <si>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</si>
  <si>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</si>
  <si>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</si>
  <si>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</si>
  <si>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</si>
  <si>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</si>
  <si>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</si>
  <si>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</si>
  <si>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</si>
  <si>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</si>
  <si>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</si>
  <si>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</si>
  <si>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</si>
  <si>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</si>
  <si>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</si>
  <si>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</si>
  <si>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</si>
  <si>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</si>
  <si>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</si>
  <si>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</si>
  <si>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</si>
  <si>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</si>
  <si>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</si>
  <si>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</si>
  <si>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</si>
  <si>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</si>
  <si>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</si>
  <si>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</si>
  <si>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</si>
  <si>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</si>
  <si>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</si>
  <si>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</si>
  <si>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</si>
  <si>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</si>
  <si>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</si>
  <si>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</si>
  <si>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</si>
  <si>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</si>
  <si>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</si>
  <si>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</si>
  <si>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</si>
  <si>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</si>
  <si>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</si>
  <si>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</si>
  <si>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</si>
  <si>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</si>
  <si>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</si>
  <si>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</si>
  <si>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</si>
  <si>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</si>
  <si>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</si>
  <si>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</si>
  <si>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</si>
  <si>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</si>
  <si>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</si>
  <si>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</si>
  <si>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</si>
  <si>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</si>
  <si>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</si>
  <si>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</si>
  <si>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</si>
  <si>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</si>
  <si>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</si>
  <si>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</si>
  <si>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</si>
  <si>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</si>
  <si>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</si>
  <si>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</si>
  <si>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</si>
  <si>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</si>
  <si>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</si>
  <si>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</si>
  <si>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</si>
  <si>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</si>
  <si>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</si>
  <si>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</si>
  <si>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</si>
  <si>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</si>
  <si>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</si>
  <si>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</si>
  <si>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</si>
  <si>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</si>
  <si>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</si>
  <si>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</si>
  <si>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</si>
  <si>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</si>
  <si>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</si>
  <si>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</si>
  <si>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</si>
  <si>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</si>
  <si>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</si>
  <si>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</si>
  <si>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</si>
  <si>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</si>
  <si>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</si>
  <si>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</si>
  <si>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</si>
  <si>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</si>
  <si>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</si>
  <si>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</si>
  <si>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</si>
  <si>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</si>
  <si>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</si>
  <si>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</si>
  <si>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</si>
  <si>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</si>
  <si>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</si>
  <si>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</si>
  <si>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</si>
  <si>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</si>
  <si>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</si>
  <si>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</si>
  <si>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</si>
  <si>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</si>
  <si>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</si>
  <si>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</si>
  <si>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</si>
  <si>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</si>
  <si>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</si>
  <si>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</si>
  <si>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</si>
  <si>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</si>
  <si>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</si>
  <si>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</si>
  <si>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</si>
  <si>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</si>
  <si>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</si>
  <si>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</si>
  <si>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</si>
  <si>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</si>
  <si>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</si>
  <si>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</si>
  <si>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</si>
  <si>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</si>
  <si>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</si>
  <si>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</si>
  <si>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</si>
  <si>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</si>
  <si>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</si>
  <si>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</si>
  <si>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</si>
  <si>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</si>
  <si>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</si>
  <si>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</si>
  <si>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</si>
  <si>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</si>
  <si>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</si>
  <si>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</si>
  <si>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</si>
  <si>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</si>
  <si>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</si>
  <si>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</si>
  <si>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</si>
  <si>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</si>
  <si>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</si>
  <si>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</si>
  <si>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</si>
  <si>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</si>
  <si>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</si>
  <si>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</si>
  <si>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</si>
  <si>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</si>
  <si>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</si>
  <si>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</si>
  <si>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</si>
  <si>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</si>
  <si>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</si>
  <si>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</si>
  <si>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</si>
  <si>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</si>
  <si>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</si>
  <si>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</si>
  <si>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</si>
  <si>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</si>
  <si>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</si>
  <si>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</si>
  <si>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</si>
  <si>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</si>
  <si>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</si>
  <si>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</si>
  <si>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</si>
  <si>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</si>
  <si>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</si>
  <si>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</si>
  <si>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</si>
  <si>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</si>
  <si>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</si>
  <si>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</si>
  <si>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</si>
  <si>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</si>
  <si>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</si>
  <si>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</si>
  <si>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</si>
  <si>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</si>
  <si>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</si>
  <si>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</si>
  <si>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</si>
  <si>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</si>
  <si>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</si>
  <si>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</si>
  <si>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</si>
  <si>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</si>
  <si>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</si>
  <si>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</si>
  <si>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</si>
  <si>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</si>
  <si>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</si>
  <si>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</si>
  <si>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</si>
  <si>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</si>
  <si>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</si>
  <si>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</si>
  <si>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</si>
  <si>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</si>
  <si>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</si>
  <si>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</si>
  <si>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</si>
  <si>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</si>
  <si>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</si>
  <si>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</si>
  <si>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</si>
  <si>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</si>
  <si>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</si>
  <si>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</si>
  <si>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</si>
  <si>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</si>
  <si>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</si>
  <si>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</si>
  <si>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</si>
  <si>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</si>
  <si>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</si>
  <si>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</si>
  <si>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</si>
  <si>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</si>
  <si>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</si>
  <si>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</si>
  <si>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</si>
  <si>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</si>
  <si>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</si>
  <si>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</si>
  <si>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</si>
  <si>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</si>
  <si>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</si>
  <si>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</si>
  <si>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</si>
  <si>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</si>
  <si>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</si>
  <si>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</si>
  <si>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</si>
  <si>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</si>
  <si>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</si>
  <si>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</si>
  <si>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</si>
  <si>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</si>
  <si>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</si>
  <si>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</si>
  <si>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</si>
  <si>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</si>
  <si>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</si>
  <si>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</si>
  <si>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</si>
  <si>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</si>
  <si>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</si>
  <si>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</si>
  <si>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</si>
  <si>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</si>
  <si>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</si>
  <si>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</si>
  <si>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</si>
  <si>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</si>
  <si>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</si>
  <si>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</si>
  <si>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</si>
  <si>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</si>
  <si>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</si>
  <si>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</si>
  <si>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</si>
  <si>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</si>
  <si>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</si>
  <si>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</si>
  <si>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</si>
  <si>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</si>
  <si>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</si>
  <si>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</si>
  <si>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</si>
  <si>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</si>
  <si>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</si>
  <si>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</si>
  <si>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</si>
  <si>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</si>
  <si>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</si>
  <si>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</si>
  <si>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</si>
  <si>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</si>
  <si>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</si>
  <si>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</si>
  <si>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</si>
  <si>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</si>
  <si>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</si>
  <si>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</si>
  <si>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</si>
  <si>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</si>
  <si>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</si>
  <si>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</si>
  <si>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</si>
  <si>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</si>
  <si>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</si>
  <si>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</si>
  <si>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</si>
  <si>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</si>
  <si>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</si>
  <si>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</si>
  <si>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</si>
  <si>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</si>
  <si>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</si>
  <si>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</si>
  <si>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</si>
  <si>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</si>
  <si>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</si>
  <si>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</si>
  <si>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</si>
  <si>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</si>
  <si>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</si>
  <si>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</si>
  <si>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</si>
  <si>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</si>
  <si>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</si>
  <si>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</si>
  <si>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</si>
  <si>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</si>
  <si>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</si>
  <si>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</si>
  <si>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</si>
  <si>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</si>
  <si>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</si>
  <si>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</si>
  <si>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</si>
  <si>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</si>
  <si>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</si>
  <si>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</si>
  <si>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</si>
  <si>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</si>
  <si>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</si>
  <si>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</si>
  <si>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</si>
  <si>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</si>
  <si>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</si>
  <si>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</si>
  <si>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</si>
  <si>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</si>
  <si>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</si>
  <si>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</si>
  <si>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</si>
  <si>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</si>
  <si>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</si>
  <si>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</si>
  <si>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</si>
  <si>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</si>
  <si>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</si>
  <si>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</si>
  <si>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</si>
  <si>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</si>
  <si>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</si>
  <si>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</si>
  <si>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</si>
  <si>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</si>
  <si>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</si>
  <si>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</si>
  <si>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</si>
  <si>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</si>
  <si>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</si>
  <si>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</si>
  <si>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</si>
  <si>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</si>
  <si>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</si>
  <si>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</si>
  <si>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</si>
  <si>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</si>
  <si>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</si>
  <si>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</si>
  <si>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</si>
  <si>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</si>
  <si>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</si>
  <si>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</si>
  <si>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</si>
  <si>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</si>
  <si>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</si>
  <si>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</si>
  <si>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</si>
  <si>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</si>
  <si>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</si>
  <si>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</si>
  <si>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</si>
  <si>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</si>
  <si>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</si>
  <si>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</si>
  <si>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</si>
  <si>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</si>
  <si>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</si>
  <si>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</si>
  <si>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</si>
  <si>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</si>
  <si>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</si>
  <si>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</si>
  <si>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</si>
  <si>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</si>
  <si>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</si>
  <si>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</si>
  <si>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</si>
  <si>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</si>
  <si>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</si>
  <si>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</si>
  <si>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</si>
  <si>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</si>
  <si>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</si>
  <si>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</si>
  <si>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</si>
  <si>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</si>
  <si>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</si>
  <si>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</si>
  <si>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</si>
  <si>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</si>
  <si>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</si>
  <si>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</si>
  <si>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</si>
  <si>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</si>
  <si>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</si>
  <si>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</si>
  <si>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</si>
  <si>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</si>
  <si>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</si>
  <si>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</si>
  <si>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</si>
  <si>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</si>
  <si>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</si>
  <si>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</si>
  <si>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</si>
  <si>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</si>
  <si>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</si>
  <si>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</si>
  <si>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</si>
  <si>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</si>
  <si>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</si>
  <si>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</si>
  <si>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</si>
  <si>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</si>
  <si>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</si>
  <si>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</si>
  <si>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</si>
  <si>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</si>
  <si>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</si>
  <si>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</si>
  <si>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</si>
  <si>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</si>
  <si>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</si>
  <si>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</si>
  <si>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</si>
  <si>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</si>
  <si>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</si>
  <si>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</si>
  <si>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</si>
  <si>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</si>
  <si>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</si>
  <si>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</si>
  <si>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</si>
  <si>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</si>
  <si>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</si>
  <si>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</si>
  <si>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</si>
  <si>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</si>
  <si>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</si>
  <si>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</si>
  <si>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</si>
  <si>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</si>
  <si>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</si>
  <si>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</si>
  <si>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</si>
  <si>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</si>
  <si>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</si>
  <si>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</si>
  <si>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</si>
  <si>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</si>
  <si>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</si>
  <si>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</si>
  <si>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</si>
  <si>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</si>
  <si>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</si>
  <si>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</si>
  <si>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</si>
  <si>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</si>
  <si>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</si>
  <si>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</si>
  <si>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</si>
  <si>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</si>
  <si>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</si>
  <si>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</si>
  <si>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</si>
  <si>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</si>
  <si>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</si>
  <si>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</si>
  <si>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</si>
  <si>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</si>
  <si>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</si>
  <si>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</si>
  <si>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</si>
  <si>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</si>
  <si>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</si>
  <si>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</si>
  <si>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</si>
  <si>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</si>
  <si>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</si>
  <si>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</si>
  <si>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</si>
  <si>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</si>
  <si>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</si>
  <si>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</si>
  <si>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</si>
  <si>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</si>
  <si>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</si>
  <si>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</si>
  <si>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</si>
  <si>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</si>
  <si>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</si>
  <si>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</si>
  <si>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</si>
  <si>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</si>
  <si>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</si>
  <si>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</si>
  <si>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</si>
  <si>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</si>
  <si>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</si>
  <si>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</si>
  <si>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</si>
  <si>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</si>
  <si>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</si>
  <si>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</si>
  <si>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</si>
  <si>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</si>
  <si>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</si>
  <si>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</si>
  <si>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</si>
  <si>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</si>
  <si>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</si>
  <si>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</si>
  <si>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</si>
  <si>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</si>
  <si>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</si>
  <si>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</si>
  <si>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</si>
  <si>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</si>
  <si>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</si>
  <si>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</si>
  <si>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</si>
  <si>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</si>
  <si>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</si>
  <si>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</si>
  <si>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</si>
  <si>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</si>
  <si>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</si>
  <si>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</si>
  <si>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</si>
  <si>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</si>
  <si>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</si>
  <si>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</si>
  <si>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</si>
  <si>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</si>
  <si>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</si>
  <si>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</si>
  <si>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</si>
  <si>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</si>
  <si>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</si>
  <si>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</si>
  <si>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</si>
  <si>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</si>
  <si>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</si>
  <si>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</si>
  <si>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</si>
  <si>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</si>
  <si>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</si>
  <si>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</si>
  <si>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</si>
  <si>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</si>
  <si>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</si>
  <si>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</si>
  <si>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</si>
  <si>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</si>
  <si>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</si>
  <si>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</si>
  <si>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</si>
  <si>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</si>
  <si>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</si>
  <si>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</si>
  <si>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</si>
  <si>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</si>
  <si>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</si>
  <si>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</si>
  <si>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</si>
  <si>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</si>
  <si>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</si>
  <si>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</si>
  <si>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</si>
  <si>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</si>
  <si>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</si>
  <si>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</si>
  <si>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</si>
  <si>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</si>
  <si>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</si>
  <si>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</si>
  <si>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</si>
  <si>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</si>
  <si>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</si>
  <si>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</si>
  <si>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</si>
  <si>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</si>
  <si>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</si>
  <si>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</si>
  <si>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</si>
  <si>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</si>
  <si>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</si>
  <si>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</si>
  <si>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</si>
  <si>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</si>
  <si>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</si>
  <si>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</si>
  <si>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</si>
  <si>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</si>
  <si>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</si>
  <si>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</si>
  <si>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</si>
  <si>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</si>
  <si>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</si>
  <si>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</si>
  <si>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</si>
  <si>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</si>
  <si>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</si>
  <si>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</si>
  <si>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</si>
  <si>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</si>
  <si>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</si>
  <si>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</si>
  <si>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</si>
  <si>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</si>
  <si>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</si>
  <si>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</si>
  <si>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</si>
  <si>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</si>
  <si>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</si>
  <si>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</si>
  <si>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</si>
  <si>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</si>
  <si>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</si>
  <si>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</si>
  <si>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</si>
  <si>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</si>
  <si>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</si>
  <si>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</si>
  <si>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</si>
  <si>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</si>
  <si>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</si>
  <si>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</si>
  <si>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</si>
  <si>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</si>
  <si>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</si>
  <si>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</si>
  <si>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</si>
  <si>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</si>
  <si>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</si>
  <si>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</si>
  <si>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</si>
  <si>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</si>
  <si>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</si>
  <si>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</si>
  <si>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</si>
  <si>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</si>
  <si>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</si>
  <si>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</si>
  <si>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</si>
  <si>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</si>
  <si>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</si>
  <si>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</si>
  <si>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</si>
  <si>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</si>
  <si>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</si>
  <si>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</si>
  <si>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</si>
  <si>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</si>
  <si>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</si>
  <si>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</si>
  <si>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</si>
  <si>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</si>
  <si>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</si>
  <si>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</si>
  <si>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</si>
  <si>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</si>
  <si>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</si>
  <si>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</si>
  <si>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</si>
  <si>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</si>
  <si>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</si>
  <si>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</si>
  <si>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</si>
  <si>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</si>
  <si>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</si>
  <si>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</si>
  <si>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</si>
  <si>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</si>
  <si>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</si>
  <si>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</si>
  <si>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</si>
  <si>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</si>
  <si>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</si>
  <si>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</si>
  <si>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</si>
  <si>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</si>
  <si>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</si>
  <si>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</si>
  <si>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</si>
  <si>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</si>
  <si>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</si>
  <si>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</si>
  <si>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</si>
  <si>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</si>
  <si>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</si>
  <si>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</si>
  <si>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</si>
  <si>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</si>
  <si>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</si>
  <si>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</si>
  <si>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</si>
  <si>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</si>
  <si>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</si>
  <si>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</si>
  <si>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</si>
  <si>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</si>
  <si>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</si>
  <si>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</si>
  <si>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</si>
  <si>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</si>
  <si>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</si>
  <si>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</si>
  <si>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</si>
  <si>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</si>
  <si>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</si>
  <si>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</si>
  <si>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</si>
  <si>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</si>
  <si>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</si>
  <si>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</si>
  <si>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</si>
  <si>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</si>
  <si>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</si>
  <si>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</si>
  <si>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</si>
  <si>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</si>
  <si>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</si>
  <si>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</si>
  <si>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</si>
  <si>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</si>
  <si>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</si>
  <si>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</si>
  <si>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</si>
  <si>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</si>
  <si>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</si>
  <si>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</si>
  <si>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</si>
  <si>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</si>
  <si>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</si>
  <si>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</si>
  <si>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</si>
  <si>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</si>
  <si>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</si>
  <si>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</si>
  <si>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</si>
  <si>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</si>
  <si>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</si>
  <si>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</si>
  <si>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</si>
  <si>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</si>
  <si>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</si>
  <si>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</si>
  <si>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</si>
  <si>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</si>
  <si>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</si>
  <si>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</si>
  <si>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</si>
  <si>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</si>
  <si>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</si>
  <si>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</si>
  <si>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</si>
  <si>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</si>
  <si>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</si>
  <si>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</si>
  <si>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</si>
  <si>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</si>
  <si>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</si>
  <si>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</si>
  <si>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</si>
  <si>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</si>
  <si>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</si>
  <si>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</si>
  <si>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</si>
  <si>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</si>
  <si>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</si>
  <si>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</si>
  <si>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</si>
  <si>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</si>
  <si>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</si>
  <si>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</si>
  <si>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</si>
  <si>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</si>
  <si>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</si>
  <si>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</si>
  <si>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</si>
  <si>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</si>
  <si>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</si>
  <si>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</si>
  <si>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</si>
  <si>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</si>
  <si>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</si>
  <si>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</si>
  <si>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</si>
  <si>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</si>
  <si>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</si>
  <si>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</si>
  <si>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</si>
  <si>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</si>
  <si>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</si>
  <si>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</si>
  <si>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</si>
  <si>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</si>
  <si>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</si>
  <si>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</si>
  <si>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</si>
  <si>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</si>
  <si>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</si>
  <si>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</si>
  <si>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</si>
  <si>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</si>
  <si>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</si>
  <si>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</si>
  <si>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</si>
  <si>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</si>
  <si>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</si>
  <si>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</si>
  <si>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</si>
  <si>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</si>
  <si>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</si>
  <si>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</si>
  <si>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</si>
  <si>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</si>
  <si>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</si>
  <si>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</si>
  <si>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</si>
  <si>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</si>
  <si>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</si>
  <si>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</si>
  <si>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</si>
  <si>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</si>
  <si>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</si>
  <si>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</si>
  <si>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</si>
  <si>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</si>
  <si>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</si>
  <si>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</si>
  <si>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</si>
  <si>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</si>
  <si>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</si>
  <si>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</si>
  <si>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</si>
  <si>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</si>
  <si>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</si>
  <si>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</si>
  <si>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</si>
  <si>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</si>
  <si>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</si>
  <si>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</si>
  <si>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</si>
  <si>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</si>
  <si>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</si>
  <si>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</si>
  <si>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</si>
  <si>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</si>
  <si>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</si>
  <si>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</si>
  <si>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</si>
  <si>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</si>
  <si>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</si>
  <si>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</si>
  <si>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</si>
  <si>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</si>
  <si>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</si>
  <si>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</si>
  <si>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</si>
  <si>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</si>
  <si>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</si>
  <si>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</si>
  <si>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</si>
  <si>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</si>
  <si>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</si>
  <si>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</si>
  <si>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</si>
  <si>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</si>
  <si>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</si>
  <si>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</si>
  <si>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</si>
  <si>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</si>
  <si>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</si>
  <si>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</si>
  <si>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</si>
  <si>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</si>
  <si>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</si>
  <si>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</si>
  <si>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</si>
  <si>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</si>
  <si>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</si>
  <si>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</si>
  <si>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</si>
  <si>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</si>
  <si>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</si>
  <si>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</si>
  <si>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</si>
  <si>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</si>
  <si>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</si>
  <si>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</si>
  <si>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</si>
  <si>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</si>
  <si>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</si>
  <si>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</si>
  <si>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</si>
  <si>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</si>
  <si>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</si>
  <si>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</si>
  <si>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</si>
  <si>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</si>
  <si>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</si>
  <si>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</si>
  <si>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</si>
  <si>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</si>
  <si>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</si>
  <si>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</si>
  <si>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</si>
  <si>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</si>
  <si>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</si>
  <si>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</si>
  <si>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</si>
  <si>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</si>
  <si>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</si>
  <si>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</si>
  <si>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</si>
  <si>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</si>
  <si>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</si>
  <si>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</si>
  <si>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</si>
  <si>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</si>
  <si>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</si>
  <si>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</si>
  <si>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</si>
  <si>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</si>
  <si>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</si>
  <si>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</si>
  <si>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</si>
  <si>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</si>
  <si>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</si>
  <si>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</si>
  <si>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</si>
  <si>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</si>
  <si>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</si>
  <si>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</si>
  <si>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</si>
  <si>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</si>
  <si>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</si>
  <si>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</si>
  <si>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</si>
  <si>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</si>
  <si>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</si>
  <si>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</si>
  <si>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</si>
  <si>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</si>
  <si>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</si>
  <si>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</si>
  <si>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</si>
  <si>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</si>
  <si>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</si>
  <si>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</si>
  <si>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</si>
  <si>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</si>
  <si>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</si>
  <si>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</si>
  <si>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</si>
  <si>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</si>
  <si>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</si>
  <si>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</si>
  <si>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</si>
  <si>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</si>
  <si>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</si>
  <si>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</si>
  <si>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</si>
  <si>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</si>
  <si>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</si>
  <si>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</si>
  <si>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</si>
  <si>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</si>
  <si>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</si>
  <si>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</si>
  <si>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</si>
  <si>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</si>
  <si>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</si>
  <si>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</si>
  <si>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</si>
  <si>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</si>
  <si>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</si>
  <si>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</si>
  <si>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</si>
  <si>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</si>
  <si>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</si>
  <si>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</si>
  <si>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</si>
  <si>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</si>
  <si>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</si>
  <si>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</si>
  <si>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</si>
  <si>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</si>
  <si>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</si>
  <si>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</si>
  <si>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</si>
  <si>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</si>
  <si>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</si>
  <si>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</si>
  <si>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</si>
  <si>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</si>
  <si>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</si>
  <si>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</si>
  <si>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</si>
  <si>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</si>
  <si>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</si>
  <si>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</si>
  <si>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</si>
  <si>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</si>
  <si>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</si>
  <si>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</si>
  <si>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</si>
  <si>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</si>
  <si>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</si>
  <si>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</si>
  <si>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</si>
  <si>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</si>
  <si>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</si>
  <si>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</si>
  <si>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</si>
  <si>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</si>
  <si>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</si>
  <si>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</si>
  <si>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</si>
  <si>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</si>
  <si>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</si>
  <si>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</si>
  <si>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</si>
  <si>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</si>
  <si>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</si>
  <si>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</si>
  <si>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</si>
  <si>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</si>
  <si>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</si>
  <si>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</si>
  <si>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</si>
  <si>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</si>
  <si>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</si>
  <si>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</si>
  <si>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</si>
  <si>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</si>
  <si>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</si>
  <si>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</si>
  <si>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</si>
  <si>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</si>
  <si>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</si>
  <si>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</si>
  <si>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</si>
  <si>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</si>
  <si>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</si>
  <si>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</si>
  <si>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</si>
  <si>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</si>
  <si>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</si>
  <si>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</si>
  <si>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</si>
  <si>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</si>
  <si>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</si>
  <si>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</si>
  <si>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</si>
  <si>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</si>
  <si>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</si>
  <si>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</si>
  <si>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</si>
  <si>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</si>
  <si>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</si>
  <si>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</si>
  <si>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</si>
  <si>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</si>
  <si>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</si>
  <si>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</si>
  <si>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</si>
  <si>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</si>
  <si>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</si>
  <si>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</si>
  <si>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</si>
  <si>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</si>
  <si>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</si>
  <si>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</si>
  <si>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</si>
  <si>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</si>
  <si>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</si>
  <si>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</si>
  <si>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</si>
  <si>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</si>
  <si>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</si>
  <si>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</si>
  <si>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</si>
  <si>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</si>
  <si>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</si>
  <si>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</si>
  <si>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</si>
  <si>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</si>
  <si>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</si>
  <si>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</si>
  <si>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</si>
  <si>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</si>
  <si>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</si>
  <si>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</si>
  <si>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</si>
  <si>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</si>
  <si>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</si>
  <si>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</si>
  <si>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</si>
  <si>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</si>
  <si>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</si>
  <si>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</si>
  <si>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</si>
  <si>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</si>
  <si>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</si>
  <si>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</si>
  <si>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</si>
  <si>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</si>
  <si>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</si>
  <si>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</si>
  <si>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</si>
  <si>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</si>
  <si>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</si>
  <si>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</si>
  <si>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</si>
  <si>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</si>
  <si>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</si>
  <si>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</si>
  <si>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</si>
  <si>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</si>
  <si>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</si>
  <si>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</si>
  <si>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</si>
  <si>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</si>
  <si>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</si>
  <si>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</si>
  <si>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</si>
  <si>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</si>
  <si>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</si>
  <si>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</si>
  <si>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</si>
  <si>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</si>
  <si>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</si>
  <si>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</si>
  <si>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</si>
  <si>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</si>
  <si>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</si>
  <si>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</si>
  <si>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</si>
  <si>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</si>
  <si>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</si>
  <si>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</si>
  <si>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</si>
  <si>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</si>
  <si>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</si>
  <si>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</si>
  <si>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</si>
  <si>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</si>
  <si>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</si>
  <si>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</si>
  <si>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</si>
  <si>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</si>
  <si>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</si>
  <si>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</si>
  <si>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</si>
  <si>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</si>
  <si>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</si>
  <si>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</si>
  <si>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</si>
  <si>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</si>
  <si>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</si>
  <si>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</si>
  <si>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</si>
  <si>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</si>
  <si>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</si>
  <si>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</si>
  <si>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</si>
  <si>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</si>
  <si>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</si>
  <si>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</si>
  <si>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</si>
  <si>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</si>
  <si>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</si>
  <si>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</si>
  <si>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</si>
  <si>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</si>
  <si>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</si>
  <si>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</si>
  <si>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</si>
  <si>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</si>
  <si>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</si>
  <si>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</si>
  <si>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</si>
  <si>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</si>
  <si>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</si>
  <si>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</si>
  <si>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</si>
  <si>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</si>
  <si>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</si>
  <si>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</si>
  <si>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</si>
  <si>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</si>
  <si>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</si>
  <si>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</si>
  <si>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</si>
  <si>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</si>
  <si>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</si>
  <si>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</si>
  <si>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</si>
  <si>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</si>
  <si>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</si>
  <si>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</si>
  <si>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</si>
  <si>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</si>
  <si>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</si>
  <si>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</si>
  <si>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</si>
  <si>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</si>
  <si>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</si>
  <si>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</si>
  <si>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</si>
  <si>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</si>
  <si>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</si>
  <si>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</si>
  <si>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</si>
  <si>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</si>
  <si>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</si>
  <si>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</si>
  <si>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</si>
  <si>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</si>
  <si>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</si>
  <si>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</si>
  <si>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</si>
  <si>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</si>
  <si>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</si>
  <si>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</si>
  <si>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</si>
  <si>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</si>
  <si>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</si>
  <si>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</si>
  <si>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</si>
  <si>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</si>
  <si>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</si>
  <si>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</si>
  <si>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</si>
  <si>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</si>
  <si>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</si>
  <si>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</si>
  <si>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</si>
  <si>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</si>
  <si>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</si>
  <si>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</si>
  <si>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</si>
  <si>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</si>
  <si>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</si>
  <si>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</si>
  <si>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</si>
  <si>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</si>
  <si>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</si>
  <si>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</si>
  <si>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</si>
  <si>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</si>
  <si>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</si>
  <si>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</si>
  <si>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</si>
  <si>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</si>
  <si>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</si>
  <si>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</si>
  <si>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</si>
  <si>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</si>
  <si>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</si>
  <si>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</si>
  <si>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</si>
  <si>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</si>
  <si>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</si>
  <si>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</si>
  <si>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</si>
  <si>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</si>
  <si>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</si>
  <si>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</si>
  <si>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</si>
  <si>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</si>
  <si>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</si>
  <si>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</si>
  <si>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</si>
  <si>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</si>
  <si>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</si>
  <si>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</si>
  <si>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</si>
  <si>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</si>
  <si>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</si>
  <si>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</si>
  <si>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</si>
  <si>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</si>
  <si>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</si>
  <si>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</si>
  <si>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</si>
  <si>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</si>
  <si>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</si>
  <si>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</si>
  <si>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</si>
  <si>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</si>
  <si>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</si>
  <si>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</si>
  <si>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</si>
  <si>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</si>
  <si>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</si>
  <si>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</si>
  <si>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</si>
  <si>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</si>
  <si>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</si>
  <si>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</si>
  <si>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</si>
  <si>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</si>
  <si>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</si>
  <si>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</si>
  <si>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</si>
  <si>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</si>
  <si>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</si>
  <si>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</si>
  <si>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</si>
  <si>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</si>
  <si>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</si>
  <si>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</si>
  <si>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</si>
  <si>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</si>
  <si>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</si>
  <si>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</si>
  <si>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</si>
  <si>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</si>
  <si>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</si>
  <si>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</si>
  <si>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</si>
  <si>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</si>
  <si>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</si>
  <si>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</si>
  <si>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</si>
  <si>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</si>
  <si>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</si>
  <si>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</si>
  <si>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</si>
  <si>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</si>
  <si>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</si>
  <si>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</si>
  <si>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</si>
  <si>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</si>
  <si>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</si>
  <si>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</si>
  <si>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</si>
  <si>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</si>
  <si>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</si>
  <si>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</si>
  <si>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</si>
  <si>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</si>
  <si>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</si>
  <si>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</si>
  <si>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</si>
  <si>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</si>
  <si>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</si>
  <si>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</si>
  <si>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</si>
  <si>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</si>
  <si>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</si>
  <si>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</si>
  <si>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</si>
  <si>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</si>
  <si>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</si>
  <si>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</si>
  <si>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</si>
  <si>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</si>
  <si>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</si>
  <si>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</si>
  <si>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</si>
  <si>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</si>
  <si>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</si>
  <si>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</si>
  <si>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</si>
  <si>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</si>
  <si>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</si>
  <si>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</si>
  <si>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</si>
  <si>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</si>
  <si>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</si>
  <si>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</si>
  <si>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</si>
  <si>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</si>
  <si>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</si>
  <si>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</si>
  <si>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</si>
  <si>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</si>
  <si>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</si>
  <si>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</si>
  <si>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</si>
  <si>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</si>
  <si>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</si>
  <si>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</si>
  <si>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</si>
  <si>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</si>
  <si>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</si>
  <si>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</si>
  <si>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</si>
  <si>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</si>
  <si>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</si>
  <si>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</si>
  <si>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</si>
  <si>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</si>
  <si>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</si>
  <si>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</si>
  <si>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</si>
  <si>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</si>
  <si>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</si>
  <si>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</si>
  <si>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</si>
  <si>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</si>
  <si>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</si>
  <si>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</si>
  <si>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</si>
  <si>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</si>
  <si>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</si>
  <si>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</si>
  <si>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</si>
  <si>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</si>
  <si>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</si>
  <si>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</si>
  <si>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</si>
  <si>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</si>
  <si>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</si>
  <si>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</si>
  <si>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</si>
  <si>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</si>
  <si>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</si>
  <si>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</si>
  <si>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</si>
  <si>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</si>
  <si>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</si>
  <si>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</si>
  <si>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</si>
  <si>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</si>
  <si>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</si>
  <si>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</si>
  <si>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</si>
  <si>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</si>
  <si>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</si>
  <si>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</si>
  <si>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</si>
  <si>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</si>
  <si>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</si>
  <si>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</si>
  <si>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</si>
  <si>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</si>
  <si>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</si>
  <si>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</si>
  <si>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</si>
  <si>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</si>
  <si>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</si>
  <si>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</si>
  <si>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</si>
  <si>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</si>
  <si>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</si>
  <si>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</si>
  <si>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</si>
  <si>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</si>
  <si>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</si>
  <si>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</si>
  <si>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</si>
  <si>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</si>
  <si>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</si>
  <si>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</si>
  <si>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</si>
  <si>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</si>
  <si>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</si>
  <si>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</si>
  <si>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</si>
  <si>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</si>
  <si>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</si>
  <si>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</si>
  <si>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</si>
  <si>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</si>
  <si>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</si>
  <si>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</si>
  <si>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</si>
  <si>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</si>
  <si>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</si>
  <si>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</si>
  <si>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</si>
  <si>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</si>
  <si>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</si>
  <si>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</si>
  <si>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</si>
  <si>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</si>
  <si>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</si>
  <si>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</si>
  <si>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</si>
  <si>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</si>
  <si>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</si>
  <si>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</si>
  <si>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</si>
  <si>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</si>
  <si>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</si>
  <si>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</si>
  <si>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</si>
  <si>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</si>
  <si>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</si>
  <si>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</si>
  <si>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</si>
  <si>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</si>
  <si>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</si>
  <si>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</si>
  <si>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</si>
  <si>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</si>
  <si>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</si>
  <si>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</si>
  <si>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</si>
  <si>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</si>
  <si>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</si>
  <si>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</si>
  <si>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</si>
  <si>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</si>
  <si>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</si>
  <si>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</si>
  <si>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</si>
  <si>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</si>
  <si>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</si>
  <si>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</si>
  <si>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</si>
  <si>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</si>
  <si>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</si>
  <si>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</si>
  <si>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</si>
  <si>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</si>
  <si>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</si>
  <si>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</si>
  <si>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</si>
  <si>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</si>
  <si>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</si>
  <si>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</si>
  <si>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</si>
  <si>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</si>
  <si>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</si>
  <si>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</si>
  <si>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</si>
  <si>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</si>
  <si>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</si>
  <si>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</si>
  <si>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</si>
  <si>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</si>
  <si>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</si>
  <si>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</si>
  <si>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</si>
  <si>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</si>
  <si>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</si>
  <si>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</si>
  <si>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</si>
  <si>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</si>
  <si>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</si>
  <si>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</si>
  <si>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</si>
  <si>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</si>
  <si>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</si>
  <si>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</si>
  <si>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</si>
  <si>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</si>
  <si>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</si>
  <si>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</si>
  <si>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</si>
  <si>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</si>
  <si>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</si>
  <si>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</si>
  <si>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</si>
  <si>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</si>
  <si>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</si>
  <si>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</si>
  <si>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</si>
  <si>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</si>
  <si>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</si>
  <si>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</si>
  <si>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</si>
  <si>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</si>
  <si>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</si>
  <si>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</si>
  <si>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</si>
  <si>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</si>
  <si>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</si>
  <si>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</si>
  <si>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</si>
  <si>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</si>
  <si>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</si>
  <si>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</si>
  <si>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</si>
  <si>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</si>
  <si>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</si>
  <si>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</si>
  <si>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</si>
  <si>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</si>
  <si>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</si>
  <si>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</si>
  <si>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</si>
  <si>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</si>
  <si>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</si>
  <si>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</si>
  <si>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</si>
  <si>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</si>
  <si>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</si>
  <si>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</si>
  <si>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</si>
  <si>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</si>
  <si>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</si>
  <si>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</si>
  <si>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</si>
  <si>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</si>
  <si>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</si>
  <si>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</si>
  <si>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</si>
  <si>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</si>
  <si>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</si>
  <si>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</si>
  <si>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</si>
  <si>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</si>
  <si>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</si>
  <si>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</si>
  <si>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</si>
  <si>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</si>
  <si>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</si>
  <si>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</si>
  <si>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</si>
  <si>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</si>
  <si>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</si>
  <si>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</si>
  <si>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</si>
  <si>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</si>
  <si>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</si>
  <si>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</si>
  <si>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</si>
  <si>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</si>
  <si>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</si>
  <si>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</si>
  <si>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</si>
  <si>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</si>
  <si>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</si>
  <si>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</si>
  <si>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</si>
  <si>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</si>
  <si>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</si>
  <si>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</si>
  <si>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</si>
  <si>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</si>
  <si>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</si>
  <si>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</si>
  <si>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</si>
  <si>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</si>
  <si>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</si>
  <si>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</si>
  <si>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</si>
  <si>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</si>
  <si>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</si>
  <si>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</si>
  <si>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</si>
  <si>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</si>
  <si>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</si>
  <si>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</si>
  <si>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</si>
  <si>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</si>
  <si>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</si>
  <si>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</si>
  <si>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</si>
  <si>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</si>
  <si>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</si>
  <si>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</si>
  <si>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</si>
  <si>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</si>
  <si>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</si>
  <si>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</si>
  <si>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</si>
  <si>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</si>
  <si>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</si>
  <si>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</si>
  <si>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</si>
  <si>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</si>
  <si>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</si>
  <si>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</si>
  <si>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</si>
  <si>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</si>
  <si>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</si>
  <si>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</si>
  <si>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</si>
  <si>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</si>
  <si>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</si>
  <si>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</si>
  <si>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</si>
  <si>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</si>
  <si>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</si>
  <si>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</si>
  <si>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</si>
  <si>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</si>
  <si>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</si>
  <si>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</si>
  <si>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</si>
  <si>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</si>
  <si>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</si>
  <si>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</si>
  <si>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</si>
  <si>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</si>
  <si>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</si>
  <si>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</si>
  <si>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</si>
  <si>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</si>
  <si>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</si>
  <si>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</si>
  <si>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</si>
  <si>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</si>
  <si>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</si>
  <si>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</si>
  <si>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</si>
  <si>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</si>
  <si>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</si>
  <si>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</si>
  <si>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</si>
  <si>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</si>
  <si>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</si>
  <si>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</si>
  <si>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</si>
  <si>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</si>
  <si>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</si>
  <si>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</si>
  <si>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</si>
  <si>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</si>
  <si>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</si>
  <si>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</si>
  <si>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</si>
  <si>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</si>
  <si>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</si>
  <si>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</si>
  <si>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</si>
  <si>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</si>
  <si>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</si>
  <si>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</si>
  <si>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</si>
  <si>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</si>
  <si>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</si>
  <si>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</si>
  <si>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</si>
  <si>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</si>
  <si>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</si>
  <si>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</si>
  <si>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</si>
  <si>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</si>
  <si>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</si>
  <si>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</si>
  <si>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</si>
  <si>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</si>
  <si>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</si>
  <si>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</si>
  <si>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</si>
  <si>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</si>
  <si>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</si>
  <si>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</si>
  <si>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</si>
  <si>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</si>
  <si>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</si>
  <si>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</si>
  <si>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</si>
  <si>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</si>
  <si>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</si>
  <si>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</si>
  <si>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</si>
  <si>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</si>
  <si>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</si>
  <si>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</si>
  <si>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</si>
  <si>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</si>
  <si>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</si>
  <si>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</si>
  <si>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</si>
  <si>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</si>
  <si>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</si>
  <si>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</si>
  <si>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</si>
  <si>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</si>
  <si>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</si>
  <si>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</si>
  <si>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</si>
  <si>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</si>
  <si>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</si>
  <si>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</si>
  <si>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</si>
  <si>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</si>
  <si>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</si>
  <si>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</si>
  <si>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</si>
  <si>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</si>
  <si>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</si>
  <si>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</si>
  <si>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</si>
  <si>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</si>
  <si>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</si>
  <si>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</si>
  <si>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</si>
  <si>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</si>
  <si>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</si>
  <si>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</si>
  <si>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</si>
  <si>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</si>
  <si>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</si>
  <si>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</si>
  <si>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</si>
  <si>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</si>
  <si>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</si>
  <si>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</si>
  <si>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</si>
  <si>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</si>
  <si>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</si>
  <si>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</si>
  <si>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</si>
  <si>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</si>
  <si>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</si>
  <si>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</si>
  <si>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</si>
  <si>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</si>
  <si>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</si>
  <si>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</si>
  <si>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</si>
  <si>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</si>
  <si>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</si>
  <si>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</si>
  <si>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</si>
  <si>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</si>
  <si>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</si>
  <si>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</si>
  <si>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</si>
  <si>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</si>
  <si>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</si>
  <si>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</si>
  <si>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</si>
  <si>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</si>
  <si>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</si>
  <si>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</si>
  <si>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</si>
  <si>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</si>
  <si>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</si>
  <si>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</si>
  <si>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</si>
  <si>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</si>
  <si>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</si>
  <si>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</si>
  <si>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</si>
  <si>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</si>
  <si>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</si>
  <si>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</si>
  <si>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</si>
  <si>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</si>
  <si>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</si>
  <si>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</si>
  <si>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</si>
  <si>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</si>
  <si>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</si>
  <si>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</si>
  <si>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</si>
  <si>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</si>
  <si>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</si>
  <si>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</si>
  <si>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</si>
  <si>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</si>
  <si>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</si>
  <si>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</si>
  <si>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</si>
  <si>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</si>
  <si>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</si>
  <si>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</si>
  <si>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</si>
  <si>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</si>
  <si>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</si>
  <si>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</si>
  <si>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</si>
  <si>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</si>
  <si>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</si>
  <si>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</si>
  <si>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</si>
  <si>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</si>
  <si>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</si>
  <si>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</si>
  <si>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</si>
  <si>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</si>
  <si>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</si>
  <si>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</si>
  <si>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</si>
  <si>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</si>
  <si>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</si>
  <si>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</si>
  <si>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</si>
  <si>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</si>
  <si>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</si>
  <si>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</si>
  <si>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</si>
  <si>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</si>
  <si>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</si>
  <si>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</si>
  <si>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</si>
  <si>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</si>
  <si>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</si>
  <si>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</si>
  <si>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</si>
  <si>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</si>
  <si>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</si>
  <si>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</si>
  <si>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</si>
  <si>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</si>
  <si>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</si>
  <si>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</si>
  <si>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</si>
  <si>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</si>
  <si>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</si>
  <si>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</si>
  <si>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</si>
  <si>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</si>
  <si>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</si>
  <si>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</si>
  <si>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</si>
  <si>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</si>
  <si>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</si>
  <si>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</si>
  <si>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</si>
  <si>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</si>
  <si>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</si>
  <si>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</si>
  <si>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</si>
  <si>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</si>
  <si>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</si>
  <si>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</si>
  <si>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</si>
  <si>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</si>
  <si>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</si>
  <si>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</si>
  <si>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</si>
  <si>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</si>
  <si>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</si>
  <si>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</si>
  <si>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</si>
  <si>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</si>
  <si>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</si>
  <si>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</si>
  <si>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</si>
  <si>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</si>
  <si>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</si>
  <si>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</si>
  <si>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</si>
  <si>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</si>
  <si>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</si>
  <si>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</si>
  <si>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</si>
  <si>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</si>
  <si>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</si>
  <si>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</si>
  <si>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</si>
  <si>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</si>
  <si>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</si>
  <si>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</si>
  <si>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</si>
  <si>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</si>
  <si>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</si>
  <si>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</si>
  <si>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</si>
  <si>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</si>
  <si>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</si>
  <si>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</si>
  <si>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</si>
  <si>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</si>
  <si>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</si>
  <si>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</si>
  <si>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</si>
  <si>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</si>
  <si>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</si>
  <si>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</si>
  <si>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</si>
  <si>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</si>
  <si>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</si>
  <si>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</si>
  <si>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</si>
  <si>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</si>
  <si>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</si>
  <si>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</si>
  <si>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</si>
  <si>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</si>
  <si>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</si>
  <si>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</si>
  <si>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</si>
  <si>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</si>
  <si>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</si>
  <si>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</si>
  <si>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</si>
  <si>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</si>
  <si>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</si>
  <si>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</si>
  <si>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</si>
  <si>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</si>
  <si>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</si>
  <si>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</si>
  <si>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</si>
  <si>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</si>
  <si>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</si>
  <si>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</si>
  <si>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</si>
  <si>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</si>
  <si>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</si>
  <si>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</si>
  <si>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</si>
  <si>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</si>
  <si>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</si>
  <si>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</si>
  <si>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</si>
  <si>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</si>
  <si>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</si>
  <si>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</si>
  <si>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</si>
  <si>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</si>
  <si>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</si>
  <si>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</si>
  <si>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</si>
  <si>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</si>
  <si>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</si>
  <si>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</si>
  <si>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</si>
  <si>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</si>
  <si>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</si>
  <si>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</si>
  <si>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</si>
  <si>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</si>
  <si>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</si>
  <si>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</si>
  <si>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</si>
  <si>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</si>
  <si>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</si>
  <si>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</si>
  <si>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</si>
  <si>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</si>
  <si>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</si>
  <si>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</si>
  <si>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</si>
  <si>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</si>
  <si>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</si>
  <si>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</si>
  <si>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</si>
  <si>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</si>
  <si>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</si>
  <si>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</si>
  <si>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</si>
  <si>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</si>
  <si>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</si>
  <si>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</si>
  <si>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</si>
  <si>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</si>
  <si>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</si>
  <si>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</si>
  <si>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</si>
  <si>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</si>
  <si>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</si>
  <si>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</si>
  <si>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</si>
  <si>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</si>
  <si>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</si>
  <si>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</si>
  <si>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</si>
  <si>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</si>
  <si>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</si>
  <si>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</si>
  <si>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</si>
  <si>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</si>
  <si>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</si>
  <si>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</si>
  <si>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</si>
  <si>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</si>
  <si>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</si>
  <si>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</si>
  <si>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</si>
  <si>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</si>
  <si>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</si>
  <si>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</si>
  <si>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</si>
  <si>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</si>
  <si>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</si>
  <si>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</si>
  <si>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</si>
  <si>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</si>
  <si>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</si>
  <si>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</si>
  <si>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</si>
  <si>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</si>
  <si>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</si>
  <si>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</si>
  <si>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</si>
  <si>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</si>
  <si>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</si>
  <si>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</si>
  <si>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</si>
  <si>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</si>
  <si>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</si>
  <si>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</si>
  <si>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</si>
  <si>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</si>
  <si>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</si>
  <si>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</si>
  <si>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</si>
  <si>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</si>
  <si>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</si>
  <si>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</si>
  <si>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</si>
  <si>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</si>
  <si>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</si>
  <si>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</si>
  <si>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</si>
  <si>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</si>
  <si>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</si>
  <si>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</si>
  <si>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</si>
  <si>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</si>
  <si>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</si>
  <si>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</si>
  <si>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</si>
  <si>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</si>
  <si>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</si>
  <si>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</si>
  <si>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</si>
  <si>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</si>
  <si>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</si>
  <si>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</si>
  <si>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</si>
  <si>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</si>
  <si>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</si>
  <si>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</si>
  <si>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</si>
  <si>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</si>
  <si>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</si>
  <si>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</si>
  <si>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</si>
  <si>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</si>
  <si>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</si>
  <si>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</si>
  <si>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</si>
  <si>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</si>
  <si>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</si>
  <si>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</si>
  <si>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</si>
  <si>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</si>
  <si>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</si>
  <si>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</si>
  <si>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</si>
  <si>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</si>
  <si>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</si>
  <si>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</si>
  <si>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</si>
  <si>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</si>
  <si>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</si>
  <si>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</si>
  <si>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</si>
  <si>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</si>
  <si>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</si>
  <si>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</si>
  <si>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</si>
  <si>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</si>
  <si>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</si>
  <si>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</si>
  <si>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</si>
  <si>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</si>
  <si>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</si>
  <si>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</si>
  <si>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</si>
  <si>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</si>
  <si>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</si>
  <si>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</si>
  <si>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</si>
  <si>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</si>
  <si>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</si>
  <si>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</si>
  <si>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</si>
  <si>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</si>
  <si>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</si>
  <si>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</si>
  <si>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</si>
  <si>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</si>
  <si>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</si>
  <si>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</si>
  <si>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</si>
  <si>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</si>
  <si>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</si>
  <si>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</si>
  <si>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</si>
  <si>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</si>
  <si>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</si>
  <si>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</si>
  <si>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</si>
  <si>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</si>
  <si>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</si>
  <si>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</si>
  <si>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</si>
  <si>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</si>
  <si>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</si>
  <si>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</si>
  <si>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</si>
  <si>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</si>
  <si>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</si>
  <si>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</si>
  <si>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</si>
  <si>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</si>
  <si>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</si>
  <si>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</si>
  <si>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</si>
  <si>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</si>
  <si>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</si>
  <si>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</si>
  <si>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</si>
  <si>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</si>
  <si>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</si>
  <si>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</si>
  <si>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</si>
  <si>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</si>
  <si>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</si>
  <si>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</si>
  <si>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</si>
  <si>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</si>
  <si>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</si>
  <si>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</si>
  <si>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</si>
  <si>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</si>
  <si>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</si>
  <si>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</si>
  <si>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</si>
  <si>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</si>
  <si>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</si>
  <si>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</si>
  <si>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</si>
  <si>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</si>
  <si>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</si>
  <si>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</si>
  <si>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</si>
  <si>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</si>
  <si>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</si>
  <si>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</si>
  <si>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</si>
  <si>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</si>
  <si>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</si>
  <si>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</si>
  <si>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</si>
  <si>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</si>
  <si>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</si>
  <si>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</si>
  <si>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</si>
  <si>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</si>
  <si>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</si>
  <si>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</si>
  <si>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</si>
  <si>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</si>
  <si>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</si>
  <si>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</si>
  <si>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</si>
  <si>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</si>
  <si>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</si>
  <si>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</si>
  <si>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</si>
  <si>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</si>
  <si>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</si>
  <si>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</si>
  <si>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</si>
  <si>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</si>
  <si>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</si>
  <si>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</si>
  <si>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</si>
  <si>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</si>
  <si>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</si>
  <si>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</si>
  <si>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</si>
  <si>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</si>
  <si>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</si>
  <si>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</si>
  <si>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</si>
  <si>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</si>
  <si>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</si>
  <si>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</si>
  <si>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</si>
  <si>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</si>
  <si>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</si>
  <si>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</si>
  <si>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</si>
  <si>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</si>
  <si>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</si>
  <si>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</si>
  <si>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</si>
  <si>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</si>
  <si>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</si>
  <si>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</si>
  <si>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</si>
  <si>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</si>
  <si>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</si>
  <si>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</si>
  <si>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</si>
  <si>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</si>
  <si>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</si>
  <si>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</si>
  <si>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</si>
  <si>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</si>
  <si>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</si>
  <si>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</si>
  <si>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</si>
  <si>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</si>
  <si>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</si>
  <si>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</si>
  <si>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</si>
  <si>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</si>
  <si>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</si>
  <si>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</si>
  <si>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</si>
  <si>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</si>
  <si>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</si>
  <si>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</si>
  <si>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</si>
  <si>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</si>
  <si>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</si>
  <si>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</si>
  <si>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</si>
  <si>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</si>
  <si>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</si>
  <si>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</si>
  <si>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</si>
  <si>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</si>
  <si>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</si>
  <si>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</si>
  <si>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</si>
  <si>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</si>
  <si>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</si>
  <si>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</si>
  <si>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</si>
  <si>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</si>
  <si>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</si>
  <si>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</si>
  <si>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</si>
  <si>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</si>
  <si>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</si>
  <si>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</si>
  <si>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</si>
  <si>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</si>
  <si>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</si>
  <si>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</si>
  <si>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</si>
  <si>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</si>
  <si>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</si>
  <si>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</si>
  <si>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</si>
  <si>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</si>
  <si>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</si>
  <si>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</si>
  <si>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</si>
  <si>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</si>
  <si>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</si>
  <si>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</si>
  <si>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</si>
  <si>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</si>
  <si>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</si>
  <si>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</si>
  <si>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</si>
  <si>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</si>
  <si>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</si>
  <si>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</si>
  <si>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</si>
  <si>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</si>
  <si>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</si>
  <si>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</si>
  <si>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</si>
  <si>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</si>
  <si>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</si>
  <si>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</si>
  <si>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</si>
  <si>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</si>
  <si>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</si>
  <si>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</si>
  <si>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</si>
  <si>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</si>
  <si>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</si>
  <si>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</si>
  <si>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</si>
  <si>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</si>
  <si>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</si>
  <si>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</si>
  <si>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</si>
  <si>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</si>
  <si>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</si>
  <si>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</si>
  <si>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</si>
  <si>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</si>
  <si>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</si>
  <si>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</si>
  <si>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</si>
  <si>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</si>
  <si>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</si>
  <si>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</si>
  <si>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</si>
  <si>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</si>
  <si>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</si>
  <si>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</si>
  <si>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</si>
  <si>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</si>
  <si>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</si>
  <si>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</si>
  <si>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</si>
  <si>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</si>
  <si>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</si>
  <si>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</si>
  <si>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</si>
  <si>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</si>
  <si>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</si>
  <si>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</si>
  <si>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</si>
  <si>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</si>
  <si>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</si>
  <si>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</si>
  <si>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</si>
  <si>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</si>
  <si>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</si>
  <si>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</si>
  <si>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</si>
  <si>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</si>
  <si>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</si>
  <si>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</si>
  <si>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</si>
  <si>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</si>
  <si>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</si>
  <si>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</si>
  <si>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</si>
  <si>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</si>
  <si>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</si>
  <si>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</si>
  <si>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</si>
  <si>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</si>
  <si>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</si>
  <si>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</si>
  <si>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</si>
  <si>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</si>
  <si>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</si>
  <si>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</si>
  <si>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</si>
  <si>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</si>
  <si>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</si>
  <si>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</si>
  <si>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</si>
  <si>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</si>
  <si>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</si>
  <si>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</si>
  <si>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</si>
  <si>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</si>
  <si>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</si>
  <si>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</si>
  <si>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</si>
  <si>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</si>
  <si>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</si>
  <si>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</si>
  <si>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</si>
  <si>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</si>
  <si>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</si>
  <si>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</si>
  <si>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</si>
  <si>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</si>
  <si>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</si>
  <si>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</si>
  <si>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</si>
  <si>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</si>
  <si>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</si>
  <si>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</si>
  <si>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</si>
  <si>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</si>
  <si>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</si>
  <si>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</si>
  <si>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</si>
  <si>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</si>
  <si>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</si>
  <si>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</si>
  <si>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</si>
  <si>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</si>
  <si>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</si>
  <si>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</si>
  <si>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</si>
  <si>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</si>
  <si>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</si>
  <si>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</si>
  <si>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</si>
  <si>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</si>
  <si>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</si>
  <si>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</si>
  <si>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</si>
  <si>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</si>
  <si>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</si>
  <si>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</si>
  <si>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</si>
  <si>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</si>
  <si>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</si>
  <si>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</si>
  <si>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</si>
  <si>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</si>
  <si>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</si>
  <si>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</si>
  <si>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</si>
  <si>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</si>
  <si>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</si>
  <si>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</si>
  <si>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</si>
  <si>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</si>
  <si>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</si>
  <si>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</si>
  <si>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</si>
  <si>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</si>
  <si>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</si>
  <si>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</si>
  <si>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</si>
  <si>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</si>
  <si>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</si>
  <si>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</si>
  <si>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</si>
  <si>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</si>
  <si>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</si>
  <si>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</si>
  <si>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</si>
  <si>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</si>
  <si>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</si>
  <si>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</si>
  <si>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</si>
  <si>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</si>
  <si>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</si>
  <si>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</si>
  <si>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</si>
  <si>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</si>
  <si>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</si>
  <si>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</si>
  <si>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</si>
  <si>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</si>
  <si>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</si>
  <si>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</si>
  <si>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</si>
  <si>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</si>
  <si>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</si>
  <si>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</si>
  <si>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</si>
  <si>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</si>
  <si>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</si>
  <si>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</si>
  <si>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</si>
  <si>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</si>
  <si>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</si>
  <si>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</si>
  <si>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</si>
  <si>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</si>
  <si>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</si>
  <si>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</si>
  <si>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</si>
  <si>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</si>
  <si>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</si>
  <si>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</si>
  <si>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</si>
  <si>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</si>
  <si>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</si>
  <si>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</si>
  <si>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</si>
  <si>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</si>
  <si>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</si>
  <si>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</si>
  <si>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</si>
  <si>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</si>
  <si>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</si>
  <si>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</si>
  <si>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</si>
  <si>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</si>
  <si>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</si>
  <si>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</si>
  <si>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</si>
  <si>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</si>
  <si>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</si>
  <si>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</si>
  <si>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</si>
  <si>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</si>
  <si>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</si>
  <si>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</si>
  <si>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</si>
  <si>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</si>
  <si>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</si>
  <si>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</si>
  <si>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</si>
  <si>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</si>
  <si>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</si>
  <si>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</si>
  <si>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</si>
  <si>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</si>
  <si>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</si>
  <si>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</si>
  <si>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</si>
  <si>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</si>
  <si>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</si>
  <si>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</si>
  <si>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</si>
  <si>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</si>
  <si>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</si>
  <si>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</si>
  <si>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</si>
  <si>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</si>
  <si>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</si>
  <si>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</si>
  <si>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</si>
  <si>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</si>
  <si>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</si>
  <si>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</si>
  <si>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</si>
  <si>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</si>
  <si>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</si>
  <si>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</si>
  <si>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</si>
  <si>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</si>
  <si>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</si>
  <si>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</si>
  <si>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</si>
  <si>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</si>
  <si>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</si>
  <si>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</si>
  <si>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</si>
  <si>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</si>
  <si>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</si>
  <si>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</si>
  <si>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</si>
  <si>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</si>
  <si>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</si>
  <si>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</si>
  <si>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</si>
  <si>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</si>
  <si>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</si>
  <si>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</si>
  <si>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</si>
  <si>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</si>
  <si>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</si>
  <si>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</si>
  <si>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</si>
  <si>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</si>
  <si>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</si>
  <si>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</si>
  <si>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</si>
  <si>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</si>
  <si>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</si>
  <si>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</si>
  <si>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</si>
  <si>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</si>
  <si>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</si>
  <si>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</si>
  <si>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</si>
  <si>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</si>
  <si>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</si>
  <si>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</si>
  <si>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</si>
  <si>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</si>
  <si>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</si>
  <si>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</si>
  <si>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</si>
  <si>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</si>
  <si>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</si>
  <si>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</si>
  <si>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</si>
  <si>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</si>
  <si>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</si>
  <si>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</si>
  <si>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</si>
  <si>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</si>
  <si>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</si>
  <si>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</si>
  <si>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</si>
  <si>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</si>
  <si>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</si>
  <si>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</si>
  <si>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</si>
  <si>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</si>
  <si>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</si>
  <si>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</si>
  <si>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</si>
  <si>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</si>
  <si>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</si>
  <si>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</si>
  <si>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</si>
  <si>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</si>
  <si>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</si>
  <si>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</si>
  <si>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</si>
  <si>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</si>
  <si>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</si>
  <si>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</si>
  <si>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</si>
  <si>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</si>
  <si>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</si>
  <si>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</si>
  <si>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</si>
  <si>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</si>
  <si>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</si>
  <si>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</si>
  <si>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</si>
  <si>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</si>
  <si>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</si>
  <si>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</si>
  <si>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</si>
  <si>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</si>
  <si>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</si>
  <si>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</si>
  <si>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</si>
  <si>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</si>
  <si>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</si>
  <si>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</si>
  <si>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</si>
  <si>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</si>
  <si>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</si>
  <si>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</si>
  <si>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</si>
  <si>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</si>
  <si>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</si>
  <si>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</si>
  <si>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</si>
  <si>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</si>
  <si>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</si>
  <si>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</si>
  <si>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</si>
  <si>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</si>
  <si>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</si>
  <si>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</si>
  <si>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</si>
  <si>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</si>
  <si>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</si>
  <si>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</si>
  <si>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</si>
  <si>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</si>
  <si>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</si>
  <si>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</si>
  <si>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</si>
  <si>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</si>
  <si>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</si>
  <si>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</si>
  <si>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</si>
  <si>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</si>
  <si>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</si>
  <si>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</si>
  <si>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</si>
  <si>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</si>
  <si>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</si>
  <si>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</si>
  <si>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</si>
  <si>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</si>
  <si>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</si>
  <si>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</si>
  <si>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</si>
  <si>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</si>
  <si>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</si>
  <si>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</si>
  <si>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</si>
  <si>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</si>
  <si>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</si>
  <si>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</si>
  <si>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</si>
  <si>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</si>
  <si>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</si>
  <si>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</si>
  <si>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</si>
  <si>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</si>
  <si>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</si>
  <si>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</si>
  <si>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</si>
  <si>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</si>
  <si>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</si>
  <si>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</si>
  <si>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</si>
  <si>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</si>
  <si>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</si>
  <si>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</si>
  <si>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</si>
  <si>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</si>
  <si>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</si>
  <si>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</si>
  <si>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</si>
  <si>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</si>
  <si>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</si>
  <si>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</si>
  <si>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</si>
  <si>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</si>
  <si>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</si>
  <si>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</si>
  <si>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</si>
  <si>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</si>
  <si>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</si>
  <si>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</si>
  <si>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</si>
  <si>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</si>
  <si>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</si>
  <si>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</si>
  <si>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</si>
  <si>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</si>
  <si>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</si>
  <si>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</si>
  <si>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</si>
  <si>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</si>
  <si>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</si>
  <si>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</si>
  <si>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</si>
  <si>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</si>
  <si>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</si>
  <si>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</si>
  <si>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</si>
  <si>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</si>
  <si>
    <t>回龙观上品折扣</t>
  </si>
  <si>
    <t>回龙观上品折扣</t>
    <phoneticPr fontId="225" type="noConversion"/>
  </si>
  <si>
    <t>较大</t>
  </si>
  <si>
    <t>独立商业</t>
  </si>
  <si>
    <t>独立商业</t>
    <phoneticPr fontId="96" type="noConversion"/>
  </si>
  <si>
    <t>回龙观地铁口</t>
  </si>
  <si>
    <t>回龙观地铁口</t>
    <phoneticPr fontId="225" type="noConversion"/>
  </si>
  <si>
    <t>黄平路商铺</t>
  </si>
  <si>
    <t>黄平路商铺</t>
    <phoneticPr fontId="225" type="noConversion"/>
  </si>
  <si>
    <t>项目位置</t>
  </si>
  <si>
    <t>10-20</t>
  </si>
  <si>
    <t>房号</t>
    <phoneticPr fontId="225" type="noConversion"/>
  </si>
  <si>
    <t>建筑面积（㎡）</t>
    <phoneticPr fontId="225" type="noConversion"/>
  </si>
  <si>
    <r>
      <rPr>
        <sz val="10"/>
        <color indexed="8"/>
        <rFont val="宋体"/>
        <family val="3"/>
        <charset val="134"/>
      </rPr>
      <t>单价（元</t>
    </r>
    <r>
      <rPr>
        <sz val="10"/>
        <color indexed="8"/>
        <rFont val="Arial"/>
        <family val="2"/>
      </rPr>
      <t>/</t>
    </r>
    <r>
      <rPr>
        <sz val="10"/>
        <color indexed="8"/>
        <rFont val="宋体"/>
        <family val="3"/>
        <charset val="134"/>
      </rPr>
      <t>㎡）</t>
    </r>
    <phoneticPr fontId="225" type="noConversion"/>
  </si>
  <si>
    <t>合计</t>
    <phoneticPr fontId="225" type="noConversion"/>
  </si>
  <si>
    <t>——</t>
    <phoneticPr fontId="225" type="noConversion"/>
  </si>
  <si>
    <t>总价（元）</t>
    <phoneticPr fontId="225" type="noConversion"/>
  </si>
  <si>
    <t>自定义</t>
  </si>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</sst>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6" fillId="0" borderId="0" xfId="0" applyFont="1" applyProtection="1">
      <alignment vertical="center"/>
      <protection locked="0"/>
    </xf>
    <xf numFmtId="14" fontId="55" fillId="7" borderId="0" xfId="0" applyNumberFormat="1" applyFont="1" applyFill="1" applyProtection="1">
      <alignment vertical="center"/>
      <protection locked="0"/>
    </xf>
    <xf numFmtId="0" fontId="22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494</v>
      </c>
    </row>
    <row r="21" spans="1:2">
      <c r="A21" s="3166" t="s">
        <v>21</v>
      </c>
      <c r="B21" s="3167">
        <f ca="1">'预评函-2'!D7</f>
        <v>37557</v>
      </c>
    </row>
    <row r="22" spans="1:2">
      <c r="A22" s="3166" t="s">
        <v>22</v>
      </c>
      <c r="B22" s="3167" t="str">
        <f ca="1">'预评函-2'!D6</f>
        <v>肆佰玖拾肆万元整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494</v>
      </c>
    </row>
    <row r="31" spans="1:2">
      <c r="A31" s="3166" t="s">
        <v>31</v>
      </c>
      <c r="B31" s="3167">
        <f ca="1">'预评函-2'!D15</f>
        <v>37557</v>
      </c>
    </row>
    <row r="32" spans="1:2">
      <c r="A32" s="3166" t="s">
        <v>32</v>
      </c>
      <c r="B32" s="3167" t="str">
        <f ca="1">'预评函-2'!D14</f>
        <v>肆佰玖拾肆万元整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405</v>
      </c>
    </row>
    <row r="48" spans="1:2">
      <c r="A48" s="3166" t="s">
        <v>48</v>
      </c>
      <c r="B48" s="3167">
        <f ca="1">'预评函-3'!E4</f>
        <v>30797</v>
      </c>
    </row>
    <row r="49" spans="1:2">
      <c r="A49" s="3166" t="s">
        <v>49</v>
      </c>
      <c r="B49" s="3167" t="str">
        <f ca="1">'预评函-3'!D5</f>
        <v>肆佰零伍万元整</v>
      </c>
    </row>
    <row r="50" spans="1:2">
      <c r="A50" s="3166" t="s">
        <v>50</v>
      </c>
      <c r="B50" s="3167" t="str">
        <f>'预评函-3'!F2</f>
        <v>在建建筑物价值</v>
      </c>
    </row>
    <row r="51" spans="1:2">
      <c r="A51" s="3166" t="s">
        <v>51</v>
      </c>
      <c r="B51" s="3167">
        <f ca="1">'预评函-3'!F4</f>
        <v>89</v>
      </c>
    </row>
    <row r="52" spans="1:2">
      <c r="A52" s="3166" t="s">
        <v>52</v>
      </c>
      <c r="B52" s="3167">
        <f ca="1">'预评函-3'!G4</f>
        <v>6760</v>
      </c>
    </row>
    <row r="53" spans="1:2">
      <c r="A53" s="3166" t="s">
        <v>53</v>
      </c>
      <c r="B53" s="3167" t="str">
        <f ca="1">'预评函-3'!F5</f>
        <v>捌拾玖万元整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2850</v>
      </c>
      <c r="C19" s="3058"/>
    </row>
    <row r="20" spans="1:3">
      <c r="A20" s="3057" t="s">
        <v>316</v>
      </c>
      <c r="B20" s="3057" t="s">
        <v>2853</v>
      </c>
      <c r="C20" s="3058"/>
    </row>
    <row r="21" spans="1:3">
      <c r="A21" s="3057" t="s">
        <v>260</v>
      </c>
      <c r="B21" s="3059" t="s">
        <v>2851</v>
      </c>
      <c r="C21" s="3058"/>
    </row>
    <row r="22" spans="1:3">
      <c r="A22" s="3057" t="s">
        <v>317</v>
      </c>
      <c r="B22" s="3057" t="s">
        <v>2855</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7"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7"/>
      <c r="B54" s="3061" t="s">
        <v>330</v>
      </c>
      <c r="C54" s="3051" t="s">
        <v>331</v>
      </c>
    </row>
    <row r="55" spans="1:4">
      <c r="A55" s="3247"/>
      <c r="B55" s="3061" t="s">
        <v>332</v>
      </c>
      <c r="C55" s="3051" t="s">
        <v>333</v>
      </c>
    </row>
    <row r="56" spans="1:4">
      <c r="A56" s="3247"/>
      <c r="B56" s="3061" t="s">
        <v>334</v>
      </c>
      <c r="C56" s="3051" t="s">
        <v>335</v>
      </c>
    </row>
    <row r="57" spans="1:4">
      <c r="A57" s="3247"/>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8" t="s">
        <v>340</v>
      </c>
      <c r="J2" s="3248"/>
      <c r="K2" s="3248"/>
      <c r="L2" s="3248"/>
      <c r="M2" s="3248"/>
      <c r="N2" s="3248"/>
      <c r="O2" s="3248"/>
      <c r="P2" s="3248"/>
      <c r="Q2" s="3248"/>
      <c r="R2" s="3248"/>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61" t="str">
        <f>IF(B10="北京市","北京市",C10)&amp;F10&amp;IF(结果表101!G1="在建","出让国有建设用地使用权及在建建筑物",IF(结果表101!G1="土地","出让国有建设用地使用权",))&amp;B9&amp;"预评估"</f>
        <v>北京市房地产抵押价值预评估</v>
      </c>
      <c r="C1" s="3262"/>
      <c r="D1" s="3262"/>
      <c r="E1" s="3262"/>
      <c r="F1" s="3262"/>
      <c r="G1" s="3262"/>
      <c r="H1" s="3262"/>
      <c r="I1" s="3263"/>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76" t="s">
        <v>447</v>
      </c>
      <c r="E8" s="2900" t="s">
        <v>330</v>
      </c>
      <c r="F8" s="2901"/>
      <c r="G8" s="2658"/>
      <c r="H8" s="2658"/>
      <c r="I8" s="2658"/>
      <c r="J8" s="2522"/>
      <c r="K8" s="2975"/>
      <c r="L8" s="2973"/>
      <c r="M8" s="2973"/>
      <c r="N8" s="2522"/>
      <c r="O8" s="2239"/>
      <c r="P8" s="2522"/>
      <c r="Q8" s="2522"/>
      <c r="R8" s="2522"/>
    </row>
    <row r="9" spans="1:30">
      <c r="A9" s="2902" t="s">
        <v>448</v>
      </c>
      <c r="B9" s="2903" t="s">
        <v>330</v>
      </c>
      <c r="C9" s="2904"/>
      <c r="D9" s="3277"/>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2859</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2842</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64" t="s">
        <v>466</v>
      </c>
      <c r="C16" s="3265"/>
      <c r="D16" s="3266"/>
      <c r="E16" s="2926" t="s">
        <v>467</v>
      </c>
      <c r="F16" s="3267"/>
      <c r="G16" s="3268"/>
      <c r="H16" s="3268"/>
      <c r="I16" s="3269"/>
      <c r="J16" s="2522"/>
      <c r="K16" s="2981"/>
      <c r="L16" s="2239"/>
      <c r="M16" s="2239"/>
      <c r="N16" s="2522"/>
      <c r="O16" s="2239"/>
      <c r="P16" s="2522"/>
      <c r="Q16" s="2522"/>
      <c r="R16" s="2522"/>
    </row>
    <row r="17" spans="1:28">
      <c r="A17" s="1866" t="s">
        <v>468</v>
      </c>
      <c r="B17" s="1855" t="s">
        <v>469</v>
      </c>
      <c r="C17" s="1472">
        <f>'数据-汇总表'!E3</f>
        <v>205.1</v>
      </c>
      <c r="D17" s="1908" t="s">
        <v>470</v>
      </c>
      <c r="E17" s="3270" t="s">
        <v>471</v>
      </c>
      <c r="F17" s="3271"/>
      <c r="G17" s="3271"/>
      <c r="H17" s="3271"/>
      <c r="I17" s="3272"/>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73" t="s">
        <v>474</v>
      </c>
      <c r="F18" s="3274"/>
      <c r="G18" s="3274"/>
      <c r="H18" s="3274"/>
      <c r="I18" s="3275"/>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51" t="s">
        <v>480</v>
      </c>
      <c r="C20" s="3252"/>
      <c r="D20" s="3253" t="s">
        <v>481</v>
      </c>
      <c r="E20" s="3254"/>
      <c r="F20" s="2935" t="s">
        <v>482</v>
      </c>
      <c r="G20" s="2658"/>
      <c r="H20" s="2658"/>
      <c r="I20" s="2658"/>
      <c r="J20" s="2522"/>
      <c r="K20" s="3249"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49"/>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49"/>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57"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57"/>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57"/>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58"/>
      <c r="B30" s="1855" t="s">
        <v>499</v>
      </c>
      <c r="C30" s="3255"/>
      <c r="D30" s="3256"/>
      <c r="E30" s="2658"/>
      <c r="F30" s="2658"/>
      <c r="G30" s="2658"/>
      <c r="H30" s="2658"/>
      <c r="I30" s="2658"/>
      <c r="J30" s="2522"/>
      <c r="K30" s="2974"/>
      <c r="L30" s="2973"/>
      <c r="M30" s="2973"/>
      <c r="N30" s="2522"/>
      <c r="O30" s="2239"/>
      <c r="P30" s="2522"/>
      <c r="Q30" s="2522"/>
      <c r="R30" s="2522"/>
      <c r="S30" s="2522"/>
      <c r="T30" s="2522"/>
      <c r="U30" s="2522"/>
      <c r="V30" s="2522"/>
    </row>
    <row r="31" spans="1:28">
      <c r="A31" s="3259"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60"/>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60"/>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50" t="s">
        <v>510</v>
      </c>
      <c r="T34" s="1896" t="str">
        <f>NUMBERSTRING(7-K34,1)&amp;"通"</f>
        <v>七通</v>
      </c>
      <c r="U34" s="2522"/>
      <c r="V34" s="2522"/>
    </row>
    <row r="35" spans="1:30">
      <c r="A35" s="2960"/>
      <c r="B35" s="3250" t="s">
        <v>511</v>
      </c>
      <c r="C35" s="3250"/>
      <c r="D35" s="3250"/>
      <c r="E35" s="3250"/>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0"/>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1922</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7" t="s">
        <v>572</v>
      </c>
      <c r="B2" s="3287"/>
      <c r="C2" s="3287"/>
      <c r="D2" s="2424" t="s">
        <v>573</v>
      </c>
      <c r="E2" s="2734" t="s">
        <v>574</v>
      </c>
      <c r="F2" s="2597"/>
      <c r="G2" s="2735"/>
      <c r="H2" s="2736"/>
      <c r="I2" s="2333" t="s">
        <v>575</v>
      </c>
      <c r="J2" s="2597"/>
      <c r="K2" s="2597"/>
      <c r="L2" s="2597"/>
      <c r="M2" s="2597"/>
      <c r="N2" s="1071"/>
      <c r="O2" s="2597"/>
      <c r="P2" s="2597"/>
    </row>
    <row r="3" spans="1:16" ht="14.4">
      <c r="A3" s="3288" t="s">
        <v>576</v>
      </c>
      <c r="B3" s="3288"/>
      <c r="C3" s="3288"/>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9"/>
      <c r="B4" s="3290"/>
      <c r="C4" s="3291"/>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92" t="s">
        <v>581</v>
      </c>
      <c r="C5" s="3292"/>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92" t="s">
        <v>582</v>
      </c>
      <c r="C6" s="3292"/>
      <c r="D6" s="2137">
        <f>ROUND($D$3*E6/$E$3,2)</f>
        <v>0</v>
      </c>
      <c r="E6" s="2742">
        <f>E3-E5</f>
        <v>205.1</v>
      </c>
      <c r="F6" s="2597"/>
      <c r="G6" s="2744" t="s">
        <v>583</v>
      </c>
      <c r="H6" s="2745" t="s">
        <v>579</v>
      </c>
      <c r="I6" s="2783" t="e">
        <f>ROUND(F31/D31,2)</f>
        <v>#DIV/0!</v>
      </c>
      <c r="J6" s="2597"/>
      <c r="K6" s="2597"/>
      <c r="L6" s="2597"/>
      <c r="M6" s="2597"/>
      <c r="N6" s="2597"/>
      <c r="O6" s="2597"/>
      <c r="P6" s="2597"/>
    </row>
    <row r="7" spans="1:16" ht="14.4">
      <c r="A7" s="3278"/>
      <c r="B7" s="3279"/>
      <c r="C7" s="3280"/>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81" t="s">
        <v>597</v>
      </c>
      <c r="L16" s="3282"/>
      <c r="M16" s="3282"/>
      <c r="N16" s="3282"/>
      <c r="O16" s="3282"/>
      <c r="P16" s="3283"/>
    </row>
    <row r="17" spans="1:19" ht="14.4">
      <c r="A17" s="2705" t="s">
        <v>598</v>
      </c>
      <c r="B17" s="2753" t="s">
        <v>599</v>
      </c>
      <c r="C17" s="2158" t="s">
        <v>600</v>
      </c>
      <c r="D17" s="2754" t="s">
        <v>573</v>
      </c>
      <c r="E17" s="2755" t="s">
        <v>574</v>
      </c>
      <c r="F17" s="2756"/>
      <c r="G17" s="2757"/>
      <c r="H17" s="2758" t="s">
        <v>601</v>
      </c>
      <c r="I17" s="2787" t="s">
        <v>602</v>
      </c>
      <c r="J17" s="2185"/>
      <c r="K17" s="3284" t="s">
        <v>603</v>
      </c>
      <c r="L17" s="3285"/>
      <c r="M17" s="3286"/>
      <c r="N17" s="3284" t="s">
        <v>604</v>
      </c>
      <c r="O17" s="3285"/>
      <c r="P17" s="3286"/>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22" sqref="U2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10.88671875" style="2114" customWidth="1"/>
    <col min="22" max="22" width="9.6640625" style="2114" customWidth="1"/>
    <col min="23" max="23" width="9.44140625" style="2114" customWidth="1"/>
    <col min="24" max="24" width="10.109375" style="2114" customWidth="1"/>
    <col min="25" max="25" width="8.88671875" style="2114" customWidth="1"/>
    <col min="26" max="26" width="9.77734375" style="2114" customWidth="1"/>
    <col min="27" max="27" width="9.33203125" style="2114" customWidth="1"/>
    <col min="28" max="28" width="9.21875" style="2114" customWidth="1"/>
    <col min="29" max="29" width="9.44140625" style="2114" customWidth="1"/>
    <col min="30" max="30" width="6.77734375" style="2114" customWidth="1"/>
    <col min="31" max="31" width="10"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7</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2852</v>
      </c>
      <c r="AO7" s="1126">
        <f t="shared" ref="AO7:AO13" ca="1" si="9">SUMIF(INDIRECT("'"&amp;AN7&amp;"'"&amp;"!A:A"),"总价",INDIRECT("'"&amp;AN7&amp;"'"&amp;"!B:B"))</f>
        <v>101.15</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6.53</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2854</v>
      </c>
      <c r="AO8" s="1126">
        <f t="shared" ca="1" si="9"/>
        <v>123.9389</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2787</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2788</v>
      </c>
      <c r="N19" s="2408">
        <v>0.8</v>
      </c>
      <c r="O19" s="2408"/>
      <c r="P19" s="2408"/>
      <c r="Q19" s="2408"/>
      <c r="R19" s="2408"/>
      <c r="S19" s="2408"/>
      <c r="T19" s="2408"/>
      <c r="U19" s="3108" t="s">
        <v>2875</v>
      </c>
      <c r="V19" s="3108" t="s">
        <v>2876</v>
      </c>
      <c r="W19" s="2408"/>
      <c r="X19" s="2679" t="s">
        <v>2877</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204">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v>7</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Y20*0.9</f>
        <v>6.3</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205">
        <v>45863</v>
      </c>
      <c r="X24" s="2408"/>
      <c r="Y24" s="2408"/>
      <c r="Z24" s="2408"/>
      <c r="AA24" s="2408"/>
      <c r="AB24" s="2408"/>
      <c r="AC24" s="2408"/>
      <c r="AD24" s="2408"/>
      <c r="AE24" s="3205">
        <v>46531</v>
      </c>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2841</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93" t="s">
        <v>731</v>
      </c>
      <c r="B1" s="3294"/>
      <c r="C1" s="3294"/>
      <c r="D1" s="3294"/>
      <c r="E1" s="3294"/>
      <c r="F1" s="3294"/>
      <c r="G1" s="3294"/>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2793</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2793</v>
      </c>
      <c r="D6" s="2515"/>
      <c r="E6" s="2520"/>
      <c r="F6" s="1896" t="s">
        <v>740</v>
      </c>
      <c r="G6" s="2521"/>
      <c r="H6" s="2397"/>
      <c r="I6" s="2397"/>
      <c r="J6" s="2397"/>
      <c r="K6" s="2397"/>
      <c r="L6" s="2397"/>
      <c r="M6" s="2397"/>
      <c r="N6" s="2397"/>
      <c r="O6" s="2397"/>
      <c r="P6" s="2397"/>
      <c r="Q6" s="2397"/>
    </row>
    <row r="7" spans="1:29">
      <c r="A7" s="2516"/>
      <c r="B7" s="1896" t="s">
        <v>563</v>
      </c>
      <c r="C7" s="3177" t="s">
        <v>2793</v>
      </c>
      <c r="D7" s="2522"/>
      <c r="E7" s="2523"/>
      <c r="F7" s="2524" t="s">
        <v>741</v>
      </c>
      <c r="G7" s="2525"/>
      <c r="H7" s="2397"/>
      <c r="I7" s="2397"/>
      <c r="J7" s="2397"/>
      <c r="K7" s="2397"/>
      <c r="L7" s="2397"/>
      <c r="M7" s="2397"/>
      <c r="N7" s="2397"/>
      <c r="O7" s="2397"/>
      <c r="P7" s="2397"/>
      <c r="Q7" s="2397"/>
    </row>
    <row r="8" spans="1:29">
      <c r="A8" s="2516"/>
      <c r="B8" s="1896" t="s">
        <v>740</v>
      </c>
      <c r="C8" s="3178" t="s">
        <v>2794</v>
      </c>
      <c r="D8" s="2522"/>
      <c r="E8" s="2522"/>
      <c r="F8" s="1458"/>
      <c r="G8" s="1458"/>
      <c r="H8" s="2397"/>
      <c r="I8" s="2397"/>
      <c r="J8" s="2397"/>
      <c r="K8" s="2397"/>
      <c r="L8" s="2397"/>
      <c r="M8" s="2397"/>
      <c r="N8" s="2397"/>
      <c r="O8" s="2397"/>
      <c r="P8" s="2397"/>
      <c r="Q8" s="2397"/>
    </row>
    <row r="9" spans="1:29">
      <c r="A9" s="2516"/>
      <c r="B9" s="1896" t="s">
        <v>742</v>
      </c>
      <c r="C9" s="3177" t="s">
        <v>2793</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E14" sqref="E14"/>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42.98</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146.89269999999999</v>
      </c>
      <c r="C5" s="2490">
        <f ca="1">IF(B5=D14,结果表101!H102,ROUND(B5*10000/$B$1,0))</f>
        <v>37557</v>
      </c>
      <c r="D5" s="2490" t="e">
        <f ca="1">ROUND(B5*10000/$B$2,0)</f>
        <v>#DIV/0!</v>
      </c>
      <c r="E5" s="2491">
        <f ca="1">B5*10000</f>
        <v>1468927</v>
      </c>
      <c r="F5" s="3295" t="str">
        <f ca="1">NUMBERSTRING(INT(E5),2)&amp;"元整"</f>
        <v>壹佰肆拾陆万捌仟玖佰贰拾柒元整</v>
      </c>
      <c r="G5" s="3296"/>
      <c r="H5" s="2492"/>
      <c r="I5" s="2492"/>
      <c r="J5" s="2492"/>
      <c r="K5" s="2492"/>
    </row>
    <row r="6" spans="1:11" ht="15.6">
      <c r="A6" s="2490" t="s">
        <v>756</v>
      </c>
      <c r="B6" s="2490">
        <f ca="1">SUM(G14:G23)</f>
        <v>146.89269999999999</v>
      </c>
      <c r="C6" s="2490">
        <f ca="1">IF(B6=G14,结果表101!H108,ROUND(B6*10000/$B$1,0))</f>
        <v>37557</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5" t="str">
        <f>NUMBERSTRING(INT(E8*10000),2)&amp;"元整"</f>
        <v>零元整</v>
      </c>
      <c r="G8" s="3296"/>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104</v>
      </c>
      <c r="B14" s="2501">
        <f>结果表104!B118</f>
        <v>42.98</v>
      </c>
      <c r="C14" s="2501"/>
      <c r="D14" s="2501">
        <f ca="1">ROUND(E14*B14/10000,4)</f>
        <v>146.89269999999999</v>
      </c>
      <c r="E14" s="2501">
        <f ca="1">结果表104!I118</f>
        <v>34177</v>
      </c>
      <c r="F14" s="2501" t="e">
        <f ca="1">ROUND(D14*10000/C14,0)</f>
        <v>#DIV/0!</v>
      </c>
      <c r="G14" s="2501">
        <f ca="1">D14</f>
        <v>146.89269999999999</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L44" zoomScaleNormal="100" zoomScaleSheetLayoutView="100" zoomScalePageLayoutView="80" workbookViewId="0">
      <selection activeCell="P58" sqref="P58:R58"/>
    </sheetView>
  </sheetViews>
  <sheetFormatPr defaultColWidth="12.6640625" defaultRowHeight="21.75" customHeight="1"/>
  <cols>
    <col min="1" max="2" width="12.6640625" style="2114"/>
    <col min="3" max="3" width="15" style="2114" customWidth="1"/>
    <col min="4"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101</v>
      </c>
      <c r="D1" s="1998"/>
      <c r="E1" s="1998"/>
      <c r="F1" s="2117" t="s">
        <v>778</v>
      </c>
      <c r="G1" s="2118"/>
      <c r="H1" s="2117" t="str">
        <f>IF(G1="现房","——","估价对象范围")</f>
        <v>估价对象范围</v>
      </c>
      <c r="I1" s="2247"/>
    </row>
    <row r="2" spans="1:12" ht="21.75" customHeigh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2840</v>
      </c>
      <c r="D4" s="2121" t="s">
        <v>266</v>
      </c>
      <c r="E4" s="3376" t="s">
        <v>782</v>
      </c>
      <c r="F4" s="3377"/>
      <c r="G4" s="3377"/>
      <c r="H4" s="3377"/>
      <c r="I4" s="3378"/>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131.51</v>
      </c>
      <c r="M18" s="1855">
        <f>IF(C1="",'数据-汇总表'!E3,SUMIF(项目类型,C1,'数据-汇总表'!E17:E26))</f>
        <v>131.51</v>
      </c>
    </row>
    <row r="19" spans="1:36" ht="14.4">
      <c r="A19" s="1129" t="s">
        <v>805</v>
      </c>
      <c r="B19" s="2132" t="s">
        <v>806</v>
      </c>
      <c r="C19" s="2133">
        <f ca="1">SUMIF(INDIRECT("'"&amp;C4&amp;"'"&amp;"!A:A"),结果表101!B19,INDIRECT("'"&amp;C4&amp;"'"&amp;"!B:B"))</f>
        <v>533.48350000000005</v>
      </c>
      <c r="D19" s="1245">
        <f ca="1">SUMIF(INDIRECT("'"&amp;D4&amp;"'"&amp;"!A:A"),结果表101!B19,INDIRECT("'"&amp;D4&amp;"'"&amp;"!B:B"))</f>
        <v>434.56380000000001</v>
      </c>
      <c r="E19" s="1129" t="s">
        <v>807</v>
      </c>
      <c r="F19" s="2132" t="s">
        <v>806</v>
      </c>
      <c r="G19" s="2134">
        <f ca="1">ROUND(C19*$C$18+D19*$D$18,0)</f>
        <v>494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SUMIF(INDIRECT("'"&amp;C4&amp;"'"&amp;"!A:A"),结果表101!B20,INDIRECT("'"&amp;C4&amp;"'"&amp;"!B:B"))</f>
        <v>40566</v>
      </c>
      <c r="D20" s="1602">
        <f ca="1">SUMIF(INDIRECT("'"&amp;D4&amp;"'"&amp;"!A:A"),结果表101!B20,INDIRECT("'"&amp;D4&amp;"'"&amp;"!B:B"))</f>
        <v>33044</v>
      </c>
      <c r="E20" s="2136"/>
      <c r="F20" s="2137" t="s">
        <v>809</v>
      </c>
      <c r="G20" s="2138">
        <f ca="1">ROUND(C20*$C$18+D20*$D$18,0)</f>
        <v>37557</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0.22762986700686993</v>
      </c>
      <c r="E22" s="1458"/>
      <c r="F22" s="1458"/>
      <c r="G22" s="1458"/>
      <c r="H22" s="1458"/>
      <c r="I22" s="1458"/>
      <c r="J22" s="3196" t="s">
        <v>2889</v>
      </c>
      <c r="K22" s="3196" t="s">
        <v>2890</v>
      </c>
      <c r="L22" s="3206" t="s">
        <v>2891</v>
      </c>
      <c r="M22" s="3196" t="s">
        <v>2894</v>
      </c>
    </row>
    <row r="23" spans="1:36" ht="13.2">
      <c r="A23" s="1998"/>
      <c r="B23" s="1998"/>
      <c r="C23" s="1998"/>
      <c r="D23" s="1998"/>
      <c r="E23" s="1458"/>
      <c r="F23" s="1458"/>
      <c r="G23" s="1458"/>
      <c r="H23" s="1458"/>
      <c r="I23" s="1458"/>
      <c r="J23" s="3195">
        <v>101</v>
      </c>
      <c r="K23" s="3195">
        <f>'数据-汇总表'!F19</f>
        <v>131.51</v>
      </c>
      <c r="L23" s="3195">
        <f ca="1">G20</f>
        <v>37557</v>
      </c>
      <c r="M23" s="3195">
        <f ca="1">ROUND(L23*K23,0)</f>
        <v>4939121</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37557</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30797</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4.4">
      <c r="A35" s="2172"/>
      <c r="B35" s="2173" t="s">
        <v>827</v>
      </c>
      <c r="C35" s="2174">
        <f ca="1">IF(C33="自定义",F35,ROUND(C32*D35,0))</f>
        <v>6760</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4.4">
      <c r="A36" s="3301" t="s">
        <v>829</v>
      </c>
      <c r="B36" s="2178" t="s">
        <v>830</v>
      </c>
      <c r="C36" s="2179"/>
      <c r="D36" s="2180"/>
      <c r="E36" s="2181"/>
      <c r="F36" s="2182"/>
      <c r="G36" s="1458"/>
      <c r="H36" s="1458"/>
      <c r="I36" s="1458"/>
    </row>
    <row r="37" spans="1:15" ht="14.4">
      <c r="A37" s="3302"/>
      <c r="B37" s="2183" t="s">
        <v>831</v>
      </c>
      <c r="C37" s="2184"/>
      <c r="D37" s="2185"/>
      <c r="E37" s="2185"/>
      <c r="F37" s="2182"/>
      <c r="G37" s="1458"/>
      <c r="H37" s="1458"/>
      <c r="I37" s="1458"/>
    </row>
    <row r="38" spans="1:15" ht="14.4">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381" t="s">
        <v>840</v>
      </c>
      <c r="B45" s="3382"/>
      <c r="C45" s="3383"/>
      <c r="D45" s="2204">
        <f ca="1">ROUND(G20*L18*F45,0)</f>
        <v>4939121</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4939121</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4939121</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49391</v>
      </c>
      <c r="R51" s="1417" t="str">
        <f>N53</f>
        <v>销售额×税（费）率</v>
      </c>
      <c r="S51" s="3197">
        <v>0.01</v>
      </c>
    </row>
    <row r="52" spans="1:35" ht="24" customHeight="1">
      <c r="A52" s="2225" t="s">
        <v>870</v>
      </c>
      <c r="B52" s="3336" t="s">
        <v>871</v>
      </c>
      <c r="C52" s="3336"/>
      <c r="D52" s="1904">
        <f ca="1">ROUND(D45*'数据-取费表'!B41/(1+'数据-取费表'!C42),0)</f>
        <v>258716</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258716</v>
      </c>
      <c r="E53" s="1908" t="s">
        <v>872</v>
      </c>
      <c r="F53" s="2226">
        <f>'数据-取费表'!B41</f>
        <v>5.5000000000000007E-2</v>
      </c>
      <c r="G53" s="2227"/>
      <c r="H53" s="2019"/>
      <c r="I53" s="2256"/>
      <c r="J53" s="576">
        <v>2</v>
      </c>
      <c r="K53" s="3356" t="s">
        <v>876</v>
      </c>
      <c r="L53" s="3356"/>
      <c r="M53" s="2257">
        <f t="shared" ref="M53:O54" ca="1" si="1">D55</f>
        <v>2470</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148174</v>
      </c>
      <c r="Q54" s="3201">
        <f ca="1">P54+N57+Q51</f>
        <v>200035</v>
      </c>
      <c r="R54" s="3199"/>
      <c r="S54" s="2270" t="str">
        <f ca="1">NUMBERSTRING(INT(Q54),2)&amp;"元整"</f>
        <v>贰拾万零叁拾伍元整</v>
      </c>
    </row>
    <row r="55" spans="1:35" ht="24" customHeight="1">
      <c r="A55" s="3361" t="s">
        <v>881</v>
      </c>
      <c r="B55" s="3362"/>
      <c r="C55" s="3362"/>
      <c r="D55" s="2229">
        <f ca="1">IF(H55="个人住宅",0,ROUND(D45*I55,0))</f>
        <v>2470</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4790947</v>
      </c>
      <c r="Q55" s="3201">
        <f ca="1">ROUND(M49-Q54,0)</f>
        <v>4739086</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36430</v>
      </c>
      <c r="Q56" s="3201">
        <f ca="1">ROUND(Q55/B118,0)</f>
        <v>36036</v>
      </c>
      <c r="R56" s="3199"/>
    </row>
    <row r="57" spans="1:35" ht="13.2">
      <c r="A57" s="2225" t="s">
        <v>856</v>
      </c>
      <c r="B57" s="3335" t="s">
        <v>887</v>
      </c>
      <c r="C57" s="3352"/>
      <c r="D57" s="2218">
        <v>0</v>
      </c>
      <c r="E57" s="1914" t="s">
        <v>858</v>
      </c>
      <c r="F57" s="1855"/>
      <c r="G57" s="2227"/>
      <c r="H57" s="2232"/>
      <c r="I57" s="2239"/>
      <c r="J57" s="3356">
        <f>IF(AND(J55="",J56=""),4,IF(项目基本情况!K6="上海银行",结果表101!J56+1,结果表101!J55+1))</f>
        <v>4</v>
      </c>
      <c r="K57" s="3356" t="s">
        <v>888</v>
      </c>
      <c r="L57" s="2264" t="s">
        <v>889</v>
      </c>
      <c r="M57" s="2265"/>
      <c r="N57" s="2266">
        <f ca="1">SUMIF(M52:M56,"&lt;9e307")</f>
        <v>2470</v>
      </c>
      <c r="O57" s="2267"/>
      <c r="P57" s="2268">
        <f ca="1">N57/M49</f>
        <v>5.0008898344462509E-4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贰仟肆佰柒拾万元整</v>
      </c>
      <c r="O58" s="2271"/>
      <c r="P58" s="2270" t="str">
        <f ca="1">NUMBERSTRING(INT(P55),2)&amp;"元整"</f>
        <v>肆佰柒拾玖万零玖佰肆拾柒元整</v>
      </c>
      <c r="Q58" s="2270" t="str">
        <f ca="1">NUMBERSTRING(INT(Q55),2)&amp;"元整"</f>
        <v>肆佰柒拾叁万玖仟零捌拾陆元整</v>
      </c>
    </row>
    <row r="59" spans="1:35" ht="24">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4936651</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肆佰玖拾叁亿陆仟陆佰伍拾壹万元整</v>
      </c>
      <c r="O60" s="2271"/>
    </row>
    <row r="61" spans="1:35" ht="13.2">
      <c r="A61" s="3355" t="s">
        <v>896</v>
      </c>
      <c r="B61" s="3355"/>
      <c r="C61" s="3355"/>
      <c r="D61" s="3355"/>
      <c r="E61" s="3355"/>
      <c r="F61" s="2239"/>
      <c r="G61" s="2239"/>
      <c r="H61" s="1459"/>
      <c r="I61" s="1458"/>
      <c r="J61" s="576">
        <f>J59+1</f>
        <v>6</v>
      </c>
      <c r="K61" s="3356" t="s">
        <v>897</v>
      </c>
      <c r="L61" s="3356"/>
      <c r="M61" s="2276"/>
      <c r="N61" s="2488">
        <f ca="1">ROUND(N59*10000/'数据-汇总表'!E3,0)</f>
        <v>240694832</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4703924.7619000003</v>
      </c>
      <c r="D63" s="586"/>
      <c r="E63" s="2243"/>
      <c r="F63" s="2239"/>
      <c r="G63" s="2239"/>
      <c r="H63" s="1459"/>
      <c r="I63" s="1458"/>
      <c r="J63" s="3359" t="s">
        <v>902</v>
      </c>
      <c r="K63" s="2278" t="s">
        <v>903</v>
      </c>
      <c r="L63" s="2278">
        <f ca="1">IF(M49&gt;10000,M49*0.5%,IF(AND(M49&gt;1000,M49&lt;=10000),M49*1%,IF(AND(M49&gt;100,M49&lt;=1000),M49*3%,IF(AND(M49&gt;10,M49&lt;=100),M49*5%,M49*8%))))</f>
        <v>24695.605</v>
      </c>
      <c r="M63" s="1855">
        <f ca="1">ROUND(L63,1)</f>
        <v>24695.599999999999</v>
      </c>
      <c r="N63" s="2279"/>
      <c r="Z63" s="2113"/>
      <c r="AI63" s="2114"/>
    </row>
    <row r="64" spans="1:35" ht="14.25" customHeight="1">
      <c r="A64" s="2244" t="s">
        <v>904</v>
      </c>
      <c r="B64" s="509" t="s">
        <v>905</v>
      </c>
      <c r="C64" s="2245">
        <f ca="1">D45</f>
        <v>4939121</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24695.605</v>
      </c>
      <c r="M64" s="1855">
        <f t="shared" ref="M64:M65" ca="1" si="2">ROUND(L64,1)</f>
        <v>24695.599999999999</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4939.1210000000001</v>
      </c>
      <c r="M65" s="1855">
        <f t="shared" ca="1" si="2"/>
        <v>4939.1000000000004</v>
      </c>
      <c r="N65" s="2019" t="s">
        <v>907</v>
      </c>
      <c r="Z65" s="2113"/>
      <c r="AI65" s="2114"/>
    </row>
    <row r="66" spans="1:35" ht="14.25" customHeight="1">
      <c r="A66" s="2241" t="s">
        <v>911</v>
      </c>
      <c r="B66" s="2282" t="s">
        <v>912</v>
      </c>
      <c r="C66" s="2283">
        <f>ROUND('数据-取费表'!U20/1.05,0)</f>
        <v>5016168</v>
      </c>
      <c r="D66" s="2282" t="s">
        <v>124</v>
      </c>
      <c r="E66" s="2284" t="s">
        <v>913</v>
      </c>
      <c r="F66" s="2239"/>
      <c r="G66" s="2239"/>
      <c r="H66" s="1459"/>
      <c r="I66" s="1458"/>
      <c r="J66" s="3359"/>
      <c r="K66" s="2278" t="s">
        <v>914</v>
      </c>
      <c r="L66" s="2278">
        <f ca="1">M49*0.5%</f>
        <v>24695.605</v>
      </c>
      <c r="M66" s="1855">
        <f ca="1">IF(L66&gt;0.5,0.5,ROUND(L66,0))</f>
        <v>0.5</v>
      </c>
      <c r="N66" s="2019" t="s">
        <v>915</v>
      </c>
      <c r="Z66" s="2113"/>
      <c r="AI66" s="2114"/>
    </row>
    <row r="67" spans="1:35" ht="14.25" customHeight="1">
      <c r="A67" s="2241" t="s">
        <v>916</v>
      </c>
      <c r="B67" s="2282" t="s">
        <v>917</v>
      </c>
      <c r="C67" s="2285">
        <f ca="1">C63-C66</f>
        <v>-312243.23809999973</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501.16210000000001</v>
      </c>
      <c r="M67" s="1855">
        <f ca="1">ROUND(L67*0.9,1)</f>
        <v>451</v>
      </c>
      <c r="N67" s="2279"/>
      <c r="Z67" s="2113"/>
      <c r="AI67" s="2114"/>
    </row>
    <row r="68" spans="1:35" ht="14.25" customHeigh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24695.605</v>
      </c>
      <c r="M68" s="1855">
        <f ca="1">ROUND(L68,1)</f>
        <v>24695.599999999999</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79477</v>
      </c>
      <c r="N69" s="2358">
        <f ca="1">M69/M49</f>
        <v>1.6091324751914358E-2</v>
      </c>
      <c r="Z69" s="2113"/>
      <c r="AI69" s="2114"/>
    </row>
    <row r="70" spans="1:35" s="886" customFormat="1" ht="13.8">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4703924.7619000003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6200572.2180000003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6177052.5942000002</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5016168</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1254042</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145707.7371</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23519.623800000001</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-1496647.4561000001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4703925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23520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23520</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4680405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198.99681122448979</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2800011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v>
      </c>
      <c r="D101" s="2335" t="str">
        <f>D4</f>
        <v>收益法 (元)</v>
      </c>
      <c r="E101" s="3344" t="s">
        <v>970</v>
      </c>
      <c r="F101" s="3339"/>
      <c r="G101" s="2337" t="s">
        <v>971</v>
      </c>
      <c r="H101" s="2338">
        <f ca="1">H118</f>
        <v>494</v>
      </c>
      <c r="I101" s="1458"/>
    </row>
    <row r="102" spans="1:35" ht="18.75" customHeight="1">
      <c r="A102" s="3304" t="s">
        <v>972</v>
      </c>
      <c r="B102" s="2339" t="s">
        <v>971</v>
      </c>
      <c r="C102" s="2334">
        <f ca="1">IF(D32="楼面单价",ROUND(C19,0),C19)</f>
        <v>533</v>
      </c>
      <c r="D102" s="2335">
        <f ca="1">IF(D32="楼面单价",ROUND(D19,0),D19)</f>
        <v>435</v>
      </c>
      <c r="E102" s="3344"/>
      <c r="F102" s="3339"/>
      <c r="G102" s="2337" t="s">
        <v>99</v>
      </c>
      <c r="H102" s="2227">
        <f ca="1">I118</f>
        <v>37557</v>
      </c>
      <c r="I102" s="1458"/>
    </row>
    <row r="103" spans="1:35" ht="42.75" customHeight="1">
      <c r="A103" s="3304"/>
      <c r="B103" s="2339" t="s">
        <v>99</v>
      </c>
      <c r="C103" s="2340">
        <f ca="1">C20</f>
        <v>40566</v>
      </c>
      <c r="D103" s="2341">
        <f ca="1">D20</f>
        <v>33044</v>
      </c>
      <c r="E103" s="3322" t="s">
        <v>973</v>
      </c>
      <c r="F103" s="3323"/>
      <c r="G103" s="2342" t="s">
        <v>102</v>
      </c>
      <c r="H103" s="2338">
        <f>IF(D36="正常操作",H104+H105+H106,H105+H106)</f>
        <v>0</v>
      </c>
      <c r="I103" s="1458"/>
    </row>
    <row r="104" spans="1:35" ht="18.75" customHeight="1">
      <c r="A104" s="3304" t="s">
        <v>974</v>
      </c>
      <c r="B104" s="2343" t="s">
        <v>971</v>
      </c>
      <c r="C104" s="2344">
        <f ca="1">H118</f>
        <v>494</v>
      </c>
      <c r="D104" s="2345"/>
      <c r="E104" s="2183" t="s">
        <v>975</v>
      </c>
      <c r="F104" s="2346"/>
      <c r="G104" s="2342" t="s">
        <v>102</v>
      </c>
      <c r="H104" s="2347">
        <f>IF(D36="同一抵押权人同一抵押物续贷",C36&amp;"（续贷，未扣减，详见特别提示）",C36)</f>
        <v>0</v>
      </c>
      <c r="I104" s="1458"/>
    </row>
    <row r="105" spans="1:35" ht="18.75" customHeight="1">
      <c r="A105" s="3305"/>
      <c r="B105" s="2348" t="s">
        <v>99</v>
      </c>
      <c r="C105" s="2349">
        <f ca="1">I118</f>
        <v>37557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494</v>
      </c>
      <c r="I107" s="1458"/>
    </row>
    <row r="108" spans="1:35" ht="18.75" customHeight="1">
      <c r="A108" s="1458"/>
      <c r="B108" s="1458"/>
      <c r="C108" s="1458"/>
      <c r="D108" s="1458"/>
      <c r="E108" s="3338"/>
      <c r="F108" s="3339"/>
      <c r="G108" s="2337" t="s">
        <v>99</v>
      </c>
      <c r="H108" s="2227">
        <f ca="1">IF(H107=H101,H102,ROUND(H107*10000/'数据-汇总表'!E3,0))</f>
        <v>37557</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131.51</v>
      </c>
      <c r="C118" s="868">
        <f>M19</f>
        <v>0</v>
      </c>
      <c r="D118" s="868">
        <f ca="1">ROUND(IF(D32="总价",C34,E118*B118/10000),0)</f>
        <v>405</v>
      </c>
      <c r="E118" s="868">
        <f ca="1">ROUND(IF(C33="自定义",IF(D32="楼面单价",C34,D118*10000/B118),I118-G118),0)</f>
        <v>30797</v>
      </c>
      <c r="F118" s="868">
        <f ca="1">ROUND(IF(D32="总价",C35,G118*B118/10000),0)</f>
        <v>89</v>
      </c>
      <c r="G118" s="868">
        <f ca="1">ROUND(IF(D32="楼面单价",C35,F118*10000/B118),0)</f>
        <v>6760</v>
      </c>
      <c r="H118" s="2357">
        <f ca="1">ROUND(IF(D32="总价",C32,I118*B118/10000),0)</f>
        <v>494</v>
      </c>
      <c r="I118" s="868">
        <f ca="1">ROUND(IF(D32="楼面单价",C32,H118*10000/B118),0)</f>
        <v>37557</v>
      </c>
    </row>
    <row r="119" spans="1:27" ht="18.75" customHeight="1">
      <c r="A119" s="3298" t="s">
        <v>987</v>
      </c>
      <c r="B119" s="3298"/>
      <c r="C119" s="3298"/>
      <c r="D119" s="3310" t="str">
        <f ca="1">NUMBERSTRING(INT(D118*10000),2)&amp;"元整"</f>
        <v>肆佰零伍万元整</v>
      </c>
      <c r="E119" s="3312"/>
      <c r="F119" s="3310" t="str">
        <f ca="1">NUMBERSTRING(INT(F118*10000),2)&amp;"元整"</f>
        <v>捌拾玖万元整</v>
      </c>
      <c r="G119" s="3312"/>
      <c r="H119" s="3310" t="str">
        <f ca="1">NUMBERSTRING(INT(H118*10000),2)&amp;"元整"</f>
        <v>肆佰玖拾肆万元整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494</v>
      </c>
      <c r="E122" s="3348"/>
      <c r="F122" s="3348"/>
      <c r="G122" s="3348"/>
      <c r="H122" s="3348"/>
      <c r="I122" s="3349"/>
      <c r="AA122" s="1417"/>
    </row>
    <row r="123" spans="1:27" ht="18.75" customHeight="1">
      <c r="A123" s="3298" t="s">
        <v>987</v>
      </c>
      <c r="B123" s="3298"/>
      <c r="C123" s="3298"/>
      <c r="D123" s="3310" t="str">
        <f ca="1">NUMBERSTRING(INT(D122*10000),2)&amp;"元整"</f>
        <v>肆佰玖拾肆万元整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105</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5119</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4</v>
      </c>
      <c r="D19" s="356">
        <f ca="1">D9+D10</f>
        <v>205.1</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0</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1</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1</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5</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92</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1064</v>
      </c>
    </row>
    <row r="35" spans="1:7" ht="13.5" customHeight="1">
      <c r="A35" s="386" t="s">
        <v>1007</v>
      </c>
      <c r="B35" s="359" t="s">
        <v>1065</v>
      </c>
      <c r="C35" s="364">
        <f ca="1">ROUND(C34*F35,0)</f>
        <v>4</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4</v>
      </c>
      <c r="D37" s="361">
        <f ca="1">D19</f>
        <v>205.1</v>
      </c>
      <c r="E37" s="399">
        <f>'数据-取费表'!B35</f>
        <v>200</v>
      </c>
      <c r="F37" s="408"/>
      <c r="G37" s="410" t="s">
        <v>1070</v>
      </c>
    </row>
    <row r="38" spans="1:7" ht="13.5" customHeight="1">
      <c r="A38" s="386" t="s">
        <v>1071</v>
      </c>
      <c r="B38" s="359" t="s">
        <v>936</v>
      </c>
      <c r="C38" s="364">
        <f ca="1">ROUND(C34*F38,0)</f>
        <v>2</v>
      </c>
      <c r="D38" s="364"/>
      <c r="E38" s="364"/>
      <c r="F38" s="408">
        <f>'数据-取费表'!B36</f>
        <v>0.02</v>
      </c>
      <c r="G38" s="363" t="s">
        <v>1066</v>
      </c>
    </row>
    <row r="39" spans="1:7" s="335" customFormat="1" ht="13.5" customHeight="1">
      <c r="A39" s="353" t="s">
        <v>1032</v>
      </c>
      <c r="B39" s="354" t="s">
        <v>1035</v>
      </c>
      <c r="C39" s="378">
        <f ca="1">ROUND(C33*F20,0)</f>
        <v>2</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3</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3</v>
      </c>
      <c r="D42" s="388"/>
      <c r="E42" s="388"/>
      <c r="F42" s="389"/>
      <c r="G42" s="3391" t="s">
        <v>1075</v>
      </c>
    </row>
    <row r="43" spans="1:7" ht="13.5" customHeight="1">
      <c r="A43" s="386" t="s">
        <v>1007</v>
      </c>
      <c r="B43" s="359" t="s">
        <v>1045</v>
      </c>
      <c r="C43" s="388">
        <f ca="1">ROUND(IF('数据-取费表'!B22&lt;=1,C39*F22*'数据-取费表'!B21/2,C39*(POWER((1+F22),'数据-取费表'!B21/2)-1)),0)</f>
        <v>0</v>
      </c>
      <c r="D43" s="388"/>
      <c r="E43" s="388"/>
      <c r="F43" s="389"/>
      <c r="G43" s="3392"/>
    </row>
    <row r="44" spans="1:7" ht="13.5" customHeight="1">
      <c r="A44" s="386" t="s">
        <v>1009</v>
      </c>
      <c r="B44" s="359" t="s">
        <v>1047</v>
      </c>
      <c r="C44" s="388">
        <f ca="1">ROUND(IF('数据-取费表'!B22&lt;=1,C40*F22*'数据-取费表'!B21/2,C40*(POWER((1+F22),'数据-取费表'!B21/2)-1)),4)</f>
        <v>5.9999999999999995E-4</v>
      </c>
      <c r="D44" s="388"/>
      <c r="E44" s="388"/>
      <c r="F44" s="389"/>
      <c r="G44" s="3393"/>
    </row>
    <row r="45" spans="1:7" s="335" customFormat="1" ht="13.5" customHeight="1">
      <c r="A45" s="353" t="s">
        <v>1041</v>
      </c>
      <c r="B45" s="394" t="s">
        <v>1052</v>
      </c>
      <c r="C45" s="395">
        <f ca="1">C46</f>
        <v>14</v>
      </c>
      <c r="D45" s="381">
        <f ca="1">C47</f>
        <v>3.0000000000000001E-3</v>
      </c>
      <c r="E45" s="382" t="s">
        <v>1073</v>
      </c>
      <c r="F45" s="396">
        <f ca="1">F27</f>
        <v>0.15</v>
      </c>
      <c r="G45" s="397" t="s">
        <v>1076</v>
      </c>
    </row>
    <row r="46" spans="1:7" s="335" customFormat="1" ht="13.5" customHeight="1">
      <c r="A46" s="386" t="s">
        <v>1005</v>
      </c>
      <c r="B46" s="398" t="s">
        <v>1077</v>
      </c>
      <c r="C46" s="399">
        <f ca="1">ROUND((C33+C39)*F27,0)</f>
        <v>14</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120</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100</v>
      </c>
      <c r="D51" s="378"/>
      <c r="E51" s="378"/>
      <c r="F51" s="413"/>
      <c r="G51" s="383" t="s">
        <v>1087</v>
      </c>
    </row>
    <row r="52" spans="1:7" s="334" customFormat="1" ht="16.2">
      <c r="A52" s="414" t="s">
        <v>1088</v>
      </c>
      <c r="B52" s="415"/>
      <c r="C52" s="416">
        <f ca="1">C31+C51</f>
        <v>105</v>
      </c>
      <c r="D52" s="415"/>
      <c r="E52" s="415"/>
      <c r="F52" s="415"/>
      <c r="G52" s="417"/>
    </row>
    <row r="55" spans="1:7" ht="15">
      <c r="B55" s="418" t="s">
        <v>1089</v>
      </c>
      <c r="C55" s="419"/>
    </row>
    <row r="56" spans="1:7">
      <c r="B56" s="420" t="s">
        <v>1090</v>
      </c>
      <c r="C56" s="422">
        <f ca="1">1-C57</f>
        <v>4.8000000000000043E-2</v>
      </c>
    </row>
    <row r="57" spans="1:7">
      <c r="B57" s="420" t="s">
        <v>1091</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7" t="str">
        <f>项目基本情况!B1</f>
        <v>北京市房地产抵押价值预评估</v>
      </c>
      <c r="C37" s="3207"/>
      <c r="D37" s="3207"/>
      <c r="E37" s="3207"/>
      <c r="F37" s="3207"/>
      <c r="G37" s="3207"/>
      <c r="H37" s="3207"/>
      <c r="I37" s="3207"/>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-5</v>
      </c>
      <c r="C2" s="2409" t="s">
        <v>1093</v>
      </c>
      <c r="D2" s="2409"/>
      <c r="E2" s="2407"/>
      <c r="F2" s="2407"/>
      <c r="G2" s="2407"/>
      <c r="H2" s="2407"/>
      <c r="I2" s="2407"/>
      <c r="J2" s="2407"/>
      <c r="K2" s="2407"/>
    </row>
    <row r="3" spans="1:33" ht="18" customHeight="1">
      <c r="A3" s="348" t="s">
        <v>998</v>
      </c>
      <c r="B3" s="349">
        <f ca="1">ROUND(B2*10000/IF(C1="",'数据-汇总表'!E3,INDIRECT("'数据-取费表'!K"&amp;$K$1)),0)</f>
        <v>-244</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205.1</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205.1</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4</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904</v>
      </c>
      <c r="B21" s="2439" t="s">
        <v>1124</v>
      </c>
      <c r="C21" s="2440">
        <f ca="1">C16+C17+C18</f>
        <v>4</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1</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1</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-5</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ROUND(F6*F8*F7*(1-F9)/10000,0)</f>
        <v>0</v>
      </c>
      <c r="D6" s="1854" t="s">
        <v>1160</v>
      </c>
      <c r="E6" s="1855" t="s">
        <v>1161</v>
      </c>
      <c r="F6" s="1856">
        <f ca="1">INDIRECT("'数据-取费表'!u"&amp;$G$1)</f>
        <v>0</v>
      </c>
      <c r="G6" s="714"/>
      <c r="H6" s="1852" t="s">
        <v>904</v>
      </c>
      <c r="I6" s="3396" t="s">
        <v>1159</v>
      </c>
      <c r="J6" s="1926">
        <f ca="1">ROUND(M6*M8*M7*(1-M9)/10000,0)</f>
        <v>0</v>
      </c>
      <c r="K6" s="1854" t="s">
        <v>1162</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0</v>
      </c>
      <c r="G7" s="714"/>
      <c r="H7" s="1861"/>
      <c r="I7" s="3397"/>
      <c r="J7" s="1862"/>
      <c r="K7" s="1859"/>
      <c r="L7" s="1855" t="s">
        <v>1163</v>
      </c>
      <c r="M7" s="1856">
        <f ca="1">F7</f>
        <v>0</v>
      </c>
    </row>
    <row r="8" spans="1:37" ht="18" customHeight="1">
      <c r="A8" s="1861"/>
      <c r="B8" s="3397"/>
      <c r="C8" s="1862"/>
      <c r="D8" s="1859"/>
      <c r="E8" s="1855" t="s">
        <v>1164</v>
      </c>
      <c r="F8" s="1856">
        <f ca="1">INDIRECT("'数据-取费表'!ai"&amp;$G$1)</f>
        <v>0</v>
      </c>
      <c r="G8" s="714"/>
      <c r="H8" s="1861"/>
      <c r="I8" s="3397"/>
      <c r="J8" s="1862"/>
      <c r="K8" s="1859"/>
      <c r="L8" s="1855" t="s">
        <v>1164</v>
      </c>
      <c r="M8" s="1856">
        <f ca="1">INDIRECT("'数据-取费表'!ai"&amp;$G$1)</f>
        <v>0</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IF(项目基本情况!B11="自然人","——",ROUND(C6*F32/(1+'数据-取费表'!C42),2))</f>
        <v>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IF(项目基本情况!B11="自然人","——",IF(D33="按租金收入计税",ROUND(C6*F33/(1+'数据-取费表'!C42),2),IF(D33="按房产原值计税",ROUND(C29*F33*0.7,2),INDIRECT("'数据-取费表'!Aj"&amp;$G$1))))</f>
        <v>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IF(项目基本情况!B11="自然人","——",ROUND(F34*F35/10000,2))</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94" t="s">
        <v>1283</v>
      </c>
      <c r="L53" s="3395"/>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IF(项目基本情况!B11="自然人","——",ROUND(C48*F60/(1+'数据-取费表'!C42),2))</f>
        <v>0</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IF(项目基本情况!B11="自然人","——",IF(D61="按租金收入计税",ROUND(C49*F61/(1+'数据-取费表'!C42),2),IF(D61="按房产原值计税",ROUND(C57*F61*0.7,2),INDIRECT("'数据-取费表'!Aj"&amp;$G$1))))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IF(项目基本情况!B11="自然人","——",ROUND(F62*F63/10000,2))</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05" t="s">
        <v>1351</v>
      </c>
      <c r="Q4" s="3406"/>
      <c r="R4" s="3411" t="s">
        <v>1347</v>
      </c>
      <c r="S4" s="3412"/>
      <c r="T4" s="3411" t="s">
        <v>1348</v>
      </c>
      <c r="U4" s="3412"/>
      <c r="V4" s="3417" t="s">
        <v>1349</v>
      </c>
      <c r="W4" s="3417"/>
      <c r="X4" s="2102"/>
      <c r="Y4" s="3411" t="s">
        <v>1351</v>
      </c>
      <c r="Z4" s="3412"/>
      <c r="AA4" s="3399" t="s">
        <v>1347</v>
      </c>
      <c r="AB4" s="3399" t="s">
        <v>1348</v>
      </c>
      <c r="AC4" s="3402" t="s">
        <v>1349</v>
      </c>
    </row>
    <row r="5" spans="1:29" ht="13.95" customHeight="1">
      <c r="A5" s="922"/>
      <c r="B5" s="923"/>
      <c r="C5" s="3445" t="s">
        <v>2789</v>
      </c>
      <c r="D5" s="3446"/>
      <c r="E5" s="3445" t="s">
        <v>2789</v>
      </c>
      <c r="F5" s="3446"/>
      <c r="G5" s="3445" t="s">
        <v>2789</v>
      </c>
      <c r="H5" s="3446"/>
      <c r="I5" s="3445" t="s">
        <v>2791</v>
      </c>
      <c r="J5" s="3446"/>
      <c r="K5" s="1064"/>
      <c r="L5" s="1065"/>
      <c r="M5" s="1015"/>
      <c r="N5" s="1015"/>
      <c r="O5" s="1015"/>
      <c r="P5" s="3407"/>
      <c r="Q5" s="3408"/>
      <c r="R5" s="3413"/>
      <c r="S5" s="3414"/>
      <c r="T5" s="3413"/>
      <c r="U5" s="3414"/>
      <c r="V5" s="3418"/>
      <c r="W5" s="3418"/>
      <c r="X5" s="1113"/>
      <c r="Y5" s="3413"/>
      <c r="Z5" s="3414"/>
      <c r="AA5" s="3400"/>
      <c r="AB5" s="3400"/>
      <c r="AC5" s="3403"/>
    </row>
    <row r="6" spans="1:29" ht="14.4">
      <c r="A6" s="924"/>
      <c r="B6" s="925"/>
      <c r="C6" s="3436" t="s">
        <v>1353</v>
      </c>
      <c r="D6" s="3437"/>
      <c r="E6" s="3438" t="s">
        <v>1353</v>
      </c>
      <c r="F6" s="3439"/>
      <c r="G6" s="3436" t="s">
        <v>1353</v>
      </c>
      <c r="H6" s="3437"/>
      <c r="I6" s="3436" t="s">
        <v>1353</v>
      </c>
      <c r="J6" s="3437"/>
      <c r="K6" s="1064" t="s">
        <v>1354</v>
      </c>
      <c r="L6" s="1065"/>
      <c r="M6" s="1015"/>
      <c r="N6" s="1015"/>
      <c r="O6" s="1015"/>
      <c r="P6" s="3409"/>
      <c r="Q6" s="3410"/>
      <c r="R6" s="3413"/>
      <c r="S6" s="3414"/>
      <c r="T6" s="3415"/>
      <c r="U6" s="3416"/>
      <c r="V6" s="3418"/>
      <c r="W6" s="3418"/>
      <c r="X6" s="1113"/>
      <c r="Y6" s="3415"/>
      <c r="Z6" s="3416"/>
      <c r="AA6" s="3401"/>
      <c r="AB6" s="3401"/>
      <c r="AC6" s="3404"/>
    </row>
    <row r="7" spans="1:29" s="899" customFormat="1" ht="14.4">
      <c r="A7" s="927" t="s">
        <v>1355</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26"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26" t="s">
        <v>1360</v>
      </c>
      <c r="Q8" s="3425"/>
      <c r="R8" s="1114" t="s">
        <v>1357</v>
      </c>
      <c r="S8" s="1115">
        <f t="shared" si="0"/>
        <v>103</v>
      </c>
      <c r="T8" s="1114" t="s">
        <v>1357</v>
      </c>
      <c r="U8" s="1115">
        <f t="shared" si="1"/>
        <v>103</v>
      </c>
      <c r="V8" s="1114" t="s">
        <v>1357</v>
      </c>
      <c r="W8" s="1115">
        <f t="shared" si="2"/>
        <v>103</v>
      </c>
      <c r="X8" s="1116"/>
      <c r="Y8" s="3424" t="s">
        <v>1360</v>
      </c>
      <c r="Z8" s="3425"/>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2790</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27" t="s">
        <v>1369</v>
      </c>
      <c r="Q15" s="621" t="str">
        <f t="shared" si="6"/>
        <v>办公集聚程度</v>
      </c>
      <c r="R15" s="1118" t="s">
        <v>1357</v>
      </c>
      <c r="S15" s="1119">
        <f t="shared" si="0"/>
        <v>100</v>
      </c>
      <c r="T15" s="1118" t="s">
        <v>1357</v>
      </c>
      <c r="U15" s="1119">
        <f t="shared" si="1"/>
        <v>100</v>
      </c>
      <c r="V15" s="1118" t="s">
        <v>1357</v>
      </c>
      <c r="W15" s="1119">
        <f t="shared" si="2"/>
        <v>100</v>
      </c>
      <c r="X15" s="1113"/>
      <c r="Y15" s="3432"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28"/>
      <c r="Q20" s="621"/>
      <c r="R20" s="1118"/>
      <c r="S20" s="1119"/>
      <c r="T20" s="1118"/>
      <c r="U20" s="1119"/>
      <c r="V20" s="1118"/>
      <c r="W20" s="1119"/>
      <c r="X20" s="1113"/>
      <c r="Y20" s="3433"/>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28"/>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28"/>
      <c r="Q25" s="621" t="str">
        <f>B25</f>
        <v>毗邻道路的类型与等级</v>
      </c>
      <c r="R25" s="1118" t="s">
        <v>1357</v>
      </c>
      <c r="S25" s="1119">
        <f>F25</f>
        <v>100</v>
      </c>
      <c r="T25" s="1118" t="s">
        <v>1357</v>
      </c>
      <c r="U25" s="1119">
        <f>H25</f>
        <v>100</v>
      </c>
      <c r="V25" s="1118" t="s">
        <v>1357</v>
      </c>
      <c r="W25" s="1119">
        <f>J25</f>
        <v>100</v>
      </c>
      <c r="X25" s="1113"/>
      <c r="Y25" s="343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28"/>
      <c r="Q26" s="621"/>
      <c r="R26" s="1118"/>
      <c r="S26" s="1119"/>
      <c r="T26" s="1118"/>
      <c r="U26" s="1119"/>
      <c r="V26" s="1118"/>
      <c r="W26" s="1119"/>
      <c r="X26" s="1113"/>
      <c r="Y26" s="3433"/>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28"/>
      <c r="Q27" s="621" t="str">
        <f t="shared" ref="Q27:Q47" si="11">B27</f>
        <v>楼层</v>
      </c>
      <c r="R27" s="1118" t="s">
        <v>1357</v>
      </c>
      <c r="S27" s="1119">
        <f>F27</f>
        <v>100</v>
      </c>
      <c r="T27" s="1118" t="s">
        <v>1357</v>
      </c>
      <c r="U27" s="1119">
        <f>H27</f>
        <v>100</v>
      </c>
      <c r="V27" s="1118" t="s">
        <v>1357</v>
      </c>
      <c r="W27" s="1119">
        <f>J27</f>
        <v>97</v>
      </c>
      <c r="X27" s="1113"/>
      <c r="Y27" s="3433"/>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28"/>
      <c r="Q28" s="790" t="str">
        <f t="shared" si="11"/>
        <v>朝向</v>
      </c>
      <c r="R28" s="1114" t="s">
        <v>1357</v>
      </c>
      <c r="S28" s="1115">
        <f>F28</f>
        <v>100</v>
      </c>
      <c r="T28" s="1114" t="s">
        <v>1357</v>
      </c>
      <c r="U28" s="1115">
        <f>H28</f>
        <v>100</v>
      </c>
      <c r="V28" s="1114" t="s">
        <v>1357</v>
      </c>
      <c r="W28" s="1115">
        <f>J28</f>
        <v>100</v>
      </c>
      <c r="X28" s="1116"/>
      <c r="Y28" s="343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28"/>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3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28"/>
      <c r="Q32" s="621">
        <f t="shared" si="11"/>
        <v>111</v>
      </c>
      <c r="R32" s="1118" t="s">
        <v>1357</v>
      </c>
      <c r="S32" s="1119">
        <f t="shared" si="12"/>
        <v>100</v>
      </c>
      <c r="T32" s="1118" t="s">
        <v>1357</v>
      </c>
      <c r="U32" s="1119">
        <f t="shared" si="13"/>
        <v>100</v>
      </c>
      <c r="V32" s="1118" t="s">
        <v>1357</v>
      </c>
      <c r="W32" s="1119">
        <f t="shared" si="14"/>
        <v>100</v>
      </c>
      <c r="X32" s="1113"/>
      <c r="Y32" s="3433"/>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29" t="s">
        <v>1383</v>
      </c>
      <c r="Q33" s="621" t="str">
        <f t="shared" si="11"/>
        <v>建筑类型</v>
      </c>
      <c r="R33" s="1118" t="s">
        <v>1357</v>
      </c>
      <c r="S33" s="1119">
        <f t="shared" si="12"/>
        <v>100</v>
      </c>
      <c r="T33" s="1118" t="s">
        <v>1357</v>
      </c>
      <c r="U33" s="1119">
        <f t="shared" si="13"/>
        <v>100</v>
      </c>
      <c r="V33" s="1118" t="s">
        <v>1357</v>
      </c>
      <c r="W33" s="1119">
        <f t="shared" si="14"/>
        <v>100</v>
      </c>
      <c r="X33" s="1113"/>
      <c r="Y33" s="3434"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30"/>
      <c r="Q34" s="1308" t="str">
        <f t="shared" si="11"/>
        <v>项目建筑规模</v>
      </c>
      <c r="R34" s="1120" t="s">
        <v>1357</v>
      </c>
      <c r="S34" s="1121">
        <f t="shared" si="12"/>
        <v>100</v>
      </c>
      <c r="T34" s="1120" t="s">
        <v>1357</v>
      </c>
      <c r="U34" s="1121">
        <f t="shared" si="13"/>
        <v>100</v>
      </c>
      <c r="V34" s="1120" t="s">
        <v>1357</v>
      </c>
      <c r="W34" s="1121">
        <f t="shared" si="14"/>
        <v>100</v>
      </c>
      <c r="X34" s="1122"/>
      <c r="Y34" s="3434"/>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30"/>
      <c r="Q35" s="621" t="str">
        <f t="shared" si="11"/>
        <v>建筑结构</v>
      </c>
      <c r="R35" s="1118" t="s">
        <v>1357</v>
      </c>
      <c r="S35" s="1119">
        <f t="shared" si="12"/>
        <v>100</v>
      </c>
      <c r="T35" s="1118" t="s">
        <v>1357</v>
      </c>
      <c r="U35" s="1119">
        <f t="shared" si="13"/>
        <v>100</v>
      </c>
      <c r="V35" s="1118" t="s">
        <v>1357</v>
      </c>
      <c r="W35" s="1119">
        <f t="shared" si="14"/>
        <v>100</v>
      </c>
      <c r="X35" s="1113"/>
      <c r="Y35" s="3434"/>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30"/>
      <c r="Q37" s="621" t="str">
        <f t="shared" si="11"/>
        <v>成新度</v>
      </c>
      <c r="R37" s="1118" t="s">
        <v>1357</v>
      </c>
      <c r="S37" s="1119">
        <f t="shared" si="12"/>
        <v>100</v>
      </c>
      <c r="T37" s="1118" t="s">
        <v>1357</v>
      </c>
      <c r="U37" s="1119">
        <f t="shared" si="13"/>
        <v>100</v>
      </c>
      <c r="V37" s="1118" t="s">
        <v>1357</v>
      </c>
      <c r="W37" s="1119">
        <f t="shared" si="14"/>
        <v>100</v>
      </c>
      <c r="X37" s="1113"/>
      <c r="Y37" s="3434"/>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30"/>
      <c r="Q38" s="790" t="str">
        <f t="shared" si="11"/>
        <v>写字楼等级</v>
      </c>
      <c r="R38" s="1114" t="s">
        <v>1357</v>
      </c>
      <c r="S38" s="1115">
        <f t="shared" si="12"/>
        <v>100</v>
      </c>
      <c r="T38" s="1114" t="s">
        <v>1357</v>
      </c>
      <c r="U38" s="1115">
        <f t="shared" si="13"/>
        <v>100</v>
      </c>
      <c r="V38" s="1114" t="s">
        <v>1357</v>
      </c>
      <c r="W38" s="1115">
        <f t="shared" si="14"/>
        <v>100</v>
      </c>
      <c r="X38" s="1116"/>
      <c r="Y38" s="3434"/>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30" t="s">
        <v>1383</v>
      </c>
      <c r="Q39" s="621" t="str">
        <f t="shared" si="11"/>
        <v>物业管理</v>
      </c>
      <c r="R39" s="1118" t="s">
        <v>1357</v>
      </c>
      <c r="S39" s="1119">
        <f t="shared" si="12"/>
        <v>100</v>
      </c>
      <c r="T39" s="1118" t="s">
        <v>1357</v>
      </c>
      <c r="U39" s="1119">
        <f t="shared" si="13"/>
        <v>100</v>
      </c>
      <c r="V39" s="1118" t="s">
        <v>1357</v>
      </c>
      <c r="W39" s="1119">
        <f t="shared" si="14"/>
        <v>100</v>
      </c>
      <c r="X39" s="1113"/>
      <c r="Y39" s="3434"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30"/>
      <c r="Q40" s="621" t="str">
        <f t="shared" si="11"/>
        <v>市政基础设施</v>
      </c>
      <c r="R40" s="1118" t="s">
        <v>1357</v>
      </c>
      <c r="S40" s="1119">
        <f t="shared" si="12"/>
        <v>100</v>
      </c>
      <c r="T40" s="1118" t="s">
        <v>1357</v>
      </c>
      <c r="U40" s="1119">
        <f t="shared" si="13"/>
        <v>100</v>
      </c>
      <c r="V40" s="1118" t="s">
        <v>1357</v>
      </c>
      <c r="W40" s="1119">
        <f t="shared" si="14"/>
        <v>100</v>
      </c>
      <c r="X40" s="1113"/>
      <c r="Y40" s="3434"/>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30"/>
      <c r="Q41" s="621" t="str">
        <f t="shared" si="11"/>
        <v>层高</v>
      </c>
      <c r="R41" s="1118" t="s">
        <v>1357</v>
      </c>
      <c r="S41" s="1119">
        <f t="shared" si="12"/>
        <v>100</v>
      </c>
      <c r="T41" s="1118" t="s">
        <v>1357</v>
      </c>
      <c r="U41" s="1119">
        <f t="shared" si="13"/>
        <v>100</v>
      </c>
      <c r="V41" s="1118" t="s">
        <v>1357</v>
      </c>
      <c r="W41" s="1119">
        <f t="shared" si="14"/>
        <v>100</v>
      </c>
      <c r="X41" s="1113"/>
      <c r="Y41" s="3434"/>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30"/>
      <c r="Q42" s="1308" t="str">
        <f t="shared" si="11"/>
        <v>单套建筑面积</v>
      </c>
      <c r="R42" s="1120" t="s">
        <v>1357</v>
      </c>
      <c r="S42" s="1121">
        <f t="shared" si="12"/>
        <v>100</v>
      </c>
      <c r="T42" s="1120" t="s">
        <v>1357</v>
      </c>
      <c r="U42" s="1121">
        <f t="shared" si="13"/>
        <v>100</v>
      </c>
      <c r="V42" s="1120" t="s">
        <v>1357</v>
      </c>
      <c r="W42" s="1121">
        <f t="shared" si="14"/>
        <v>100</v>
      </c>
      <c r="X42" s="1122"/>
      <c r="Y42" s="3434"/>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30"/>
      <c r="Q43" s="621" t="str">
        <f t="shared" si="11"/>
        <v>内部装修</v>
      </c>
      <c r="R43" s="1118" t="s">
        <v>1357</v>
      </c>
      <c r="S43" s="1119">
        <f t="shared" si="12"/>
        <v>102</v>
      </c>
      <c r="T43" s="1118" t="s">
        <v>1357</v>
      </c>
      <c r="U43" s="1119">
        <f t="shared" si="13"/>
        <v>98</v>
      </c>
      <c r="V43" s="1118" t="s">
        <v>1357</v>
      </c>
      <c r="W43" s="1119">
        <f t="shared" si="14"/>
        <v>100</v>
      </c>
      <c r="X43" s="1113"/>
      <c r="Y43" s="3434"/>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30"/>
      <c r="Q44" s="621" t="str">
        <f t="shared" si="11"/>
        <v>内部装修维护情况</v>
      </c>
      <c r="R44" s="1118" t="s">
        <v>1357</v>
      </c>
      <c r="S44" s="1119">
        <f t="shared" si="12"/>
        <v>100</v>
      </c>
      <c r="T44" s="1118" t="s">
        <v>1357</v>
      </c>
      <c r="U44" s="1119">
        <f t="shared" si="13"/>
        <v>100</v>
      </c>
      <c r="V44" s="1118" t="s">
        <v>1357</v>
      </c>
      <c r="W44" s="1119">
        <f t="shared" si="14"/>
        <v>100</v>
      </c>
      <c r="X44" s="1113"/>
      <c r="Y44" s="343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30"/>
      <c r="Q45" s="790">
        <f t="shared" si="11"/>
        <v>111</v>
      </c>
      <c r="R45" s="1114" t="s">
        <v>1357</v>
      </c>
      <c r="S45" s="1115">
        <f t="shared" si="12"/>
        <v>100</v>
      </c>
      <c r="T45" s="1114" t="s">
        <v>1357</v>
      </c>
      <c r="U45" s="1115">
        <f t="shared" si="13"/>
        <v>100</v>
      </c>
      <c r="V45" s="1114" t="s">
        <v>1357</v>
      </c>
      <c r="W45" s="1115">
        <f t="shared" si="14"/>
        <v>100</v>
      </c>
      <c r="X45" s="1116"/>
      <c r="Y45" s="343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30"/>
      <c r="Q46" s="621">
        <f t="shared" si="11"/>
        <v>111</v>
      </c>
      <c r="R46" s="1118" t="s">
        <v>1357</v>
      </c>
      <c r="S46" s="1119">
        <f t="shared" si="12"/>
        <v>100</v>
      </c>
      <c r="T46" s="1118" t="s">
        <v>1357</v>
      </c>
      <c r="U46" s="1119">
        <f t="shared" si="13"/>
        <v>100</v>
      </c>
      <c r="V46" s="1118" t="s">
        <v>1357</v>
      </c>
      <c r="W46" s="1119">
        <f t="shared" si="14"/>
        <v>100</v>
      </c>
      <c r="X46" s="1113"/>
      <c r="Y46" s="343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31"/>
      <c r="Q47" s="621">
        <f t="shared" si="11"/>
        <v>111</v>
      </c>
      <c r="R47" s="1118" t="s">
        <v>1357</v>
      </c>
      <c r="S47" s="1119">
        <f t="shared" si="12"/>
        <v>100</v>
      </c>
      <c r="T47" s="1118" t="s">
        <v>1357</v>
      </c>
      <c r="U47" s="1119">
        <f t="shared" si="13"/>
        <v>100</v>
      </c>
      <c r="V47" s="1118" t="s">
        <v>1357</v>
      </c>
      <c r="W47" s="1119">
        <f t="shared" si="14"/>
        <v>100</v>
      </c>
      <c r="X47" s="1113"/>
      <c r="Y47" s="3435"/>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19" t="str">
        <f>A48</f>
        <v>成交单价（元/平方米）</v>
      </c>
      <c r="Q48" s="3420"/>
      <c r="R48" s="3418">
        <f>E48</f>
        <v>39809</v>
      </c>
      <c r="S48" s="3418"/>
      <c r="T48" s="3418">
        <f>G48</f>
        <v>36512</v>
      </c>
      <c r="U48" s="3418"/>
      <c r="V48" s="3418">
        <f>I48</f>
        <v>34724</v>
      </c>
      <c r="W48" s="3418"/>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19" t="str">
        <f>A49</f>
        <v>比较价值（元/平方米）</v>
      </c>
      <c r="Q49" s="3420"/>
      <c r="R49" s="3418">
        <f>IF(F1="售价",ROUND(PRODUCT(R48,AA7:AA47),0),ROUND(PRODUCT(R48,AA7:AA47),1))</f>
        <v>37892</v>
      </c>
      <c r="S49" s="3418"/>
      <c r="T49" s="3418">
        <f>IF(F1="售价",ROUND(PRODUCT(T48,AB7:AB47),0),ROUND(PRODUCT(T48,AB7:AB47),1))</f>
        <v>36172</v>
      </c>
      <c r="U49" s="3418"/>
      <c r="V49" s="3418">
        <f>IF(F1="售价",ROUND(PRODUCT(V48,AC7:AC47),0),ROUND(PRODUCT(V48,AC7:AC47),1))</f>
        <v>34755</v>
      </c>
      <c r="W49" s="3418"/>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21" t="str">
        <f>A50</f>
        <v>估价对象XX用房的比较价值（楼面单价，元/平方米）</v>
      </c>
      <c r="Q50" s="3422"/>
      <c r="R50" s="3423">
        <f>IF(F1="售价",ROUND(IF(D49="简单平均",AVERAGE(R49:V49),R49*F49+T49*H49+V49*J49),0),ROUND(IF(D49="简单平均",AVERAGE(R49:V49),R49*F49+T49*H49+V49*J49),1))</f>
        <v>36273</v>
      </c>
      <c r="S50" s="3423"/>
      <c r="T50" s="3423"/>
      <c r="U50" s="3423"/>
      <c r="V50" s="3423"/>
      <c r="W50" s="3423"/>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O31" zoomScaleNormal="70" zoomScaleSheetLayoutView="100" workbookViewId="0">
      <selection activeCell="R49" sqref="R49:W4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101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533.48350000000005</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40566</v>
      </c>
      <c r="C3" s="1273" t="s">
        <v>1344</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2879</v>
      </c>
      <c r="F5" s="3459"/>
      <c r="G5" s="3445" t="s">
        <v>2884</v>
      </c>
      <c r="H5" s="3446"/>
      <c r="I5" s="3445" t="s">
        <v>2886</v>
      </c>
      <c r="J5" s="3446"/>
      <c r="K5" s="1064"/>
      <c r="L5" s="1065"/>
      <c r="M5" s="1015"/>
      <c r="N5" s="1015"/>
      <c r="O5" s="1015"/>
      <c r="P5" s="3450"/>
      <c r="Q5" s="3408"/>
      <c r="R5" s="3413"/>
      <c r="S5" s="3414"/>
      <c r="T5" s="3413"/>
      <c r="U5" s="3414"/>
      <c r="V5" s="3418"/>
      <c r="W5" s="3418"/>
      <c r="X5" s="1113"/>
      <c r="Y5" s="3413"/>
      <c r="Z5" s="3414"/>
      <c r="AA5" s="3400"/>
      <c r="AB5" s="3418"/>
      <c r="AC5" s="3400"/>
    </row>
    <row r="6" spans="1:29" ht="14.4">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4.4">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4.4">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2847</v>
      </c>
      <c r="H10" s="942">
        <f>SUMIF(65:65,G10,66:66)-SUMIF(65:65,C10,66:66)+100</f>
        <v>98</v>
      </c>
      <c r="I10" s="3190" t="s">
        <v>2847</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3193" t="s">
        <v>1605</v>
      </c>
      <c r="C25" s="976" t="s">
        <v>2868</v>
      </c>
      <c r="D25" s="755">
        <v>100</v>
      </c>
      <c r="E25" s="976" t="s">
        <v>2870</v>
      </c>
      <c r="F25" s="1097">
        <f>SUMIF(86:86,E25,87:87)-SUMIF(86:86,C25,87:87)+100</f>
        <v>97</v>
      </c>
      <c r="G25" s="976" t="s">
        <v>2870</v>
      </c>
      <c r="H25" s="755">
        <f>SUMIF(86:86,G25,87:87)-SUMIF(86:86,C25,87:87)+100</f>
        <v>97</v>
      </c>
      <c r="I25" s="976" t="s">
        <v>2870</v>
      </c>
      <c r="J25" s="755">
        <f>SUMIF(86:86,I25,87:87)-SUMIF(86:86,C25,87:87)+100</f>
        <v>97</v>
      </c>
      <c r="K25" s="1088">
        <v>3</v>
      </c>
      <c r="L25" s="1081"/>
      <c r="M25" s="1015"/>
      <c r="N25" s="1015"/>
      <c r="O25" s="1015"/>
      <c r="P25" s="3428"/>
      <c r="Q25" s="621" t="str">
        <f t="shared" ref="Q25:Q46" si="11">B25</f>
        <v>临街状况</v>
      </c>
      <c r="R25" s="1118" t="s">
        <v>1357</v>
      </c>
      <c r="S25" s="1119">
        <f>F25</f>
        <v>97</v>
      </c>
      <c r="T25" s="1118" t="s">
        <v>1357</v>
      </c>
      <c r="U25" s="1119">
        <f>H25</f>
        <v>97</v>
      </c>
      <c r="V25" s="1118" t="s">
        <v>1357</v>
      </c>
      <c r="W25" s="1119">
        <f>J25</f>
        <v>97</v>
      </c>
      <c r="X25" s="1113"/>
      <c r="Y25" s="3433"/>
      <c r="Z25" s="1102" t="str">
        <f>Q25</f>
        <v>临街状况</v>
      </c>
      <c r="AA25" s="1102">
        <f t="shared" si="3"/>
        <v>1.0309278350515463</v>
      </c>
      <c r="AB25" s="1102">
        <f t="shared" si="4"/>
        <v>1.0309278350515463</v>
      </c>
      <c r="AC25" s="1102">
        <f t="shared" si="5"/>
        <v>1.0309278350515463</v>
      </c>
    </row>
    <row r="26" spans="1:29" ht="15">
      <c r="A26" s="943"/>
      <c r="B26" s="1177" t="s">
        <v>1606</v>
      </c>
      <c r="C26" s="3192" t="s">
        <v>2857</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3193" t="s">
        <v>1384</v>
      </c>
      <c r="C33" s="945">
        <f>'数据-基础表'!I13</f>
        <v>131.51</v>
      </c>
      <c r="D33" s="942">
        <v>100</v>
      </c>
      <c r="E33" s="945">
        <v>124</v>
      </c>
      <c r="F33" s="940">
        <f>LOOKUP(E33,103:103,104:104)-LOOKUP(C33,103:103,104:104)+100</f>
        <v>100</v>
      </c>
      <c r="G33" s="944">
        <v>100</v>
      </c>
      <c r="H33" s="942">
        <f>LOOKUP(G33,103:103,104:104)-LOOKUP(C33,103:103,104:104)+100</f>
        <v>100</v>
      </c>
      <c r="I33" s="944">
        <v>112.5</v>
      </c>
      <c r="J33" s="942">
        <f>LOOKUP(I33,103:103,104:104)-LOOKUP(C33,103:103,104:104)+100</f>
        <v>100</v>
      </c>
      <c r="K33" s="1087"/>
      <c r="L33" s="1079"/>
      <c r="M33" s="1089"/>
      <c r="N33" s="1089"/>
      <c r="O33" s="1089"/>
      <c r="P33" s="3430"/>
      <c r="Q33" s="1308" t="str">
        <f t="shared" si="11"/>
        <v>项目建筑规模</v>
      </c>
      <c r="R33" s="1120" t="s">
        <v>1357</v>
      </c>
      <c r="S33" s="1121">
        <f t="shared" si="12"/>
        <v>100</v>
      </c>
      <c r="T33" s="1120" t="s">
        <v>1357</v>
      </c>
      <c r="U33" s="1121">
        <f t="shared" si="13"/>
        <v>100</v>
      </c>
      <c r="V33" s="1120" t="s">
        <v>1357</v>
      </c>
      <c r="W33" s="1121">
        <f t="shared" si="14"/>
        <v>100</v>
      </c>
      <c r="X33" s="1122"/>
      <c r="Y33" s="3434"/>
      <c r="Z33" s="1127" t="str">
        <f t="shared" si="15"/>
        <v>项目建筑规模</v>
      </c>
      <c r="AA33" s="1102">
        <f t="shared" si="3"/>
        <v>1</v>
      </c>
      <c r="AB33" s="1102">
        <f t="shared" si="4"/>
        <v>1</v>
      </c>
      <c r="AC33" s="1102">
        <f t="shared" si="5"/>
        <v>1</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1-(2025-2006)/60</f>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4.4">
      <c r="A48" s="1006" t="s">
        <v>1400</v>
      </c>
      <c r="B48" s="1293"/>
      <c r="C48" s="1294">
        <f>R49</f>
        <v>40566</v>
      </c>
      <c r="D48" s="1009" t="s">
        <v>1401</v>
      </c>
      <c r="E48" s="1295">
        <f>R48</f>
        <v>42275</v>
      </c>
      <c r="F48" s="1010"/>
      <c r="G48" s="1294">
        <f>T48</f>
        <v>39711</v>
      </c>
      <c r="H48" s="1010"/>
      <c r="I48" s="1295">
        <f>V48</f>
        <v>39711</v>
      </c>
      <c r="J48" s="1010"/>
      <c r="K48" s="1095">
        <f>F48+H48+J48</f>
        <v>0</v>
      </c>
      <c r="L48" s="1094"/>
      <c r="M48" s="1015"/>
      <c r="N48" s="1015"/>
      <c r="O48" s="1015"/>
      <c r="P48" s="3420" t="str">
        <f>A48</f>
        <v>比较价值（元/平方米）</v>
      </c>
      <c r="Q48" s="3420"/>
      <c r="R48" s="3418">
        <f>IF(F1="售价",ROUND(PRODUCT(R47,AA7:AA46),0),ROUND(PRODUCT(R47,AA7:AA46),1))</f>
        <v>42275</v>
      </c>
      <c r="S48" s="3418"/>
      <c r="T48" s="3418">
        <f>IF(F1="售价",ROUND(PRODUCT(T47,AB7:AB46),0),ROUND(PRODUCT(T47,AB7:AB46),1))</f>
        <v>39711</v>
      </c>
      <c r="U48" s="3418"/>
      <c r="V48" s="3418">
        <f>IF(F1="售价",ROUND(PRODUCT(V47,AC7:AC46),0),ROUND(PRODUCT(V47,AC7:AC46),1))</f>
        <v>39711</v>
      </c>
      <c r="W48" s="3418"/>
      <c r="X48" s="1055"/>
      <c r="Y48" s="1055"/>
      <c r="Z48" s="1055"/>
      <c r="AA48" s="1055"/>
      <c r="AB48" s="1055"/>
      <c r="AC48" s="1055"/>
    </row>
    <row r="49" spans="1:29" ht="14.4">
      <c r="A49" s="1012" t="s">
        <v>1402</v>
      </c>
      <c r="B49" s="1013"/>
      <c r="C49" s="925">
        <f>R49</f>
        <v>40566</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40566</v>
      </c>
      <c r="S49" s="3456"/>
      <c r="T49" s="3456"/>
      <c r="U49" s="3456"/>
      <c r="V49" s="3456"/>
      <c r="W49" s="3456"/>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1.7149615612063851E-2</v>
      </c>
      <c r="F52" s="1019" t="str">
        <f>IF(OR(E52&gt;=0.3,E52&lt;=-0.3),"超过30%","")</f>
        <v/>
      </c>
      <c r="G52" s="1018">
        <f>IF(G47&lt;G48,G48/G47-1,G47/G48-1)</f>
        <v>7.2775805192515364E-3</v>
      </c>
      <c r="H52" s="1019" t="str">
        <f>IF(OR(G52&gt;=0.3,G52&lt;=-0.3),"超过30%","")</f>
        <v/>
      </c>
      <c r="I52" s="1018">
        <f>IF(I47&lt;I48,I48/I47-1,I47/I48-1)</f>
        <v>7.2775805192515364E-3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6.4566492911284135E-2</v>
      </c>
      <c r="F53" s="1019" t="str">
        <f>IF(OR(E53&gt;=0.2,E53&lt;=-0.2),"超过20%","")</f>
        <v/>
      </c>
      <c r="G53" s="1018">
        <f>IF(G48&lt;I48,I48/G48-1,G48/I48-1)</f>
        <v>0</v>
      </c>
      <c r="H53" s="1019" t="str">
        <f>IF(OR(G53&gt;=0.2,G53&lt;=-0.2),"超过20%","")</f>
        <v/>
      </c>
      <c r="I53" s="1018">
        <f>IF(I48&lt;E48,E48/I48-1,I48/E48-1)</f>
        <v>6.4566492911284135E-2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2869</v>
      </c>
      <c r="D86" s="2106" t="s">
        <v>2871</v>
      </c>
      <c r="E86" s="2106" t="s">
        <v>2856</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3" sqref="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101</v>
      </c>
      <c r="D1" s="1827" t="s">
        <v>124</v>
      </c>
      <c r="E1" s="1828" t="s">
        <v>1146</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434.56380000000001</v>
      </c>
      <c r="C2" s="1833" t="s">
        <v>1148</v>
      </c>
      <c r="D2" s="1834">
        <f ca="1">C40+J29+L46</f>
        <v>4345638</v>
      </c>
      <c r="E2" s="1835" t="s">
        <v>1437</v>
      </c>
      <c r="F2" s="1836"/>
      <c r="G2" s="1837"/>
      <c r="H2" s="1838"/>
      <c r="I2" s="3202">
        <f ca="1">F6*F7*F8/12</f>
        <v>28000.670833333334</v>
      </c>
      <c r="J2" s="1838"/>
      <c r="K2" s="1993"/>
      <c r="L2" s="1838"/>
      <c r="M2" s="1838"/>
    </row>
    <row r="3" spans="1:37" ht="18" customHeight="1">
      <c r="A3" s="1839" t="s">
        <v>1149</v>
      </c>
      <c r="B3" s="1840">
        <f ca="1">IF(ISERROR(D2/F43),0,ROUND(D2/F43,0))</f>
        <v>33044</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302785</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302407</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131.51</v>
      </c>
      <c r="G7" s="714"/>
      <c r="H7" s="1861"/>
      <c r="I7" s="3397"/>
      <c r="J7" s="1862"/>
      <c r="K7" s="1859"/>
      <c r="L7" s="1855" t="s">
        <v>1163</v>
      </c>
      <c r="M7" s="1856">
        <f ca="1">F7</f>
        <v>131.51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378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636979</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526040</v>
      </c>
      <c r="D14" s="1886" t="s">
        <v>1176</v>
      </c>
      <c r="E14" s="1887"/>
      <c r="F14" s="1888"/>
      <c r="G14" s="714"/>
      <c r="H14" s="1884" t="s">
        <v>904</v>
      </c>
      <c r="I14" s="1855" t="s">
        <v>1177</v>
      </c>
      <c r="J14" s="1469">
        <f ca="1">C29</f>
        <v>767444</v>
      </c>
      <c r="K14" s="2005"/>
      <c r="L14" s="2006"/>
      <c r="M14" s="2007"/>
    </row>
    <row r="15" spans="1:37" s="1823" customFormat="1" ht="18" customHeight="1">
      <c r="A15" s="1884" t="s">
        <v>932</v>
      </c>
      <c r="B15" s="1855" t="s">
        <v>1106</v>
      </c>
      <c r="C15" s="1469">
        <f ca="1">ROUND(C14*F15,0)</f>
        <v>26302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2302</v>
      </c>
      <c r="K16" s="1904" t="s">
        <v>1182</v>
      </c>
      <c r="L16" s="1905"/>
      <c r="M16" s="1851"/>
    </row>
    <row r="17" spans="1:37" s="1823" customFormat="1" ht="18" customHeight="1">
      <c r="A17" s="1884" t="s">
        <v>1183</v>
      </c>
      <c r="B17" s="1855" t="s">
        <v>1184</v>
      </c>
      <c r="C17" s="1469">
        <f ca="1">ROUND(F17*(F43+INDIRECT("'数据-取费表'!S"&amp;$G$1)),0)</f>
        <v>26302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10521</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589165</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11783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2302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-2302</v>
      </c>
      <c r="K25" s="1923" t="s">
        <v>1220</v>
      </c>
      <c r="L25" s="1924"/>
      <c r="M25" s="1925"/>
    </row>
    <row r="26" spans="1:37" ht="18" customHeight="1">
      <c r="A26" s="1884" t="s">
        <v>927</v>
      </c>
      <c r="B26" s="1855" t="s">
        <v>1221</v>
      </c>
      <c r="C26" s="1469">
        <f ca="1">ROUND((C19+C20)*F26,0)</f>
        <v>90142</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767444</v>
      </c>
      <c r="D29" s="1901"/>
      <c r="E29" s="1877"/>
      <c r="F29" s="1902"/>
      <c r="G29" s="1891"/>
      <c r="H29" s="1903" t="s">
        <v>1236</v>
      </c>
      <c r="I29" s="1932" t="s">
        <v>1237</v>
      </c>
      <c r="J29" s="1933">
        <f ca="1">ROUND(J26/(1+F40)^F41,0)</f>
        <v>0</v>
      </c>
      <c r="K29" s="1934" t="s">
        <v>1238</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54854</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50401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15840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34561</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2302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637</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1514</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247931</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4304319</v>
      </c>
      <c r="D40" s="1914" t="s">
        <v>1226</v>
      </c>
      <c r="E40" s="1855" t="s">
        <v>1227</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32730</v>
      </c>
      <c r="D43" s="1934" t="s">
        <v>1243</v>
      </c>
      <c r="E43" s="1935" t="s">
        <v>1244</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-434.56479999999999</v>
      </c>
      <c r="D45" s="1941" t="s">
        <v>1445</v>
      </c>
      <c r="E45" s="1937"/>
      <c r="F45" s="1937"/>
      <c r="O45" s="2021" t="s">
        <v>1245</v>
      </c>
      <c r="P45" s="1927"/>
      <c r="Q45" s="1927"/>
      <c r="R45" s="1927"/>
    </row>
    <row r="46" spans="1:18" s="714" customFormat="1">
      <c r="A46" s="1942" t="s">
        <v>1246</v>
      </c>
      <c r="C46" s="1943">
        <f ca="1">ROUND(C45,0)</f>
        <v>-435</v>
      </c>
      <c r="D46" s="1944" t="str">
        <f>C2</f>
        <v>万元</v>
      </c>
      <c r="I46" s="2022" t="s">
        <v>1247</v>
      </c>
      <c r="J46" s="2023"/>
      <c r="K46" s="2024"/>
      <c r="L46" s="2025">
        <f ca="1">IF(M47="住宅",0,IF(L48&gt;J51,L60,J60))</f>
        <v>41319</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4304319</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41319</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767444</v>
      </c>
      <c r="R49" s="2070" t="s">
        <v>1255</v>
      </c>
    </row>
    <row r="50" spans="1:18" s="714" customFormat="1">
      <c r="A50" s="1960"/>
      <c r="B50" s="1431"/>
      <c r="C50" s="1961"/>
      <c r="D50" s="1962"/>
      <c r="E50" s="1963" t="s">
        <v>1163</v>
      </c>
      <c r="F50" s="1964">
        <f ca="1">F7</f>
        <v>131.51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3712205</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4345638</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c r="A56" s="1972">
        <v>2</v>
      </c>
      <c r="B56" s="1973" t="s">
        <v>1172</v>
      </c>
      <c r="C56" s="378">
        <f ca="1">C13</f>
        <v>636979</v>
      </c>
      <c r="D56" s="1974"/>
      <c r="E56" s="1975"/>
      <c r="F56" s="1971"/>
      <c r="I56" s="2058" t="s">
        <v>1289</v>
      </c>
      <c r="J56" s="2059" t="s">
        <v>1449</v>
      </c>
      <c r="K56" s="2035" t="s">
        <v>1290</v>
      </c>
      <c r="L56" s="2038" t="str">
        <f ca="1">IF(L48&lt;J51,"——",L48-J51)</f>
        <v>——</v>
      </c>
      <c r="O56" s="2033" t="s">
        <v>1011</v>
      </c>
      <c r="P56" s="2034" t="s">
        <v>1254</v>
      </c>
      <c r="Q56" s="2070">
        <f ca="1">C40+J29</f>
        <v>4304319</v>
      </c>
      <c r="R56" s="2070" t="s">
        <v>1255</v>
      </c>
    </row>
    <row r="57" spans="1:18" s="714" customFormat="1" ht="24">
      <c r="A57" s="1976"/>
      <c r="B57" s="1977" t="s">
        <v>1235</v>
      </c>
      <c r="C57" s="388">
        <f ca="1">C29</f>
        <v>767444</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2939</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41319</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4304319</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2302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637</v>
      </c>
      <c r="D65" s="1985" t="s">
        <v>1212</v>
      </c>
      <c r="E65" s="1977" t="s">
        <v>1179</v>
      </c>
      <c r="F65" s="1921">
        <f t="shared" ca="1" si="0"/>
        <v>1E-3</v>
      </c>
      <c r="I65" s="2066" t="s">
        <v>1313</v>
      </c>
      <c r="J65" s="1032">
        <v>40</v>
      </c>
      <c r="K65" s="1032">
        <v>30</v>
      </c>
      <c r="L65" s="1032">
        <v>50</v>
      </c>
      <c r="M65" s="2068">
        <v>0.02</v>
      </c>
      <c r="O65" s="2033" t="s">
        <v>1011</v>
      </c>
      <c r="P65" s="2034" t="s">
        <v>1254</v>
      </c>
      <c r="Q65" s="2070">
        <f ca="1">C40+J29</f>
        <v>4304319</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-2939</v>
      </c>
      <c r="D67" s="1984" t="s">
        <v>1220</v>
      </c>
      <c r="E67" s="2073"/>
      <c r="F67" s="2074"/>
      <c r="O67" s="2041" t="s">
        <v>1266</v>
      </c>
      <c r="P67" s="2034" t="s">
        <v>1297</v>
      </c>
      <c r="Q67" s="2094">
        <f ca="1">L51</f>
        <v>3712205</v>
      </c>
      <c r="R67" s="2070" t="s">
        <v>1314</v>
      </c>
    </row>
    <row r="68" spans="1:18" s="714" customFormat="1" ht="15.6">
      <c r="A68" s="2075" t="s">
        <v>1224</v>
      </c>
      <c r="B68" s="2076" t="s">
        <v>1241</v>
      </c>
      <c r="C68" s="1926">
        <f ca="1">ROUND(C67*(1-((1+F70)/(1+F68))^F69)/(F68-F70),0)</f>
        <v>-41329</v>
      </c>
      <c r="D68" s="1987" t="s">
        <v>1226</v>
      </c>
      <c r="E68" s="1977" t="s">
        <v>1227</v>
      </c>
      <c r="F68" s="1863">
        <f ca="1">F40</f>
        <v>5.5E-2</v>
      </c>
      <c r="O68" s="2041" t="s">
        <v>1270</v>
      </c>
      <c r="P68" s="2093" t="s">
        <v>1315</v>
      </c>
      <c r="Q68" s="2070">
        <f ca="1">ROUND(Q69-Q70*Q71,0)</f>
        <v>203342</v>
      </c>
      <c r="R68" s="2070" t="s">
        <v>1316</v>
      </c>
    </row>
    <row r="69" spans="1:18" s="714" customFormat="1">
      <c r="A69" s="2077"/>
      <c r="B69" s="2078"/>
      <c r="C69" s="1862"/>
      <c r="D69" s="2079" t="s">
        <v>1230</v>
      </c>
      <c r="E69" s="1977" t="s">
        <v>1231</v>
      </c>
      <c r="F69" s="1930">
        <f ca="1">F41</f>
        <v>27.73</v>
      </c>
      <c r="O69" s="2041" t="s">
        <v>1317</v>
      </c>
      <c r="P69" s="2093" t="s">
        <v>1318</v>
      </c>
      <c r="Q69" s="2070">
        <f ca="1">C39</f>
        <v>247931</v>
      </c>
      <c r="R69" s="2070" t="s">
        <v>1255</v>
      </c>
    </row>
    <row r="70" spans="1:18" s="714" customFormat="1">
      <c r="A70" s="2080"/>
      <c r="B70" s="2081"/>
      <c r="C70" s="1881"/>
      <c r="D70" s="1989"/>
      <c r="E70" s="1977" t="s">
        <v>1234</v>
      </c>
      <c r="F70" s="1967"/>
      <c r="O70" s="2041" t="s">
        <v>1319</v>
      </c>
      <c r="P70" s="2093" t="s">
        <v>1320</v>
      </c>
      <c r="Q70" s="2070">
        <f ca="1">C13</f>
        <v>636979</v>
      </c>
      <c r="R70" s="2070" t="s">
        <v>1255</v>
      </c>
    </row>
    <row r="71" spans="1:18" s="714" customFormat="1">
      <c r="A71" s="2082" t="s">
        <v>1236</v>
      </c>
      <c r="B71" s="2083" t="s">
        <v>1242</v>
      </c>
      <c r="C71" s="1933">
        <f ca="1">ROUND(C68/F71,0)</f>
        <v>-314</v>
      </c>
      <c r="D71" s="2084" t="s">
        <v>1243</v>
      </c>
      <c r="E71" s="2085" t="s">
        <v>1244</v>
      </c>
      <c r="F71" s="1936">
        <f ca="1">F43</f>
        <v>131.51</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44589</v>
      </c>
      <c r="D75" s="714"/>
      <c r="E75" s="714"/>
      <c r="F75" s="714"/>
      <c r="K75" s="2020"/>
      <c r="L75" s="714"/>
      <c r="O75" s="2033" t="s">
        <v>1108</v>
      </c>
      <c r="P75" s="2034" t="s">
        <v>1284</v>
      </c>
      <c r="Q75" s="2070">
        <f ca="1">Q65+Q66</f>
        <v>4304319</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72" t="s">
        <v>1455</v>
      </c>
      <c r="K2" s="3473"/>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66" t="s">
        <v>1463</v>
      </c>
      <c r="K3" s="3467"/>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66" t="s">
        <v>1464</v>
      </c>
      <c r="K4" s="3467"/>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76" t="s">
        <v>1468</v>
      </c>
      <c r="B6" s="3477"/>
      <c r="C6" s="3478"/>
      <c r="D6" s="1678"/>
      <c r="E6" s="1679"/>
      <c r="F6" s="1680"/>
      <c r="G6" s="1681"/>
      <c r="H6" s="1669"/>
      <c r="I6" s="1754"/>
      <c r="J6" s="3460">
        <v>1</v>
      </c>
      <c r="K6" s="3463"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60"/>
      <c r="K7" s="3464"/>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74" t="s">
        <v>1482</v>
      </c>
      <c r="C8" s="3475"/>
      <c r="D8" s="1692" t="s">
        <v>1483</v>
      </c>
      <c r="E8" s="1693" t="s">
        <v>1484</v>
      </c>
      <c r="F8" s="1694" t="s">
        <v>1485</v>
      </c>
      <c r="G8" s="1695"/>
      <c r="H8" s="1669"/>
      <c r="I8" s="1754"/>
      <c r="J8" s="3460"/>
      <c r="K8" s="3464"/>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74" t="s">
        <v>1488</v>
      </c>
      <c r="C9" s="3475"/>
      <c r="D9" s="1692">
        <f>ROUND(D6*E9,0)</f>
        <v>0</v>
      </c>
      <c r="E9" s="1696"/>
      <c r="F9" s="1697" t="s">
        <v>1489</v>
      </c>
      <c r="G9" s="1681"/>
      <c r="H9" s="1669"/>
      <c r="I9" s="1754"/>
      <c r="J9" s="3460"/>
      <c r="K9" s="3464"/>
      <c r="L9" s="1774" t="s">
        <v>1490</v>
      </c>
      <c r="M9" s="1775"/>
      <c r="N9" s="1674"/>
      <c r="O9" s="1776"/>
      <c r="P9" s="1776"/>
      <c r="Q9" s="1707">
        <v>365</v>
      </c>
      <c r="R9" s="1808">
        <f t="shared" si="0"/>
        <v>0</v>
      </c>
      <c r="S9" s="1723"/>
      <c r="T9" s="1723"/>
      <c r="U9" s="1723"/>
      <c r="V9" s="1754"/>
    </row>
    <row r="10" spans="1:22" s="1651" customFormat="1" ht="13.2" customHeight="1">
      <c r="A10" s="1689">
        <v>2</v>
      </c>
      <c r="B10" s="3474" t="s">
        <v>1491</v>
      </c>
      <c r="C10" s="3475"/>
      <c r="D10" s="1692">
        <f>ROUND(D6*E10,0)</f>
        <v>0</v>
      </c>
      <c r="E10" s="1696"/>
      <c r="F10" s="1697" t="s">
        <v>1492</v>
      </c>
      <c r="G10" s="1681"/>
      <c r="H10" s="1669"/>
      <c r="I10" s="1754"/>
      <c r="J10" s="3460"/>
      <c r="K10" s="3464"/>
      <c r="L10" s="1774" t="s">
        <v>1493</v>
      </c>
      <c r="M10" s="1775"/>
      <c r="N10" s="1674"/>
      <c r="O10" s="1776"/>
      <c r="P10" s="1776"/>
      <c r="Q10" s="1707">
        <v>365</v>
      </c>
      <c r="R10" s="1808">
        <f t="shared" si="0"/>
        <v>0</v>
      </c>
      <c r="S10" s="1723"/>
      <c r="T10" s="1723"/>
      <c r="U10" s="1723"/>
      <c r="V10" s="1754"/>
    </row>
    <row r="11" spans="1:22" s="1651" customFormat="1" ht="13.2" customHeight="1">
      <c r="A11" s="1689">
        <v>3</v>
      </c>
      <c r="B11" s="3474" t="s">
        <v>1494</v>
      </c>
      <c r="C11" s="3475"/>
      <c r="D11" s="1692">
        <f>D12+D14+D15+D16</f>
        <v>0</v>
      </c>
      <c r="E11" s="1698" t="e">
        <f>D11/D6</f>
        <v>#DIV/0!</v>
      </c>
      <c r="F11" s="1694"/>
      <c r="G11" s="1695"/>
      <c r="H11" s="1669"/>
      <c r="I11" s="1754"/>
      <c r="J11" s="3460"/>
      <c r="K11" s="3464"/>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68" t="s">
        <v>1497</v>
      </c>
      <c r="C12" s="3469"/>
      <c r="D12" s="1702">
        <f>ROUND(D13*1.2%*(1-30%),0)</f>
        <v>0</v>
      </c>
      <c r="E12" s="1703">
        <v>1.2E-2</v>
      </c>
      <c r="F12" s="1694" t="s">
        <v>1498</v>
      </c>
      <c r="G12" s="1695"/>
      <c r="H12" s="1669"/>
      <c r="I12" s="1754"/>
      <c r="J12" s="3460"/>
      <c r="K12" s="3464"/>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60"/>
      <c r="K13" s="3464"/>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68" t="s">
        <v>1503</v>
      </c>
      <c r="C14" s="3469"/>
      <c r="D14" s="1702">
        <f>ROUND(E14*B5/10000,0)</f>
        <v>0</v>
      </c>
      <c r="E14" s="1707"/>
      <c r="F14" s="1694" t="s">
        <v>1504</v>
      </c>
      <c r="G14" s="1695"/>
      <c r="H14" s="1669"/>
      <c r="I14" s="1754"/>
      <c r="J14" s="3460"/>
      <c r="K14" s="3465"/>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68" t="s">
        <v>1507</v>
      </c>
      <c r="C15" s="3469"/>
      <c r="D15" s="1702">
        <f>ROUND(D6*E15,0)</f>
        <v>0</v>
      </c>
      <c r="E15" s="1703">
        <v>5.5E-2</v>
      </c>
      <c r="F15" s="1694" t="s">
        <v>1508</v>
      </c>
      <c r="G15" s="1681"/>
      <c r="H15" s="1669"/>
      <c r="I15" s="1754"/>
      <c r="J15" s="3460">
        <v>2</v>
      </c>
      <c r="K15" s="3463"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68" t="s">
        <v>1515</v>
      </c>
      <c r="C16" s="3469"/>
      <c r="D16" s="1708">
        <f>D6*E16</f>
        <v>0</v>
      </c>
      <c r="E16" s="1709"/>
      <c r="F16" s="1697" t="s">
        <v>1516</v>
      </c>
      <c r="G16" s="1681"/>
      <c r="H16" s="1669"/>
      <c r="I16" s="1754"/>
      <c r="J16" s="3460"/>
      <c r="K16" s="3464"/>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70" t="s">
        <v>1518</v>
      </c>
      <c r="C17" s="3471"/>
      <c r="D17" s="1711">
        <f>ROUND(D6*E17,0)</f>
        <v>0</v>
      </c>
      <c r="E17" s="1712"/>
      <c r="F17" s="1713" t="s">
        <v>1519</v>
      </c>
      <c r="G17" s="1681"/>
      <c r="H17" s="1669"/>
      <c r="I17" s="1754"/>
      <c r="J17" s="3460"/>
      <c r="K17" s="3464"/>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60"/>
      <c r="K18" s="3464"/>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60"/>
      <c r="K19" s="3465"/>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0">
        <v>3</v>
      </c>
      <c r="K20" s="3463"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60"/>
      <c r="K21" s="3464"/>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60"/>
      <c r="K22" s="3464"/>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60"/>
      <c r="K23" s="3464"/>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60"/>
      <c r="K24" s="3465"/>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61">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62"/>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72" t="s">
        <v>1455</v>
      </c>
      <c r="K32" s="3473"/>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66" t="s">
        <v>1463</v>
      </c>
      <c r="K33" s="3467"/>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66" t="s">
        <v>1464</v>
      </c>
      <c r="K34" s="3467"/>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60">
        <v>1</v>
      </c>
      <c r="K36" s="3463"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60"/>
      <c r="K37" s="3464"/>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0"/>
      <c r="K38" s="3464"/>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60"/>
      <c r="K39" s="3464"/>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60"/>
      <c r="K40" s="3465"/>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61">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62"/>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659.65269999999998</v>
      </c>
      <c r="C2" s="1636" t="s">
        <v>1565</v>
      </c>
      <c r="D2" s="1637" t="s">
        <v>1566</v>
      </c>
      <c r="E2" s="1638">
        <f>SUM(E6:E13)</f>
        <v>205.1</v>
      </c>
      <c r="F2" s="1634"/>
      <c r="G2" s="1400"/>
      <c r="H2" s="1400"/>
      <c r="I2" s="1400"/>
      <c r="J2" s="1400"/>
      <c r="K2" s="1400"/>
      <c r="L2" s="1400"/>
      <c r="M2" s="1400"/>
      <c r="N2" s="1400"/>
      <c r="O2" s="1400"/>
      <c r="P2" s="1400"/>
      <c r="Q2" s="1400"/>
      <c r="R2" s="1400"/>
      <c r="S2" s="1400"/>
    </row>
    <row r="3" spans="1:22" ht="15.6">
      <c r="A3" s="1635" t="s">
        <v>998</v>
      </c>
      <c r="B3" s="1639">
        <f ca="1">ROUND(B2*10000/E2,0)</f>
        <v>32162</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9" t="s">
        <v>1569</v>
      </c>
      <c r="C5" s="3480"/>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434.56380000000001</v>
      </c>
      <c r="C6" s="1636" t="s">
        <v>1565</v>
      </c>
      <c r="D6" s="1634"/>
      <c r="E6" s="1646">
        <f>IF(OR(A6=0,F6="否"),0,'数据-取费表'!K6+'数据-取费表'!S6)</f>
        <v>131.51</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101.15</v>
      </c>
      <c r="C7" s="1636" t="s">
        <v>1565</v>
      </c>
      <c r="D7" s="1634"/>
      <c r="E7" s="1646">
        <f>IF(OR(A7=0,F7="否"),0,'数据-取费表'!K7+'数据-取费表'!S7)</f>
        <v>30.61</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123.9389</v>
      </c>
      <c r="C8" s="1636" t="s">
        <v>1565</v>
      </c>
      <c r="D8" s="1634"/>
      <c r="E8" s="1646">
        <f>IF(OR(A8=0,F8="否"),0,'数据-取费表'!K8+'数据-取费表'!S8)</f>
        <v>42.98</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441" t="s">
        <v>1346</v>
      </c>
      <c r="D4" s="3442"/>
      <c r="E4" s="3443" t="s">
        <v>1347</v>
      </c>
      <c r="F4" s="3444"/>
      <c r="G4" s="3441" t="s">
        <v>1348</v>
      </c>
      <c r="H4" s="3442"/>
      <c r="I4" s="3441" t="s">
        <v>1349</v>
      </c>
      <c r="J4" s="3442"/>
      <c r="K4" s="1569"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47" t="s">
        <v>1348</v>
      </c>
      <c r="AC4" s="3447" t="s">
        <v>1349</v>
      </c>
    </row>
    <row r="5" spans="1:29">
      <c r="A5" s="922"/>
      <c r="B5" s="923"/>
      <c r="C5" s="3457" t="s">
        <v>1574</v>
      </c>
      <c r="D5" s="3446"/>
      <c r="E5" s="3481" t="s">
        <v>1575</v>
      </c>
      <c r="F5" s="3459"/>
      <c r="G5" s="3457" t="s">
        <v>1576</v>
      </c>
      <c r="H5" s="3446"/>
      <c r="I5" s="3457" t="s">
        <v>1352</v>
      </c>
      <c r="J5" s="3446"/>
      <c r="K5" s="1570"/>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570"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9"/>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27"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28"/>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33"/>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28"/>
      <c r="Q26" s="621" t="str">
        <f t="shared" si="11"/>
        <v>朝向</v>
      </c>
      <c r="R26" s="1118" t="s">
        <v>1357</v>
      </c>
      <c r="S26" s="1119">
        <f t="shared" si="12"/>
        <v>100</v>
      </c>
      <c r="T26" s="1118" t="s">
        <v>1357</v>
      </c>
      <c r="U26" s="1119">
        <f t="shared" si="13"/>
        <v>100</v>
      </c>
      <c r="V26" s="1118" t="s">
        <v>1357</v>
      </c>
      <c r="W26" s="1119">
        <f t="shared" si="14"/>
        <v>100</v>
      </c>
      <c r="X26" s="1113"/>
      <c r="Y26" s="343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28"/>
      <c r="Q27" s="790">
        <f t="shared" si="11"/>
        <v>111</v>
      </c>
      <c r="R27" s="1114" t="s">
        <v>1357</v>
      </c>
      <c r="S27" s="1115">
        <f t="shared" si="12"/>
        <v>100</v>
      </c>
      <c r="T27" s="1114" t="s">
        <v>1357</v>
      </c>
      <c r="U27" s="1115">
        <f t="shared" si="13"/>
        <v>100</v>
      </c>
      <c r="V27" s="1114" t="s">
        <v>1357</v>
      </c>
      <c r="W27" s="1115">
        <f t="shared" si="14"/>
        <v>100</v>
      </c>
      <c r="X27" s="1116"/>
      <c r="Y27" s="343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28"/>
      <c r="Q28" s="621">
        <f t="shared" si="11"/>
        <v>111</v>
      </c>
      <c r="R28" s="1118" t="s">
        <v>1357</v>
      </c>
      <c r="S28" s="1119">
        <f t="shared" si="12"/>
        <v>100</v>
      </c>
      <c r="T28" s="1118" t="s">
        <v>1357</v>
      </c>
      <c r="U28" s="1119">
        <f t="shared" si="13"/>
        <v>100</v>
      </c>
      <c r="V28" s="1118" t="s">
        <v>1357</v>
      </c>
      <c r="W28" s="1119">
        <f t="shared" si="14"/>
        <v>100</v>
      </c>
      <c r="X28" s="1113"/>
      <c r="Y28" s="343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9" t="s">
        <v>1383</v>
      </c>
      <c r="Q32" s="621" t="str">
        <f t="shared" si="11"/>
        <v>建筑类型</v>
      </c>
      <c r="R32" s="1118" t="s">
        <v>1357</v>
      </c>
      <c r="S32" s="1119">
        <f t="shared" si="12"/>
        <v>100</v>
      </c>
      <c r="T32" s="1118" t="s">
        <v>1357</v>
      </c>
      <c r="U32" s="1119">
        <f t="shared" si="13"/>
        <v>100</v>
      </c>
      <c r="V32" s="1118" t="s">
        <v>1357</v>
      </c>
      <c r="W32" s="1119">
        <f t="shared" si="14"/>
        <v>100</v>
      </c>
      <c r="X32" s="1113"/>
      <c r="Y32" s="3434"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30"/>
      <c r="Q33" s="1308" t="str">
        <f t="shared" si="11"/>
        <v>项目建筑规模</v>
      </c>
      <c r="R33" s="1120" t="s">
        <v>1357</v>
      </c>
      <c r="S33" s="1121" t="e">
        <f t="shared" si="12"/>
        <v>#N/A</v>
      </c>
      <c r="T33" s="1120" t="s">
        <v>1357</v>
      </c>
      <c r="U33" s="1121" t="e">
        <f t="shared" si="13"/>
        <v>#N/A</v>
      </c>
      <c r="V33" s="1120" t="s">
        <v>1357</v>
      </c>
      <c r="W33" s="1121" t="e">
        <f t="shared" si="14"/>
        <v>#N/A</v>
      </c>
      <c r="X33" s="1122"/>
      <c r="Y33" s="3434"/>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30"/>
      <c r="Q35" s="621" t="str">
        <f t="shared" si="11"/>
        <v>建筑品质</v>
      </c>
      <c r="R35" s="1118" t="s">
        <v>1357</v>
      </c>
      <c r="S35" s="1119">
        <f t="shared" si="12"/>
        <v>100</v>
      </c>
      <c r="T35" s="1118" t="s">
        <v>1357</v>
      </c>
      <c r="U35" s="1119">
        <f t="shared" si="13"/>
        <v>100</v>
      </c>
      <c r="V35" s="1118" t="s">
        <v>1357</v>
      </c>
      <c r="W35" s="1119">
        <f t="shared" si="14"/>
        <v>100</v>
      </c>
      <c r="X35" s="1113"/>
      <c r="Y35" s="3434"/>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30"/>
      <c r="Q37" s="790" t="str">
        <f t="shared" si="11"/>
        <v>成新度</v>
      </c>
      <c r="R37" s="1114" t="s">
        <v>1357</v>
      </c>
      <c r="S37" s="1115" t="e">
        <f t="shared" si="12"/>
        <v>#N/A</v>
      </c>
      <c r="T37" s="1114" t="s">
        <v>1357</v>
      </c>
      <c r="U37" s="1115" t="e">
        <f t="shared" si="13"/>
        <v>#N/A</v>
      </c>
      <c r="V37" s="1114" t="s">
        <v>1357</v>
      </c>
      <c r="W37" s="1115" t="e">
        <f t="shared" si="14"/>
        <v>#N/A</v>
      </c>
      <c r="X37" s="1116"/>
      <c r="Y37" s="3434"/>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30" t="s">
        <v>1383</v>
      </c>
      <c r="Q38" s="621" t="str">
        <f t="shared" si="11"/>
        <v>物业管理</v>
      </c>
      <c r="R38" s="1118" t="s">
        <v>1357</v>
      </c>
      <c r="S38" s="1119">
        <f t="shared" si="12"/>
        <v>100</v>
      </c>
      <c r="T38" s="1118" t="s">
        <v>1357</v>
      </c>
      <c r="U38" s="1119">
        <f t="shared" si="13"/>
        <v>100</v>
      </c>
      <c r="V38" s="1118" t="s">
        <v>1357</v>
      </c>
      <c r="W38" s="1119">
        <f t="shared" si="14"/>
        <v>100</v>
      </c>
      <c r="X38" s="1113"/>
      <c r="Y38" s="3434"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30"/>
      <c r="Q39" s="621" t="str">
        <f t="shared" si="11"/>
        <v>市政基础设施</v>
      </c>
      <c r="R39" s="1118" t="s">
        <v>1357</v>
      </c>
      <c r="S39" s="1119">
        <f t="shared" si="12"/>
        <v>100</v>
      </c>
      <c r="T39" s="1118" t="s">
        <v>1357</v>
      </c>
      <c r="U39" s="1119">
        <f t="shared" si="13"/>
        <v>100</v>
      </c>
      <c r="V39" s="1118" t="s">
        <v>1357</v>
      </c>
      <c r="W39" s="1119">
        <f t="shared" si="14"/>
        <v>100</v>
      </c>
      <c r="X39" s="1113"/>
      <c r="Y39" s="3434"/>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30"/>
      <c r="Q40" s="621" t="str">
        <f t="shared" si="11"/>
        <v>房型</v>
      </c>
      <c r="R40" s="1118" t="s">
        <v>1357</v>
      </c>
      <c r="S40" s="1119">
        <f t="shared" si="12"/>
        <v>100</v>
      </c>
      <c r="T40" s="1118" t="s">
        <v>1357</v>
      </c>
      <c r="U40" s="1119">
        <f t="shared" si="13"/>
        <v>100</v>
      </c>
      <c r="V40" s="1118" t="s">
        <v>1357</v>
      </c>
      <c r="W40" s="1119">
        <f t="shared" si="14"/>
        <v>100</v>
      </c>
      <c r="X40" s="1113"/>
      <c r="Y40" s="3434"/>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30"/>
      <c r="Q41" s="1308" t="str">
        <f t="shared" si="11"/>
        <v>单套/主力户型建筑面积</v>
      </c>
      <c r="R41" s="1120" t="s">
        <v>1357</v>
      </c>
      <c r="S41" s="1121">
        <f t="shared" si="12"/>
        <v>100</v>
      </c>
      <c r="T41" s="1120" t="s">
        <v>1357</v>
      </c>
      <c r="U41" s="1121">
        <f t="shared" si="13"/>
        <v>100</v>
      </c>
      <c r="V41" s="1120" t="s">
        <v>1357</v>
      </c>
      <c r="W41" s="1121">
        <f t="shared" si="14"/>
        <v>100</v>
      </c>
      <c r="X41" s="1122"/>
      <c r="Y41" s="3434"/>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30"/>
      <c r="Q44" s="790">
        <f t="shared" si="11"/>
        <v>111</v>
      </c>
      <c r="R44" s="1114" t="s">
        <v>1357</v>
      </c>
      <c r="S44" s="1115">
        <f t="shared" si="12"/>
        <v>100</v>
      </c>
      <c r="T44" s="1114" t="s">
        <v>1357</v>
      </c>
      <c r="U44" s="1115">
        <f t="shared" si="13"/>
        <v>100</v>
      </c>
      <c r="V44" s="1114" t="s">
        <v>1357</v>
      </c>
      <c r="W44" s="1115">
        <f t="shared" si="14"/>
        <v>100</v>
      </c>
      <c r="X44" s="1116"/>
      <c r="Y44" s="343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30"/>
      <c r="Q45" s="621">
        <f t="shared" si="11"/>
        <v>111</v>
      </c>
      <c r="R45" s="1118" t="s">
        <v>1357</v>
      </c>
      <c r="S45" s="1119">
        <f t="shared" si="12"/>
        <v>100</v>
      </c>
      <c r="T45" s="1118" t="s">
        <v>1357</v>
      </c>
      <c r="U45" s="1119">
        <f t="shared" si="13"/>
        <v>100</v>
      </c>
      <c r="V45" s="1118" t="s">
        <v>1357</v>
      </c>
      <c r="W45" s="1119">
        <f t="shared" si="14"/>
        <v>100</v>
      </c>
      <c r="X45" s="1113"/>
      <c r="Y45" s="343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31"/>
      <c r="Q46" s="621">
        <f t="shared" si="11"/>
        <v>111</v>
      </c>
      <c r="R46" s="1118" t="s">
        <v>1357</v>
      </c>
      <c r="S46" s="1119">
        <f t="shared" si="12"/>
        <v>100</v>
      </c>
      <c r="T46" s="1118" t="s">
        <v>1357</v>
      </c>
      <c r="U46" s="1119">
        <f t="shared" si="13"/>
        <v>100</v>
      </c>
      <c r="V46" s="1118" t="s">
        <v>1357</v>
      </c>
      <c r="W46" s="1119">
        <f t="shared" si="14"/>
        <v>100</v>
      </c>
      <c r="X46" s="1113"/>
      <c r="Y46" s="3435"/>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20" t="str">
        <f>A47</f>
        <v>成交单价（元/平方米）</v>
      </c>
      <c r="Q47" s="3420"/>
      <c r="R47" s="3418">
        <f>E47</f>
        <v>0</v>
      </c>
      <c r="S47" s="3418"/>
      <c r="T47" s="3418">
        <f>G47</f>
        <v>0</v>
      </c>
      <c r="U47" s="3418"/>
      <c r="V47" s="3418">
        <f>I47</f>
        <v>0</v>
      </c>
      <c r="W47" s="3418"/>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20" t="str">
        <f>A48</f>
        <v>比较价值（元/平方米）</v>
      </c>
      <c r="Q48" s="3420"/>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82" t="s">
        <v>1613</v>
      </c>
      <c r="D1" s="3483"/>
      <c r="E1" s="3483"/>
      <c r="F1" s="3483"/>
      <c r="G1" s="3483"/>
      <c r="H1" s="3483"/>
      <c r="I1" s="3483"/>
      <c r="J1" s="3483"/>
      <c r="K1" s="3483"/>
      <c r="L1" s="3483"/>
      <c r="M1" s="3483"/>
      <c r="N1" s="3483"/>
      <c r="O1" s="3483"/>
      <c r="P1" s="3483"/>
      <c r="Q1" s="3483"/>
      <c r="R1" s="3483"/>
      <c r="S1" s="3484"/>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770.29409999999996</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37557</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205.1</v>
      </c>
      <c r="C22" s="3485" t="s">
        <v>124</v>
      </c>
      <c r="D22" s="3486"/>
      <c r="E22" s="3486"/>
      <c r="F22" s="3486"/>
      <c r="G22" s="3486"/>
      <c r="H22" s="3486"/>
      <c r="I22" s="3486"/>
      <c r="J22" s="3486"/>
      <c r="K22" s="3486"/>
      <c r="L22" s="3486"/>
      <c r="M22" s="3486"/>
      <c r="N22" s="3486"/>
      <c r="O22" s="3486"/>
      <c r="P22" s="3486"/>
      <c r="Q22" s="3487"/>
      <c r="R22" s="1469">
        <f ca="1">ROUND(S22*10000/B22,0)</f>
        <v>37557</v>
      </c>
      <c r="S22" s="1469">
        <f ca="1">SUM(S24:S10000)</f>
        <v>770.29409999999996</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结果表101!H102</f>
        <v>37557</v>
      </c>
      <c r="S24" s="1525">
        <f t="shared" ref="S24:S32" ca="1" si="11">ROUND(R24*B24/10000,4)</f>
        <v>493.91210000000001</v>
      </c>
      <c r="T24" s="1526">
        <f ca="1">结果表101!N59</f>
        <v>4936651</v>
      </c>
      <c r="U24" s="1526">
        <f ca="1">结果表101!N61</f>
        <v>240694832</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37557</v>
      </c>
      <c r="S25" s="1468">
        <f t="shared" ca="1" si="11"/>
        <v>114.962</v>
      </c>
      <c r="T25" s="1417" t="e">
        <f>#REF!</f>
        <v>#REF!</v>
      </c>
      <c r="U25" s="1417" t="e">
        <f>#REF!</f>
        <v>#REF!</v>
      </c>
    </row>
    <row r="26" spans="1:45">
      <c r="A26" s="1476">
        <f>'数据-基础表'!C15</f>
        <v>104</v>
      </c>
      <c r="B26" s="1477">
        <f>'数据-基础表'!G15</f>
        <v>42.98</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37557</v>
      </c>
      <c r="S26" s="1468">
        <f t="shared" ca="1" si="11"/>
        <v>161.41999999999999</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37557</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37557</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37557</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37557</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37557</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37557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380"/>
      <c r="M4" s="1050"/>
      <c r="N4" s="1050"/>
      <c r="O4" s="1050"/>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380"/>
      <c r="M5" s="1050"/>
      <c r="N5" s="1050"/>
      <c r="O5" s="1050"/>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380"/>
      <c r="M6" s="1050"/>
      <c r="N6" s="1050"/>
      <c r="O6" s="1050"/>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20"/>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33"/>
      <c r="Q16" s="621"/>
      <c r="R16" s="1118"/>
      <c r="S16" s="1119"/>
      <c r="T16" s="1118"/>
      <c r="U16" s="1119"/>
      <c r="V16" s="1118"/>
      <c r="W16" s="1119"/>
      <c r="X16" s="1113"/>
      <c r="Y16" s="3433"/>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33"/>
      <c r="Q18" s="621"/>
      <c r="R18" s="1118"/>
      <c r="S18" s="1119"/>
      <c r="T18" s="1118"/>
      <c r="U18" s="1119"/>
      <c r="V18" s="1118"/>
      <c r="W18" s="1119"/>
      <c r="X18" s="1113"/>
      <c r="Y18" s="3433"/>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33"/>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33"/>
      <c r="Q20" s="621"/>
      <c r="R20" s="1118"/>
      <c r="S20" s="1119"/>
      <c r="T20" s="1118"/>
      <c r="U20" s="1119"/>
      <c r="V20" s="1118"/>
      <c r="W20" s="1119"/>
      <c r="X20" s="1113"/>
      <c r="Y20" s="3433"/>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33"/>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33"/>
      <c r="Q22" s="621"/>
      <c r="R22" s="1118"/>
      <c r="S22" s="1119"/>
      <c r="T22" s="1118"/>
      <c r="U22" s="1119"/>
      <c r="V22" s="1118"/>
      <c r="W22" s="1119"/>
      <c r="X22" s="1113"/>
      <c r="Y22" s="3433"/>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33"/>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33"/>
      <c r="Q24" s="621"/>
      <c r="R24" s="1118"/>
      <c r="S24" s="1119"/>
      <c r="T24" s="1118"/>
      <c r="U24" s="1119"/>
      <c r="V24" s="1118"/>
      <c r="W24" s="1119"/>
      <c r="X24" s="1113"/>
      <c r="Y24" s="343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33"/>
      <c r="Q25" s="621">
        <f>B25</f>
        <v>111</v>
      </c>
      <c r="R25" s="1118" t="s">
        <v>1357</v>
      </c>
      <c r="S25" s="1119">
        <f>F25</f>
        <v>100</v>
      </c>
      <c r="T25" s="1118" t="s">
        <v>1357</v>
      </c>
      <c r="U25" s="1119">
        <f>H25</f>
        <v>100</v>
      </c>
      <c r="V25" s="1118" t="s">
        <v>1357</v>
      </c>
      <c r="W25" s="1119">
        <f>J25</f>
        <v>100</v>
      </c>
      <c r="X25" s="1113"/>
      <c r="Y25" s="343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33"/>
      <c r="Q26" s="621">
        <f t="shared" ref="Q26:Q40" si="11">B26</f>
        <v>111</v>
      </c>
      <c r="R26" s="1118" t="s">
        <v>1357</v>
      </c>
      <c r="S26" s="1119">
        <f>F26</f>
        <v>100</v>
      </c>
      <c r="T26" s="1118" t="s">
        <v>1357</v>
      </c>
      <c r="U26" s="1119">
        <f>H26</f>
        <v>100</v>
      </c>
      <c r="V26" s="1118" t="s">
        <v>1357</v>
      </c>
      <c r="W26" s="1119">
        <f>J26</f>
        <v>100</v>
      </c>
      <c r="X26" s="1113"/>
      <c r="Y26" s="343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33"/>
      <c r="Q27" s="790">
        <f t="shared" si="11"/>
        <v>111</v>
      </c>
      <c r="R27" s="1114" t="s">
        <v>1357</v>
      </c>
      <c r="S27" s="1115">
        <f>F27</f>
        <v>100</v>
      </c>
      <c r="T27" s="1114" t="s">
        <v>1357</v>
      </c>
      <c r="U27" s="1115">
        <f>H27</f>
        <v>100</v>
      </c>
      <c r="V27" s="1114" t="s">
        <v>1357</v>
      </c>
      <c r="W27" s="1115">
        <f>J27</f>
        <v>100</v>
      </c>
      <c r="X27" s="1116"/>
      <c r="Y27" s="343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33"/>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33"/>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8" t="s">
        <v>1383</v>
      </c>
      <c r="Q29" s="621" t="str">
        <f t="shared" si="11"/>
        <v>建筑类型</v>
      </c>
      <c r="R29" s="1118" t="s">
        <v>1357</v>
      </c>
      <c r="S29" s="1119">
        <f t="shared" si="12"/>
        <v>100</v>
      </c>
      <c r="T29" s="1118" t="s">
        <v>1357</v>
      </c>
      <c r="U29" s="1119">
        <f t="shared" si="13"/>
        <v>100</v>
      </c>
      <c r="V29" s="1118" t="s">
        <v>1357</v>
      </c>
      <c r="W29" s="1119">
        <f t="shared" si="14"/>
        <v>100</v>
      </c>
      <c r="X29" s="1113"/>
      <c r="Y29" s="3434"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34"/>
      <c r="Q30" s="1308" t="str">
        <f t="shared" si="11"/>
        <v>项目建筑规模</v>
      </c>
      <c r="R30" s="1120" t="s">
        <v>1357</v>
      </c>
      <c r="S30" s="1121" t="e">
        <f t="shared" si="12"/>
        <v>#N/A</v>
      </c>
      <c r="T30" s="1120" t="s">
        <v>1357</v>
      </c>
      <c r="U30" s="1121" t="e">
        <f t="shared" si="13"/>
        <v>#N/A</v>
      </c>
      <c r="V30" s="1120" t="s">
        <v>1357</v>
      </c>
      <c r="W30" s="1121" t="e">
        <f t="shared" si="14"/>
        <v>#N/A</v>
      </c>
      <c r="X30" s="1122"/>
      <c r="Y30" s="3434"/>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34"/>
      <c r="Q31" s="621" t="str">
        <f t="shared" si="11"/>
        <v>建筑结构</v>
      </c>
      <c r="R31" s="1118" t="s">
        <v>1357</v>
      </c>
      <c r="S31" s="1119">
        <f t="shared" si="12"/>
        <v>100</v>
      </c>
      <c r="T31" s="1118" t="s">
        <v>1357</v>
      </c>
      <c r="U31" s="1119">
        <f t="shared" si="13"/>
        <v>100</v>
      </c>
      <c r="V31" s="1118" t="s">
        <v>1357</v>
      </c>
      <c r="W31" s="1119">
        <f t="shared" si="14"/>
        <v>100</v>
      </c>
      <c r="X31" s="1113"/>
      <c r="Y31" s="3434"/>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34"/>
      <c r="Q32" s="621" t="str">
        <f t="shared" si="11"/>
        <v>公共部分装修</v>
      </c>
      <c r="R32" s="1118" t="s">
        <v>1357</v>
      </c>
      <c r="S32" s="1119">
        <f t="shared" si="12"/>
        <v>100</v>
      </c>
      <c r="T32" s="1118" t="s">
        <v>1357</v>
      </c>
      <c r="U32" s="1119">
        <f t="shared" si="13"/>
        <v>100</v>
      </c>
      <c r="V32" s="1118" t="s">
        <v>1357</v>
      </c>
      <c r="W32" s="1119">
        <f t="shared" si="14"/>
        <v>100</v>
      </c>
      <c r="X32" s="1113"/>
      <c r="Y32" s="343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34"/>
      <c r="Q33" s="621" t="str">
        <f t="shared" si="11"/>
        <v>成新度</v>
      </c>
      <c r="R33" s="1118" t="s">
        <v>1357</v>
      </c>
      <c r="S33" s="1119" t="e">
        <f t="shared" si="12"/>
        <v>#N/A</v>
      </c>
      <c r="T33" s="1118" t="s">
        <v>1357</v>
      </c>
      <c r="U33" s="1119" t="e">
        <f t="shared" si="13"/>
        <v>#N/A</v>
      </c>
      <c r="V33" s="1118" t="s">
        <v>1357</v>
      </c>
      <c r="W33" s="1119" t="e">
        <f t="shared" si="14"/>
        <v>#N/A</v>
      </c>
      <c r="X33" s="1113"/>
      <c r="Y33" s="3434"/>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34"/>
      <c r="Q34" s="790" t="str">
        <f t="shared" si="11"/>
        <v>物业管理</v>
      </c>
      <c r="R34" s="1114" t="s">
        <v>1357</v>
      </c>
      <c r="S34" s="1115">
        <f t="shared" si="12"/>
        <v>100</v>
      </c>
      <c r="T34" s="1114" t="s">
        <v>1357</v>
      </c>
      <c r="U34" s="1115">
        <f t="shared" si="13"/>
        <v>100</v>
      </c>
      <c r="V34" s="1114" t="s">
        <v>1357</v>
      </c>
      <c r="W34" s="1115">
        <f t="shared" si="14"/>
        <v>100</v>
      </c>
      <c r="X34" s="1116"/>
      <c r="Y34" s="3434"/>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34" t="s">
        <v>1383</v>
      </c>
      <c r="Q35" s="621" t="str">
        <f t="shared" si="11"/>
        <v>市政基础设施</v>
      </c>
      <c r="R35" s="1118" t="s">
        <v>1357</v>
      </c>
      <c r="S35" s="1119">
        <f t="shared" si="12"/>
        <v>100</v>
      </c>
      <c r="T35" s="1118" t="s">
        <v>1357</v>
      </c>
      <c r="U35" s="1119">
        <f t="shared" si="13"/>
        <v>100</v>
      </c>
      <c r="V35" s="1118" t="s">
        <v>1357</v>
      </c>
      <c r="W35" s="1119">
        <f t="shared" si="14"/>
        <v>100</v>
      </c>
      <c r="X35" s="1113"/>
      <c r="Y35" s="3434"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34"/>
      <c r="Q36" s="621" t="str">
        <f t="shared" si="11"/>
        <v>内部装修</v>
      </c>
      <c r="R36" s="1118" t="s">
        <v>1357</v>
      </c>
      <c r="S36" s="1119">
        <f t="shared" si="12"/>
        <v>100</v>
      </c>
      <c r="T36" s="1118" t="s">
        <v>1357</v>
      </c>
      <c r="U36" s="1119">
        <f t="shared" si="13"/>
        <v>100</v>
      </c>
      <c r="V36" s="1118" t="s">
        <v>1357</v>
      </c>
      <c r="W36" s="1119">
        <f t="shared" si="14"/>
        <v>100</v>
      </c>
      <c r="X36" s="1113"/>
      <c r="Y36" s="3434"/>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34"/>
      <c r="Q37" s="621" t="str">
        <f t="shared" si="11"/>
        <v>内部装修状况</v>
      </c>
      <c r="R37" s="1118" t="s">
        <v>1357</v>
      </c>
      <c r="S37" s="1119">
        <f t="shared" si="12"/>
        <v>100</v>
      </c>
      <c r="T37" s="1118" t="s">
        <v>1357</v>
      </c>
      <c r="U37" s="1119">
        <f t="shared" si="13"/>
        <v>100</v>
      </c>
      <c r="V37" s="1118" t="s">
        <v>1357</v>
      </c>
      <c r="W37" s="1119">
        <f t="shared" si="14"/>
        <v>100</v>
      </c>
      <c r="X37" s="1113"/>
      <c r="Y37" s="343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34"/>
      <c r="Q38" s="1308">
        <f t="shared" si="11"/>
        <v>111</v>
      </c>
      <c r="R38" s="1120" t="s">
        <v>1357</v>
      </c>
      <c r="S38" s="1121">
        <f t="shared" si="12"/>
        <v>100</v>
      </c>
      <c r="T38" s="1120" t="s">
        <v>1357</v>
      </c>
      <c r="U38" s="1121">
        <f t="shared" si="13"/>
        <v>100</v>
      </c>
      <c r="V38" s="1120" t="s">
        <v>1357</v>
      </c>
      <c r="W38" s="1121">
        <f t="shared" si="14"/>
        <v>100</v>
      </c>
      <c r="X38" s="1122"/>
      <c r="Y38" s="343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34"/>
      <c r="Q39" s="621">
        <f t="shared" si="11"/>
        <v>111</v>
      </c>
      <c r="R39" s="1118" t="s">
        <v>1357</v>
      </c>
      <c r="S39" s="1119">
        <f t="shared" si="12"/>
        <v>100</v>
      </c>
      <c r="T39" s="1118" t="s">
        <v>1357</v>
      </c>
      <c r="U39" s="1119">
        <f t="shared" si="13"/>
        <v>100</v>
      </c>
      <c r="V39" s="1118" t="s">
        <v>1357</v>
      </c>
      <c r="W39" s="1119">
        <f t="shared" si="14"/>
        <v>100</v>
      </c>
      <c r="X39" s="1113"/>
      <c r="Y39" s="343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35"/>
      <c r="Q40" s="621">
        <f t="shared" si="11"/>
        <v>111</v>
      </c>
      <c r="R40" s="1118" t="s">
        <v>1357</v>
      </c>
      <c r="S40" s="1119">
        <f t="shared" si="12"/>
        <v>100</v>
      </c>
      <c r="T40" s="1118" t="s">
        <v>1357</v>
      </c>
      <c r="U40" s="1119">
        <f t="shared" si="13"/>
        <v>100</v>
      </c>
      <c r="V40" s="1118" t="s">
        <v>1357</v>
      </c>
      <c r="W40" s="1119">
        <f t="shared" si="14"/>
        <v>100</v>
      </c>
      <c r="X40" s="1113"/>
      <c r="Y40" s="3435"/>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20" t="str">
        <f>A41</f>
        <v>成交单价（元/平方米）</v>
      </c>
      <c r="Q41" s="3420"/>
      <c r="R41" s="3418">
        <f>E41</f>
        <v>0</v>
      </c>
      <c r="S41" s="3418"/>
      <c r="T41" s="3418">
        <f>G41</f>
        <v>0</v>
      </c>
      <c r="U41" s="3418"/>
      <c r="V41" s="3418">
        <f>I41</f>
        <v>0</v>
      </c>
      <c r="W41" s="3418"/>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20" t="str">
        <f>A42</f>
        <v>比较价值（元/平方米）</v>
      </c>
      <c r="Q42" s="3420"/>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33"/>
      <c r="Q15" s="621"/>
      <c r="R15" s="1118"/>
      <c r="S15" s="1119"/>
      <c r="T15" s="1118"/>
      <c r="U15" s="1119"/>
      <c r="V15" s="1118"/>
      <c r="W15" s="1119"/>
      <c r="X15" s="1113"/>
      <c r="Y15" s="3433"/>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33"/>
      <c r="Q17" s="621"/>
      <c r="R17" s="1118"/>
      <c r="S17" s="1119"/>
      <c r="T17" s="1118"/>
      <c r="U17" s="1119"/>
      <c r="V17" s="1118"/>
      <c r="W17" s="1119"/>
      <c r="X17" s="1113"/>
      <c r="Y17" s="3433"/>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33"/>
      <c r="Q19" s="621"/>
      <c r="R19" s="1118"/>
      <c r="S19" s="1119"/>
      <c r="T19" s="1118"/>
      <c r="U19" s="1119"/>
      <c r="V19" s="1118"/>
      <c r="W19" s="1119"/>
      <c r="X19" s="1113"/>
      <c r="Y19" s="3433"/>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33"/>
      <c r="Q21" s="621"/>
      <c r="R21" s="1118"/>
      <c r="S21" s="1119"/>
      <c r="T21" s="1118"/>
      <c r="U21" s="1119"/>
      <c r="V21" s="1118"/>
      <c r="W21" s="1119"/>
      <c r="X21" s="1113"/>
      <c r="Y21" s="3433"/>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33"/>
      <c r="Q24" s="621">
        <f t="shared" ref="Q24:Q36"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8"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34"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34"/>
      <c r="Q27" s="1308" t="str">
        <f t="shared" si="11"/>
        <v>项目停车位配比</v>
      </c>
      <c r="R27" s="1120" t="s">
        <v>1357</v>
      </c>
      <c r="S27" s="1121">
        <f t="shared" si="12"/>
        <v>100</v>
      </c>
      <c r="T27" s="1120" t="s">
        <v>1357</v>
      </c>
      <c r="U27" s="1121">
        <f t="shared" si="13"/>
        <v>100</v>
      </c>
      <c r="V27" s="1120" t="s">
        <v>1357</v>
      </c>
      <c r="W27" s="1121">
        <f t="shared" si="14"/>
        <v>100</v>
      </c>
      <c r="X27" s="1122"/>
      <c r="Y27" s="3434"/>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34"/>
      <c r="Q28" s="621" t="str">
        <f t="shared" si="11"/>
        <v>公共部分装修</v>
      </c>
      <c r="R28" s="1118" t="s">
        <v>1357</v>
      </c>
      <c r="S28" s="1119">
        <f t="shared" si="12"/>
        <v>100</v>
      </c>
      <c r="T28" s="1118" t="s">
        <v>1357</v>
      </c>
      <c r="U28" s="1119">
        <f t="shared" si="13"/>
        <v>100</v>
      </c>
      <c r="V28" s="1118" t="s">
        <v>1357</v>
      </c>
      <c r="W28" s="1119">
        <f t="shared" si="14"/>
        <v>100</v>
      </c>
      <c r="X28" s="1113"/>
      <c r="Y28" s="3434"/>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34"/>
      <c r="Q29" s="621" t="str">
        <f t="shared" si="11"/>
        <v>成新率</v>
      </c>
      <c r="R29" s="1118" t="s">
        <v>1357</v>
      </c>
      <c r="S29" s="1119" t="e">
        <f t="shared" si="12"/>
        <v>#N/A</v>
      </c>
      <c r="T29" s="1118" t="s">
        <v>1357</v>
      </c>
      <c r="U29" s="1119" t="e">
        <f t="shared" si="13"/>
        <v>#N/A</v>
      </c>
      <c r="V29" s="1118" t="s">
        <v>1357</v>
      </c>
      <c r="W29" s="1119" t="e">
        <f t="shared" si="14"/>
        <v>#N/A</v>
      </c>
      <c r="X29" s="1113"/>
      <c r="Y29" s="3434"/>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34"/>
      <c r="Q30" s="621" t="str">
        <f t="shared" si="11"/>
        <v>物业等级</v>
      </c>
      <c r="R30" s="1118" t="s">
        <v>1357</v>
      </c>
      <c r="S30" s="1119">
        <f t="shared" si="12"/>
        <v>100</v>
      </c>
      <c r="T30" s="1118" t="s">
        <v>1357</v>
      </c>
      <c r="U30" s="1119">
        <f t="shared" si="13"/>
        <v>100</v>
      </c>
      <c r="V30" s="1118" t="s">
        <v>1357</v>
      </c>
      <c r="W30" s="1119">
        <f t="shared" si="14"/>
        <v>100</v>
      </c>
      <c r="X30" s="1113"/>
      <c r="Y30" s="3434"/>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34"/>
      <c r="Q31" s="790" t="str">
        <f t="shared" si="11"/>
        <v>停车位面积</v>
      </c>
      <c r="R31" s="1114" t="s">
        <v>1357</v>
      </c>
      <c r="S31" s="1115" t="e">
        <f t="shared" si="12"/>
        <v>#N/A</v>
      </c>
      <c r="T31" s="1114" t="s">
        <v>1357</v>
      </c>
      <c r="U31" s="1115" t="e">
        <f t="shared" si="13"/>
        <v>#N/A</v>
      </c>
      <c r="V31" s="1114" t="s">
        <v>1357</v>
      </c>
      <c r="W31" s="1115" t="e">
        <f t="shared" si="14"/>
        <v>#N/A</v>
      </c>
      <c r="X31" s="1116"/>
      <c r="Y31" s="3434"/>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34" t="s">
        <v>1383</v>
      </c>
      <c r="Q32" s="621" t="str">
        <f t="shared" si="11"/>
        <v>车位类型</v>
      </c>
      <c r="R32" s="1118" t="s">
        <v>1357</v>
      </c>
      <c r="S32" s="1119">
        <f t="shared" si="12"/>
        <v>100</v>
      </c>
      <c r="T32" s="1118" t="s">
        <v>1357</v>
      </c>
      <c r="U32" s="1119">
        <f t="shared" si="13"/>
        <v>100</v>
      </c>
      <c r="V32" s="1118" t="s">
        <v>1357</v>
      </c>
      <c r="W32" s="1119">
        <f t="shared" si="14"/>
        <v>100</v>
      </c>
      <c r="X32" s="1113"/>
      <c r="Y32" s="3434"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34"/>
      <c r="Q33" s="621" t="str">
        <f t="shared" si="11"/>
        <v>是否直接入户</v>
      </c>
      <c r="R33" s="1118" t="s">
        <v>1357</v>
      </c>
      <c r="S33" s="1119">
        <f t="shared" si="12"/>
        <v>100</v>
      </c>
      <c r="T33" s="1118" t="s">
        <v>1357</v>
      </c>
      <c r="U33" s="1119">
        <f t="shared" si="13"/>
        <v>100</v>
      </c>
      <c r="V33" s="1118" t="s">
        <v>1357</v>
      </c>
      <c r="W33" s="1119">
        <f t="shared" si="14"/>
        <v>100</v>
      </c>
      <c r="X33" s="1113"/>
      <c r="Y33" s="343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34"/>
      <c r="Q35" s="1308">
        <f t="shared" si="11"/>
        <v>111</v>
      </c>
      <c r="R35" s="1120" t="s">
        <v>1357</v>
      </c>
      <c r="S35" s="1121">
        <f t="shared" si="12"/>
        <v>100</v>
      </c>
      <c r="T35" s="1120" t="s">
        <v>1357</v>
      </c>
      <c r="U35" s="1121">
        <f t="shared" si="13"/>
        <v>100</v>
      </c>
      <c r="V35" s="1120" t="s">
        <v>1357</v>
      </c>
      <c r="W35" s="1121">
        <f t="shared" si="14"/>
        <v>100</v>
      </c>
      <c r="X35" s="1122"/>
      <c r="Y35" s="343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34"/>
      <c r="Q36" s="621">
        <f t="shared" si="11"/>
        <v>111</v>
      </c>
      <c r="R36" s="1118" t="s">
        <v>1357</v>
      </c>
      <c r="S36" s="1119">
        <f t="shared" si="12"/>
        <v>100</v>
      </c>
      <c r="T36" s="1118" t="s">
        <v>1357</v>
      </c>
      <c r="U36" s="1119">
        <f t="shared" si="13"/>
        <v>100</v>
      </c>
      <c r="V36" s="1118" t="s">
        <v>1357</v>
      </c>
      <c r="W36" s="1119">
        <f t="shared" si="14"/>
        <v>100</v>
      </c>
      <c r="X36" s="1113"/>
      <c r="Y36" s="3434"/>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20" t="str">
        <f>A37</f>
        <v>成交单价</v>
      </c>
      <c r="Q37" s="3420"/>
      <c r="R37" s="3418">
        <f>E37</f>
        <v>0</v>
      </c>
      <c r="S37" s="3418"/>
      <c r="T37" s="3418">
        <f>G37</f>
        <v>0</v>
      </c>
      <c r="U37" s="3418"/>
      <c r="V37" s="3418">
        <f>I37</f>
        <v>0</v>
      </c>
      <c r="W37" s="3418"/>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20" t="str">
        <f>A38</f>
        <v>比较价值（元/平方米）</v>
      </c>
      <c r="Q38" s="3420"/>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54" t="str">
        <f>A39</f>
        <v>估价对象XX用房的比较价值（楼面单价，元/平方米）</v>
      </c>
      <c r="Q39" s="3455"/>
      <c r="R39" s="3489" t="e">
        <f>IF(F1="售价",ROUND(IF(D38="简单平均",AVERAGE(R38:W38),R38*F38+T38*H38+V38*J38),0),ROUND(IF(D38="简单平均",AVERAGE(R38:V38),R38*F38+T38*H38+V38*J38),1))</f>
        <v>#DIV/0!</v>
      </c>
      <c r="S39" s="3489"/>
      <c r="T39" s="3489"/>
      <c r="U39" s="3489"/>
      <c r="V39" s="3489"/>
      <c r="W39" s="3489"/>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33"/>
      <c r="Q15" s="621"/>
      <c r="R15" s="1118"/>
      <c r="S15" s="1119"/>
      <c r="T15" s="1118"/>
      <c r="U15" s="1119"/>
      <c r="V15" s="1118"/>
      <c r="W15" s="1119"/>
      <c r="X15" s="1113"/>
      <c r="Y15" s="3433"/>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33"/>
      <c r="Q17" s="621"/>
      <c r="R17" s="1118"/>
      <c r="S17" s="1119"/>
      <c r="T17" s="1118"/>
      <c r="U17" s="1119"/>
      <c r="V17" s="1118"/>
      <c r="W17" s="1119"/>
      <c r="X17" s="1113"/>
      <c r="Y17" s="3433"/>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33"/>
      <c r="Q19" s="621"/>
      <c r="R19" s="1118"/>
      <c r="S19" s="1119"/>
      <c r="T19" s="1118"/>
      <c r="U19" s="1119"/>
      <c r="V19" s="1118"/>
      <c r="W19" s="1119"/>
      <c r="X19" s="1113"/>
      <c r="Y19" s="3433"/>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33"/>
      <c r="Q21" s="621"/>
      <c r="R21" s="1118"/>
      <c r="S21" s="1119"/>
      <c r="T21" s="1118"/>
      <c r="U21" s="1119"/>
      <c r="V21" s="1118"/>
      <c r="W21" s="1119"/>
      <c r="X21" s="1113"/>
      <c r="Y21" s="3433"/>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33"/>
      <c r="Q24" s="621">
        <f t="shared" ref="Q24:Q34"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8"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34"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34"/>
      <c r="Q27" s="1308" t="str">
        <f t="shared" si="11"/>
        <v>成新率</v>
      </c>
      <c r="R27" s="1120" t="s">
        <v>1357</v>
      </c>
      <c r="S27" s="1121" t="e">
        <f t="shared" si="12"/>
        <v>#N/A</v>
      </c>
      <c r="T27" s="1120" t="s">
        <v>1357</v>
      </c>
      <c r="U27" s="1121" t="e">
        <f t="shared" si="13"/>
        <v>#N/A</v>
      </c>
      <c r="V27" s="1120" t="s">
        <v>1357</v>
      </c>
      <c r="W27" s="1121" t="e">
        <f t="shared" si="14"/>
        <v>#N/A</v>
      </c>
      <c r="X27" s="1122"/>
      <c r="Y27" s="3434"/>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34"/>
      <c r="Q28" s="621" t="str">
        <f t="shared" si="11"/>
        <v>物业等级</v>
      </c>
      <c r="R28" s="1118" t="s">
        <v>1357</v>
      </c>
      <c r="S28" s="1119">
        <f t="shared" si="12"/>
        <v>100</v>
      </c>
      <c r="T28" s="1118" t="s">
        <v>1357</v>
      </c>
      <c r="U28" s="1119">
        <f t="shared" si="13"/>
        <v>100</v>
      </c>
      <c r="V28" s="1118" t="s">
        <v>1357</v>
      </c>
      <c r="W28" s="1119">
        <f t="shared" si="14"/>
        <v>100</v>
      </c>
      <c r="X28" s="1113"/>
      <c r="Y28" s="3434"/>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34"/>
      <c r="Q29" s="621" t="str">
        <f t="shared" si="11"/>
        <v>有无电梯</v>
      </c>
      <c r="R29" s="1118" t="s">
        <v>1357</v>
      </c>
      <c r="S29" s="1119">
        <f t="shared" si="12"/>
        <v>100</v>
      </c>
      <c r="T29" s="1118" t="s">
        <v>1357</v>
      </c>
      <c r="U29" s="1119">
        <f t="shared" si="13"/>
        <v>100</v>
      </c>
      <c r="V29" s="1118" t="s">
        <v>1357</v>
      </c>
      <c r="W29" s="1119">
        <f t="shared" si="14"/>
        <v>100</v>
      </c>
      <c r="X29" s="1113"/>
      <c r="Y29" s="343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34"/>
      <c r="Q30" s="621" t="str">
        <f t="shared" si="11"/>
        <v>建筑面积</v>
      </c>
      <c r="R30" s="1118" t="s">
        <v>1357</v>
      </c>
      <c r="S30" s="1119" t="e">
        <f t="shared" si="12"/>
        <v>#N/A</v>
      </c>
      <c r="T30" s="1118" t="s">
        <v>1357</v>
      </c>
      <c r="U30" s="1119" t="e">
        <f t="shared" si="13"/>
        <v>#N/A</v>
      </c>
      <c r="V30" s="1118" t="s">
        <v>1357</v>
      </c>
      <c r="W30" s="1119" t="e">
        <f t="shared" si="14"/>
        <v>#N/A</v>
      </c>
      <c r="X30" s="1113"/>
      <c r="Y30" s="3434"/>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34"/>
      <c r="Q31" s="790" t="str">
        <f t="shared" si="11"/>
        <v>是否封闭</v>
      </c>
      <c r="R31" s="1114" t="s">
        <v>1357</v>
      </c>
      <c r="S31" s="1115">
        <f t="shared" si="12"/>
        <v>100</v>
      </c>
      <c r="T31" s="1114" t="s">
        <v>1357</v>
      </c>
      <c r="U31" s="1115">
        <f t="shared" si="13"/>
        <v>100</v>
      </c>
      <c r="V31" s="1114" t="s">
        <v>1357</v>
      </c>
      <c r="W31" s="1115">
        <f t="shared" si="14"/>
        <v>100</v>
      </c>
      <c r="X31" s="1116"/>
      <c r="Y31" s="343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34" t="s">
        <v>1383</v>
      </c>
      <c r="Q32" s="621">
        <f t="shared" si="11"/>
        <v>111</v>
      </c>
      <c r="R32" s="1118" t="s">
        <v>1357</v>
      </c>
      <c r="S32" s="1119">
        <f t="shared" si="12"/>
        <v>100</v>
      </c>
      <c r="T32" s="1118" t="s">
        <v>1357</v>
      </c>
      <c r="U32" s="1119">
        <f t="shared" si="13"/>
        <v>100</v>
      </c>
      <c r="V32" s="1118" t="s">
        <v>1357</v>
      </c>
      <c r="W32" s="1119">
        <f t="shared" si="14"/>
        <v>100</v>
      </c>
      <c r="X32" s="1113"/>
      <c r="Y32" s="3434"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34"/>
      <c r="Q33" s="621">
        <f t="shared" si="11"/>
        <v>111</v>
      </c>
      <c r="R33" s="1118" t="s">
        <v>1357</v>
      </c>
      <c r="S33" s="1119">
        <f t="shared" si="12"/>
        <v>100</v>
      </c>
      <c r="T33" s="1118" t="s">
        <v>1357</v>
      </c>
      <c r="U33" s="1119">
        <f t="shared" si="13"/>
        <v>100</v>
      </c>
      <c r="V33" s="1118" t="s">
        <v>1357</v>
      </c>
      <c r="W33" s="1119">
        <f t="shared" si="14"/>
        <v>100</v>
      </c>
      <c r="X33" s="1113"/>
      <c r="Y33" s="343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20" t="str">
        <f>A35</f>
        <v>成交单价（元/平方米）</v>
      </c>
      <c r="Q35" s="3420"/>
      <c r="R35" s="3418">
        <f>E35</f>
        <v>0</v>
      </c>
      <c r="S35" s="3418"/>
      <c r="T35" s="3418">
        <f>G35</f>
        <v>0</v>
      </c>
      <c r="U35" s="3418"/>
      <c r="V35" s="3418">
        <f>I35</f>
        <v>0</v>
      </c>
      <c r="W35" s="3418"/>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20" t="str">
        <f>A36</f>
        <v>比较价值（元/平方米）</v>
      </c>
      <c r="Q36" s="3420"/>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54" t="str">
        <f>A37</f>
        <v>估价对象XX用房的比较价值（楼面单价，元/平方米）</v>
      </c>
      <c r="Q37" s="3455"/>
      <c r="R37" s="3489" t="e">
        <f>IF(F1="售价",ROUND(IF(D36="简单平均",AVERAGE(R36:W36),R36*F36+T36*H36+V36*J36),0),ROUND(IF(D36="简单平均",AVERAGE(R36:V36),R36*F36+T36*H36+V36*J36),1))</f>
        <v>#DIV/0!</v>
      </c>
      <c r="S37" s="3489"/>
      <c r="T37" s="3489"/>
      <c r="U37" s="3489"/>
      <c r="V37" s="3489"/>
      <c r="W37" s="3489"/>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20"/>
      <c r="Q12" s="790" t="str">
        <f t="shared" si="6"/>
        <v>配建</v>
      </c>
      <c r="R12" s="1114" t="s">
        <v>1357</v>
      </c>
      <c r="S12" s="1115">
        <f t="shared" si="0"/>
        <v>100</v>
      </c>
      <c r="T12" s="1114" t="s">
        <v>1357</v>
      </c>
      <c r="U12" s="1115">
        <f t="shared" si="1"/>
        <v>100</v>
      </c>
      <c r="V12" s="1114" t="s">
        <v>1357</v>
      </c>
      <c r="W12" s="1115">
        <f t="shared" si="2"/>
        <v>100</v>
      </c>
      <c r="X12" s="1116"/>
      <c r="Y12" s="330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32"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1234" t="s">
        <v>1604</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33"/>
      <c r="Q17" s="621" t="str">
        <f>B17</f>
        <v>商业繁华度</v>
      </c>
      <c r="R17" s="1118" t="s">
        <v>1357</v>
      </c>
      <c r="S17" s="1119">
        <f>F17</f>
        <v>100</v>
      </c>
      <c r="T17" s="1118" t="s">
        <v>1357</v>
      </c>
      <c r="U17" s="1119">
        <f>H17</f>
        <v>100</v>
      </c>
      <c r="V17" s="1118" t="s">
        <v>1357</v>
      </c>
      <c r="W17" s="1119">
        <f>J17</f>
        <v>100</v>
      </c>
      <c r="X17" s="1113"/>
      <c r="Y17" s="343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33"/>
      <c r="Q19" s="621" t="str">
        <f>B19</f>
        <v>办公集聚程度</v>
      </c>
      <c r="R19" s="1118" t="s">
        <v>1357</v>
      </c>
      <c r="S19" s="1119">
        <f>F19</f>
        <v>100</v>
      </c>
      <c r="T19" s="1118" t="s">
        <v>1357</v>
      </c>
      <c r="U19" s="1119">
        <f>H19</f>
        <v>100</v>
      </c>
      <c r="V19" s="1118" t="s">
        <v>1357</v>
      </c>
      <c r="W19" s="1119">
        <f>J19</f>
        <v>100</v>
      </c>
      <c r="X19" s="1113"/>
      <c r="Y19" s="343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33"/>
      <c r="Q20" s="621"/>
      <c r="R20" s="1118"/>
      <c r="S20" s="1119"/>
      <c r="T20" s="1118"/>
      <c r="U20" s="1119"/>
      <c r="V20" s="1118"/>
      <c r="W20" s="1119"/>
      <c r="X20" s="1113"/>
      <c r="Y20" s="3433"/>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33"/>
      <c r="Q21" s="621" t="str">
        <f>B21</f>
        <v>交通便捷度</v>
      </c>
      <c r="R21" s="1118" t="s">
        <v>1357</v>
      </c>
      <c r="S21" s="1119">
        <f>F21</f>
        <v>100</v>
      </c>
      <c r="T21" s="1118" t="s">
        <v>1357</v>
      </c>
      <c r="U21" s="1119">
        <f>H21</f>
        <v>100</v>
      </c>
      <c r="V21" s="1118" t="s">
        <v>1357</v>
      </c>
      <c r="W21" s="1119">
        <f>J21</f>
        <v>100</v>
      </c>
      <c r="X21" s="1113"/>
      <c r="Y21" s="343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33"/>
      <c r="Q23" s="621" t="str">
        <f t="shared" ref="Q23:Q38" si="8">B23</f>
        <v>区域土地利用方向</v>
      </c>
      <c r="R23" s="1118" t="s">
        <v>1357</v>
      </c>
      <c r="S23" s="1119">
        <f>F23</f>
        <v>100</v>
      </c>
      <c r="T23" s="1118" t="s">
        <v>1357</v>
      </c>
      <c r="U23" s="1119">
        <f>H23</f>
        <v>100</v>
      </c>
      <c r="V23" s="1118" t="s">
        <v>1357</v>
      </c>
      <c r="W23" s="1119">
        <f>J23</f>
        <v>100</v>
      </c>
      <c r="X23" s="1113"/>
      <c r="Y23" s="343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33"/>
      <c r="Q24" s="621"/>
      <c r="R24" s="1118"/>
      <c r="S24" s="1119"/>
      <c r="T24" s="1118"/>
      <c r="U24" s="1119"/>
      <c r="V24" s="1118"/>
      <c r="W24" s="1119"/>
      <c r="X24" s="1113"/>
      <c r="Y24" s="3433"/>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33"/>
      <c r="Q25" s="621" t="str">
        <f t="shared" si="8"/>
        <v>自然及人文环境状况</v>
      </c>
      <c r="R25" s="1118" t="s">
        <v>1357</v>
      </c>
      <c r="S25" s="1119">
        <f>F25</f>
        <v>100</v>
      </c>
      <c r="T25" s="1118" t="s">
        <v>1357</v>
      </c>
      <c r="U25" s="1119">
        <f>H25</f>
        <v>100</v>
      </c>
      <c r="V25" s="1118" t="s">
        <v>1357</v>
      </c>
      <c r="W25" s="1119">
        <f>J25</f>
        <v>100</v>
      </c>
      <c r="X25" s="1113"/>
      <c r="Y25" s="343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33"/>
      <c r="Q26" s="621"/>
      <c r="R26" s="1118"/>
      <c r="S26" s="1119"/>
      <c r="T26" s="1118"/>
      <c r="U26" s="1119"/>
      <c r="V26" s="1118"/>
      <c r="W26" s="1119"/>
      <c r="X26" s="1113"/>
      <c r="Y26" s="3433"/>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33"/>
      <c r="Q27" s="790" t="str">
        <f t="shared" si="8"/>
        <v>公共配套设施</v>
      </c>
      <c r="R27" s="1114" t="s">
        <v>1357</v>
      </c>
      <c r="S27" s="1115">
        <f>F27</f>
        <v>100</v>
      </c>
      <c r="T27" s="1114" t="s">
        <v>1357</v>
      </c>
      <c r="U27" s="1115">
        <f>H27</f>
        <v>100</v>
      </c>
      <c r="V27" s="1114" t="s">
        <v>1357</v>
      </c>
      <c r="W27" s="1115">
        <f>J27</f>
        <v>100</v>
      </c>
      <c r="X27" s="1116"/>
      <c r="Y27" s="343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33"/>
      <c r="Q28" s="790"/>
      <c r="R28" s="1114"/>
      <c r="S28" s="1115"/>
      <c r="T28" s="1114"/>
      <c r="U28" s="1115"/>
      <c r="V28" s="1114"/>
      <c r="W28" s="1115"/>
      <c r="X28" s="1116"/>
      <c r="Y28" s="3433"/>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33"/>
      <c r="Q29" s="790" t="str">
        <f t="shared" ref="Q29" si="9">B29</f>
        <v>基础设施水平</v>
      </c>
      <c r="R29" s="1114" t="s">
        <v>1357</v>
      </c>
      <c r="S29" s="1115">
        <f>F29</f>
        <v>100</v>
      </c>
      <c r="T29" s="1114" t="s">
        <v>1357</v>
      </c>
      <c r="U29" s="1115">
        <f>H29</f>
        <v>100</v>
      </c>
      <c r="V29" s="1114" t="s">
        <v>1357</v>
      </c>
      <c r="W29" s="1115">
        <f>J29</f>
        <v>100</v>
      </c>
      <c r="X29" s="1116"/>
      <c r="Y29" s="343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33"/>
      <c r="Q30" s="790"/>
      <c r="R30" s="1114"/>
      <c r="S30" s="1115"/>
      <c r="T30" s="1114"/>
      <c r="U30" s="1115"/>
      <c r="V30" s="1114"/>
      <c r="W30" s="1115"/>
      <c r="X30" s="1116"/>
      <c r="Y30" s="3433"/>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33"/>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33"/>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33"/>
      <c r="Q32" s="621" t="str">
        <f t="shared" si="8"/>
        <v>毗邻道路的类型与等级</v>
      </c>
      <c r="R32" s="1118" t="s">
        <v>1357</v>
      </c>
      <c r="S32" s="1119">
        <f t="shared" si="10"/>
        <v>100</v>
      </c>
      <c r="T32" s="1118" t="s">
        <v>1357</v>
      </c>
      <c r="U32" s="1119">
        <f t="shared" si="11"/>
        <v>100</v>
      </c>
      <c r="V32" s="1118" t="s">
        <v>1357</v>
      </c>
      <c r="W32" s="1119">
        <f t="shared" si="12"/>
        <v>100</v>
      </c>
      <c r="X32" s="1113"/>
      <c r="Y32" s="343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33"/>
      <c r="Q33" s="621"/>
      <c r="R33" s="1118"/>
      <c r="S33" s="1119"/>
      <c r="T33" s="1118"/>
      <c r="U33" s="1119"/>
      <c r="V33" s="1118"/>
      <c r="W33" s="1119"/>
      <c r="X33" s="1113"/>
      <c r="Y33" s="3433"/>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33"/>
      <c r="Q34" s="621" t="str">
        <f t="shared" si="8"/>
        <v>土地级别</v>
      </c>
      <c r="R34" s="1118" t="s">
        <v>1357</v>
      </c>
      <c r="S34" s="1119">
        <f t="shared" si="10"/>
        <v>100</v>
      </c>
      <c r="T34" s="1118" t="s">
        <v>1357</v>
      </c>
      <c r="U34" s="1119">
        <f t="shared" si="11"/>
        <v>100</v>
      </c>
      <c r="V34" s="1118" t="s">
        <v>1357</v>
      </c>
      <c r="W34" s="1119">
        <f t="shared" si="12"/>
        <v>100</v>
      </c>
      <c r="X34" s="1113"/>
      <c r="Y34" s="343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33"/>
      <c r="Q35" s="621">
        <f t="shared" si="8"/>
        <v>111</v>
      </c>
      <c r="R35" s="1118" t="s">
        <v>1357</v>
      </c>
      <c r="S35" s="1119">
        <f t="shared" si="10"/>
        <v>100</v>
      </c>
      <c r="T35" s="1118" t="s">
        <v>1357</v>
      </c>
      <c r="U35" s="1119">
        <f t="shared" si="11"/>
        <v>100</v>
      </c>
      <c r="V35" s="1118" t="s">
        <v>1357</v>
      </c>
      <c r="W35" s="1119">
        <f t="shared" si="12"/>
        <v>100</v>
      </c>
      <c r="X35" s="1113"/>
      <c r="Y35" s="343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8" t="s">
        <v>1383</v>
      </c>
      <c r="Q36" s="621">
        <f t="shared" si="8"/>
        <v>111</v>
      </c>
      <c r="R36" s="1118" t="s">
        <v>1357</v>
      </c>
      <c r="S36" s="1119">
        <f t="shared" si="10"/>
        <v>100</v>
      </c>
      <c r="T36" s="1118" t="s">
        <v>1357</v>
      </c>
      <c r="U36" s="1119">
        <f t="shared" si="11"/>
        <v>100</v>
      </c>
      <c r="V36" s="1118" t="s">
        <v>1357</v>
      </c>
      <c r="W36" s="1119">
        <f t="shared" si="12"/>
        <v>100</v>
      </c>
      <c r="X36" s="1113"/>
      <c r="Y36" s="3434"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34"/>
      <c r="Q37" s="621">
        <f t="shared" si="8"/>
        <v>111</v>
      </c>
      <c r="R37" s="1120" t="s">
        <v>1357</v>
      </c>
      <c r="S37" s="1121">
        <f t="shared" si="10"/>
        <v>100</v>
      </c>
      <c r="T37" s="1120" t="s">
        <v>1357</v>
      </c>
      <c r="U37" s="1121">
        <f t="shared" si="11"/>
        <v>100</v>
      </c>
      <c r="V37" s="1120" t="s">
        <v>1357</v>
      </c>
      <c r="W37" s="1121">
        <f t="shared" si="12"/>
        <v>100</v>
      </c>
      <c r="X37" s="1122"/>
      <c r="Y37" s="3434"/>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34"/>
      <c r="Q38" s="621" t="str">
        <f t="shared" si="8"/>
        <v>宗地面积</v>
      </c>
      <c r="R38" s="1118" t="s">
        <v>1357</v>
      </c>
      <c r="S38" s="1119" t="e">
        <f t="shared" si="10"/>
        <v>#N/A</v>
      </c>
      <c r="T38" s="1118" t="s">
        <v>1357</v>
      </c>
      <c r="U38" s="1119" t="e">
        <f t="shared" si="11"/>
        <v>#N/A</v>
      </c>
      <c r="V38" s="1118" t="s">
        <v>1357</v>
      </c>
      <c r="W38" s="1119" t="e">
        <f t="shared" si="12"/>
        <v>#N/A</v>
      </c>
      <c r="X38" s="1113"/>
      <c r="Y38" s="3434"/>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34"/>
      <c r="Q39" s="621" t="str">
        <f t="shared" ref="Q39:Q45" si="14">B39</f>
        <v>宗地形状</v>
      </c>
      <c r="R39" s="1118" t="s">
        <v>1357</v>
      </c>
      <c r="S39" s="1119">
        <f t="shared" si="10"/>
        <v>100</v>
      </c>
      <c r="T39" s="1118" t="s">
        <v>1357</v>
      </c>
      <c r="U39" s="1119">
        <f t="shared" si="11"/>
        <v>100</v>
      </c>
      <c r="V39" s="1118" t="s">
        <v>1357</v>
      </c>
      <c r="W39" s="1119">
        <f t="shared" si="12"/>
        <v>100</v>
      </c>
      <c r="X39" s="1113"/>
      <c r="Y39" s="3434"/>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34"/>
      <c r="Q40" s="621" t="str">
        <f t="shared" si="14"/>
        <v>临街宽度及深度</v>
      </c>
      <c r="R40" s="1118" t="s">
        <v>1357</v>
      </c>
      <c r="S40" s="1119">
        <f t="shared" si="10"/>
        <v>100</v>
      </c>
      <c r="T40" s="1118" t="s">
        <v>1357</v>
      </c>
      <c r="U40" s="1119">
        <f t="shared" si="11"/>
        <v>100</v>
      </c>
      <c r="V40" s="1118" t="s">
        <v>1357</v>
      </c>
      <c r="W40" s="1119">
        <f t="shared" si="12"/>
        <v>100</v>
      </c>
      <c r="X40" s="1113"/>
      <c r="Y40" s="3434"/>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34"/>
      <c r="Q41" s="621" t="str">
        <f t="shared" si="14"/>
        <v>宗地开发程度</v>
      </c>
      <c r="R41" s="1114" t="s">
        <v>1357</v>
      </c>
      <c r="S41" s="1115">
        <f t="shared" si="10"/>
        <v>100</v>
      </c>
      <c r="T41" s="1114" t="s">
        <v>1357</v>
      </c>
      <c r="U41" s="1115">
        <f t="shared" si="11"/>
        <v>100</v>
      </c>
      <c r="V41" s="1114" t="s">
        <v>1357</v>
      </c>
      <c r="W41" s="1115">
        <f t="shared" si="12"/>
        <v>100</v>
      </c>
      <c r="X41" s="1116"/>
      <c r="Y41" s="3434"/>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34" t="s">
        <v>1383</v>
      </c>
      <c r="Q42" s="621" t="str">
        <f t="shared" si="14"/>
        <v>工程地质条件</v>
      </c>
      <c r="R42" s="1118" t="s">
        <v>1357</v>
      </c>
      <c r="S42" s="1119">
        <f t="shared" si="10"/>
        <v>100</v>
      </c>
      <c r="T42" s="1118" t="s">
        <v>1357</v>
      </c>
      <c r="U42" s="1119">
        <f t="shared" si="11"/>
        <v>100</v>
      </c>
      <c r="V42" s="1118" t="s">
        <v>1357</v>
      </c>
      <c r="W42" s="1119">
        <f t="shared" si="12"/>
        <v>100</v>
      </c>
      <c r="X42" s="1113"/>
      <c r="Y42" s="3434"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34"/>
      <c r="Q43" s="621">
        <f t="shared" si="14"/>
        <v>111</v>
      </c>
      <c r="R43" s="1118" t="s">
        <v>1357</v>
      </c>
      <c r="S43" s="1119">
        <f t="shared" si="10"/>
        <v>100</v>
      </c>
      <c r="T43" s="1118" t="s">
        <v>1357</v>
      </c>
      <c r="U43" s="1119">
        <f t="shared" si="11"/>
        <v>100</v>
      </c>
      <c r="V43" s="1118" t="s">
        <v>1357</v>
      </c>
      <c r="W43" s="1119">
        <f t="shared" si="12"/>
        <v>100</v>
      </c>
      <c r="X43" s="1113"/>
      <c r="Y43" s="343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34"/>
      <c r="Q44" s="621">
        <f t="shared" si="14"/>
        <v>111</v>
      </c>
      <c r="R44" s="1118" t="s">
        <v>1357</v>
      </c>
      <c r="S44" s="1119">
        <f t="shared" si="10"/>
        <v>100</v>
      </c>
      <c r="T44" s="1118" t="s">
        <v>1357</v>
      </c>
      <c r="U44" s="1119">
        <f t="shared" si="11"/>
        <v>100</v>
      </c>
      <c r="V44" s="1118" t="s">
        <v>1357</v>
      </c>
      <c r="W44" s="1119">
        <f t="shared" si="12"/>
        <v>100</v>
      </c>
      <c r="X44" s="1113"/>
      <c r="Y44" s="343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34"/>
      <c r="Q45" s="621">
        <f t="shared" si="14"/>
        <v>111</v>
      </c>
      <c r="R45" s="1120" t="s">
        <v>1357</v>
      </c>
      <c r="S45" s="1121">
        <f t="shared" si="10"/>
        <v>100</v>
      </c>
      <c r="T45" s="1120" t="s">
        <v>1357</v>
      </c>
      <c r="U45" s="1121">
        <f t="shared" si="11"/>
        <v>100</v>
      </c>
      <c r="V45" s="1120" t="s">
        <v>1357</v>
      </c>
      <c r="W45" s="1121">
        <f t="shared" si="12"/>
        <v>100</v>
      </c>
      <c r="X45" s="1122"/>
      <c r="Y45" s="3434"/>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20" t="str">
        <f>A46</f>
        <v>成交单价</v>
      </c>
      <c r="Q46" s="3420"/>
      <c r="R46" s="3418">
        <f>E46</f>
        <v>0</v>
      </c>
      <c r="S46" s="3418"/>
      <c r="T46" s="3418">
        <f>G46</f>
        <v>0</v>
      </c>
      <c r="U46" s="3418"/>
      <c r="V46" s="3418">
        <f>I46</f>
        <v>0</v>
      </c>
      <c r="W46" s="3418"/>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20" t="str">
        <f>A47</f>
        <v>比较价值（元/平方米）</v>
      </c>
      <c r="Q47" s="3420"/>
      <c r="R47" s="3491" t="e">
        <f>ROUND(PRODUCT(R46,AA7:AA45),0)</f>
        <v>#DIV/0!</v>
      </c>
      <c r="S47" s="3491"/>
      <c r="T47" s="3491" t="e">
        <f>ROUND(PRODUCT(T46,AB7:AB45),0)</f>
        <v>#DIV/0!</v>
      </c>
      <c r="U47" s="3491"/>
      <c r="V47" s="3491" t="e">
        <f>ROUND(PRODUCT(V46,AC7:AC45),0)</f>
        <v>#DIV/0!</v>
      </c>
      <c r="W47" s="3491"/>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54" t="str">
        <f>A48</f>
        <v>估价对象XX用房的比较价值（楼面单价，元/平方米）</v>
      </c>
      <c r="Q48" s="3455"/>
      <c r="R48" s="3492" t="e">
        <f>ROUND(IF(D47="简单平均",AVERAGE(R47:W47),R47*F47+T47*H47+V47*J47),0)</f>
        <v>#DIV/0!</v>
      </c>
      <c r="S48" s="3492"/>
      <c r="T48" s="3492"/>
      <c r="U48" s="3492"/>
      <c r="V48" s="3492"/>
      <c r="W48" s="3492"/>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441" t="s">
        <v>1672</v>
      </c>
      <c r="H55" s="3490"/>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205.1</v>
      </c>
      <c r="F56" s="1242" t="e">
        <f t="shared" ref="F56:F64" si="15">ROUND(B56*E56/10000,0)</f>
        <v>#DIV/0!</v>
      </c>
      <c r="G56" s="3419"/>
      <c r="H56" s="3420"/>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93" t="s">
        <v>1696</v>
      </c>
      <c r="D6" s="3494"/>
      <c r="E6" s="3495" t="s">
        <v>1696</v>
      </c>
      <c r="F6" s="3496"/>
      <c r="G6" s="3493" t="s">
        <v>1696</v>
      </c>
      <c r="H6" s="3494"/>
      <c r="I6" s="3493" t="s">
        <v>1696</v>
      </c>
      <c r="J6" s="3494"/>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33"/>
      <c r="Q19" s="621" t="str">
        <f t="shared" ref="Q19:Q34" si="8">B19</f>
        <v>区域土地利用方向</v>
      </c>
      <c r="R19" s="1118" t="s">
        <v>1357</v>
      </c>
      <c r="S19" s="1119">
        <f>F19</f>
        <v>100</v>
      </c>
      <c r="T19" s="1118" t="s">
        <v>1357</v>
      </c>
      <c r="U19" s="1119">
        <f>H19</f>
        <v>100</v>
      </c>
      <c r="V19" s="1118" t="s">
        <v>1357</v>
      </c>
      <c r="W19" s="1119">
        <f>J19</f>
        <v>100</v>
      </c>
      <c r="X19" s="1113"/>
      <c r="Y19" s="343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33"/>
      <c r="Q20" s="621"/>
      <c r="R20" s="1118"/>
      <c r="S20" s="1119"/>
      <c r="T20" s="1118"/>
      <c r="U20" s="1119"/>
      <c r="V20" s="1118"/>
      <c r="W20" s="1119"/>
      <c r="X20" s="1113"/>
      <c r="Y20" s="3433"/>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33"/>
      <c r="Q21" s="621" t="str">
        <f t="shared" si="8"/>
        <v>环境状况</v>
      </c>
      <c r="R21" s="1118" t="s">
        <v>1357</v>
      </c>
      <c r="S21" s="1119">
        <f>F21</f>
        <v>100</v>
      </c>
      <c r="T21" s="1118" t="s">
        <v>1357</v>
      </c>
      <c r="U21" s="1119">
        <f>H21</f>
        <v>100</v>
      </c>
      <c r="V21" s="1118" t="s">
        <v>1357</v>
      </c>
      <c r="W21" s="1119">
        <f>J21</f>
        <v>100</v>
      </c>
      <c r="X21" s="1113"/>
      <c r="Y21" s="343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33"/>
      <c r="Q23" s="790" t="str">
        <f t="shared" si="8"/>
        <v>公共配套设施</v>
      </c>
      <c r="R23" s="1114" t="s">
        <v>1357</v>
      </c>
      <c r="S23" s="1115">
        <f>F23</f>
        <v>100</v>
      </c>
      <c r="T23" s="1114" t="s">
        <v>1357</v>
      </c>
      <c r="U23" s="1115">
        <f>H23</f>
        <v>100</v>
      </c>
      <c r="V23" s="1114" t="s">
        <v>1357</v>
      </c>
      <c r="W23" s="1115">
        <f>J23</f>
        <v>100</v>
      </c>
      <c r="X23" s="1116"/>
      <c r="Y23" s="343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33"/>
      <c r="Q24" s="790"/>
      <c r="R24" s="1114"/>
      <c r="S24" s="1115"/>
      <c r="T24" s="1114"/>
      <c r="U24" s="1115"/>
      <c r="V24" s="1114"/>
      <c r="W24" s="1115"/>
      <c r="X24" s="1116"/>
      <c r="Y24" s="3433"/>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33"/>
      <c r="Q25" s="790" t="str">
        <f t="shared" ref="Q25" si="9">B25</f>
        <v>基础设施水平</v>
      </c>
      <c r="R25" s="1114" t="s">
        <v>1357</v>
      </c>
      <c r="S25" s="1115">
        <f>F25</f>
        <v>100</v>
      </c>
      <c r="T25" s="1114" t="s">
        <v>1357</v>
      </c>
      <c r="U25" s="1115">
        <f>H25</f>
        <v>100</v>
      </c>
      <c r="V25" s="1114" t="s">
        <v>1357</v>
      </c>
      <c r="W25" s="1115">
        <f>J25</f>
        <v>100</v>
      </c>
      <c r="X25" s="1116"/>
      <c r="Y25" s="343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33"/>
      <c r="Q26" s="790"/>
      <c r="R26" s="1114"/>
      <c r="S26" s="1115"/>
      <c r="T26" s="1114"/>
      <c r="U26" s="1115"/>
      <c r="V26" s="1114"/>
      <c r="W26" s="1115"/>
      <c r="X26" s="1116"/>
      <c r="Y26" s="3433"/>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33"/>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33"/>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33"/>
      <c r="Q28" s="621" t="str">
        <f t="shared" si="8"/>
        <v>毗邻道路的类型与等级</v>
      </c>
      <c r="R28" s="1118" t="s">
        <v>1357</v>
      </c>
      <c r="S28" s="1119">
        <f t="shared" si="10"/>
        <v>100</v>
      </c>
      <c r="T28" s="1118" t="s">
        <v>1357</v>
      </c>
      <c r="U28" s="1119">
        <f t="shared" si="11"/>
        <v>100</v>
      </c>
      <c r="V28" s="1118" t="s">
        <v>1357</v>
      </c>
      <c r="W28" s="1119">
        <f t="shared" si="12"/>
        <v>100</v>
      </c>
      <c r="X28" s="1113"/>
      <c r="Y28" s="343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33"/>
      <c r="Q29" s="621"/>
      <c r="R29" s="1118"/>
      <c r="S29" s="1119"/>
      <c r="T29" s="1118"/>
      <c r="U29" s="1119"/>
      <c r="V29" s="1118"/>
      <c r="W29" s="1119"/>
      <c r="X29" s="1113"/>
      <c r="Y29" s="3433"/>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33"/>
      <c r="Q30" s="621" t="str">
        <f t="shared" si="8"/>
        <v>土地级别</v>
      </c>
      <c r="R30" s="1118" t="s">
        <v>1357</v>
      </c>
      <c r="S30" s="1119">
        <f t="shared" si="10"/>
        <v>100</v>
      </c>
      <c r="T30" s="1118" t="s">
        <v>1357</v>
      </c>
      <c r="U30" s="1119">
        <f t="shared" si="11"/>
        <v>100</v>
      </c>
      <c r="V30" s="1118" t="s">
        <v>1357</v>
      </c>
      <c r="W30" s="1119">
        <f t="shared" si="12"/>
        <v>100</v>
      </c>
      <c r="X30" s="1113"/>
      <c r="Y30" s="343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33"/>
      <c r="Q31" s="621">
        <f t="shared" si="8"/>
        <v>111</v>
      </c>
      <c r="R31" s="1118" t="s">
        <v>1357</v>
      </c>
      <c r="S31" s="1119">
        <f t="shared" si="10"/>
        <v>100</v>
      </c>
      <c r="T31" s="1118" t="s">
        <v>1357</v>
      </c>
      <c r="U31" s="1119">
        <f t="shared" si="11"/>
        <v>100</v>
      </c>
      <c r="V31" s="1118" t="s">
        <v>1357</v>
      </c>
      <c r="W31" s="1119">
        <f t="shared" si="12"/>
        <v>100</v>
      </c>
      <c r="X31" s="1113"/>
      <c r="Y31" s="343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8" t="s">
        <v>1383</v>
      </c>
      <c r="Q32" s="621">
        <f t="shared" si="8"/>
        <v>111</v>
      </c>
      <c r="R32" s="1118" t="s">
        <v>1357</v>
      </c>
      <c r="S32" s="1119">
        <f t="shared" si="10"/>
        <v>100</v>
      </c>
      <c r="T32" s="1118" t="s">
        <v>1357</v>
      </c>
      <c r="U32" s="1119">
        <f t="shared" si="11"/>
        <v>100</v>
      </c>
      <c r="V32" s="1118" t="s">
        <v>1357</v>
      </c>
      <c r="W32" s="1119">
        <f t="shared" si="12"/>
        <v>100</v>
      </c>
      <c r="X32" s="1113"/>
      <c r="Y32" s="3434"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34"/>
      <c r="Q33" s="621">
        <f t="shared" si="8"/>
        <v>111</v>
      </c>
      <c r="R33" s="1120" t="s">
        <v>1357</v>
      </c>
      <c r="S33" s="1121">
        <f t="shared" si="10"/>
        <v>100</v>
      </c>
      <c r="T33" s="1120" t="s">
        <v>1357</v>
      </c>
      <c r="U33" s="1121">
        <f t="shared" si="11"/>
        <v>100</v>
      </c>
      <c r="V33" s="1120" t="s">
        <v>1357</v>
      </c>
      <c r="W33" s="1121">
        <f t="shared" si="12"/>
        <v>100</v>
      </c>
      <c r="X33" s="1122"/>
      <c r="Y33" s="3434"/>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34"/>
      <c r="Q34" s="621" t="str">
        <f t="shared" si="8"/>
        <v>宗地面积</v>
      </c>
      <c r="R34" s="1118" t="s">
        <v>1357</v>
      </c>
      <c r="S34" s="1119" t="e">
        <f t="shared" si="10"/>
        <v>#N/A</v>
      </c>
      <c r="T34" s="1118" t="s">
        <v>1357</v>
      </c>
      <c r="U34" s="1119" t="e">
        <f t="shared" si="11"/>
        <v>#N/A</v>
      </c>
      <c r="V34" s="1118" t="s">
        <v>1357</v>
      </c>
      <c r="W34" s="1119" t="e">
        <f t="shared" si="12"/>
        <v>#N/A</v>
      </c>
      <c r="X34" s="1113"/>
      <c r="Y34" s="3434"/>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34"/>
      <c r="Q35" s="621" t="str">
        <f t="shared" ref="Q35:Q40" si="14">B35</f>
        <v>宗地形状</v>
      </c>
      <c r="R35" s="1118" t="s">
        <v>1357</v>
      </c>
      <c r="S35" s="1119">
        <f t="shared" si="10"/>
        <v>100</v>
      </c>
      <c r="T35" s="1118" t="s">
        <v>1357</v>
      </c>
      <c r="U35" s="1119">
        <f t="shared" si="11"/>
        <v>100</v>
      </c>
      <c r="V35" s="1118" t="s">
        <v>1357</v>
      </c>
      <c r="W35" s="1119">
        <f t="shared" si="12"/>
        <v>100</v>
      </c>
      <c r="X35" s="1113"/>
      <c r="Y35" s="3434"/>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34"/>
      <c r="Q36" s="621" t="str">
        <f t="shared" si="14"/>
        <v>宗地开发程度</v>
      </c>
      <c r="R36" s="1114" t="s">
        <v>1357</v>
      </c>
      <c r="S36" s="1115">
        <f t="shared" si="10"/>
        <v>100</v>
      </c>
      <c r="T36" s="1114" t="s">
        <v>1357</v>
      </c>
      <c r="U36" s="1115">
        <f t="shared" si="11"/>
        <v>100</v>
      </c>
      <c r="V36" s="1114" t="s">
        <v>1357</v>
      </c>
      <c r="W36" s="1115">
        <f t="shared" si="12"/>
        <v>100</v>
      </c>
      <c r="X36" s="1116"/>
      <c r="Y36" s="3434"/>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34" t="s">
        <v>1383</v>
      </c>
      <c r="Q37" s="621" t="str">
        <f t="shared" si="14"/>
        <v>工程地质条件</v>
      </c>
      <c r="R37" s="1118" t="s">
        <v>1357</v>
      </c>
      <c r="S37" s="1119">
        <f t="shared" si="10"/>
        <v>100</v>
      </c>
      <c r="T37" s="1118" t="s">
        <v>1357</v>
      </c>
      <c r="U37" s="1119">
        <f t="shared" si="11"/>
        <v>100</v>
      </c>
      <c r="V37" s="1118" t="s">
        <v>1357</v>
      </c>
      <c r="W37" s="1119">
        <f t="shared" si="12"/>
        <v>100</v>
      </c>
      <c r="X37" s="1113"/>
      <c r="Y37" s="3434"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34"/>
      <c r="Q38" s="621">
        <f t="shared" si="14"/>
        <v>111</v>
      </c>
      <c r="R38" s="1118" t="s">
        <v>1357</v>
      </c>
      <c r="S38" s="1119">
        <f t="shared" si="10"/>
        <v>100</v>
      </c>
      <c r="T38" s="1118" t="s">
        <v>1357</v>
      </c>
      <c r="U38" s="1119">
        <f t="shared" si="11"/>
        <v>100</v>
      </c>
      <c r="V38" s="1118" t="s">
        <v>1357</v>
      </c>
      <c r="W38" s="1119">
        <f t="shared" si="12"/>
        <v>100</v>
      </c>
      <c r="X38" s="1113"/>
      <c r="Y38" s="343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34"/>
      <c r="Q39" s="621">
        <f t="shared" si="14"/>
        <v>111</v>
      </c>
      <c r="R39" s="1118" t="s">
        <v>1357</v>
      </c>
      <c r="S39" s="1119">
        <f t="shared" si="10"/>
        <v>100</v>
      </c>
      <c r="T39" s="1118" t="s">
        <v>1357</v>
      </c>
      <c r="U39" s="1119">
        <f t="shared" si="11"/>
        <v>100</v>
      </c>
      <c r="V39" s="1118" t="s">
        <v>1357</v>
      </c>
      <c r="W39" s="1119">
        <f t="shared" si="12"/>
        <v>100</v>
      </c>
      <c r="X39" s="1113"/>
      <c r="Y39" s="343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34"/>
      <c r="Q40" s="621">
        <f t="shared" si="14"/>
        <v>111</v>
      </c>
      <c r="R40" s="1120" t="s">
        <v>1357</v>
      </c>
      <c r="S40" s="1121">
        <f t="shared" si="10"/>
        <v>100</v>
      </c>
      <c r="T40" s="1120" t="s">
        <v>1357</v>
      </c>
      <c r="U40" s="1121">
        <f t="shared" si="11"/>
        <v>100</v>
      </c>
      <c r="V40" s="1120" t="s">
        <v>1357</v>
      </c>
      <c r="W40" s="1121">
        <f t="shared" si="12"/>
        <v>100</v>
      </c>
      <c r="X40" s="1122"/>
      <c r="Y40" s="3434"/>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20" t="str">
        <f>A41</f>
        <v>成交单价</v>
      </c>
      <c r="Q41" s="3420"/>
      <c r="R41" s="3418">
        <f>E41</f>
        <v>0</v>
      </c>
      <c r="S41" s="3418"/>
      <c r="T41" s="3418">
        <f>G41</f>
        <v>0</v>
      </c>
      <c r="U41" s="3418"/>
      <c r="V41" s="3418">
        <f>I41</f>
        <v>0</v>
      </c>
      <c r="W41" s="3418"/>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20" t="str">
        <f>A42</f>
        <v>比较价值（元/平方米）</v>
      </c>
      <c r="Q42" s="3420"/>
      <c r="R42" s="3491" t="e">
        <f>ROUND(PRODUCT(R41,AA7:AA40),0)</f>
        <v>#DIV/0!</v>
      </c>
      <c r="S42" s="3491"/>
      <c r="T42" s="3491" t="e">
        <f>ROUND(PRODUCT(T41,AB7:AB40),0)</f>
        <v>#DIV/0!</v>
      </c>
      <c r="U42" s="3491"/>
      <c r="V42" s="3491" t="e">
        <f>ROUND(PRODUCT(V41,AC7:AC40),0)</f>
        <v>#DIV/0!</v>
      </c>
      <c r="W42" s="3491"/>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54" t="str">
        <f>A43</f>
        <v>估价对象XX用房的比较价值（楼面单价，元/平方米）</v>
      </c>
      <c r="Q43" s="3455"/>
      <c r="R43" s="3492" t="e">
        <f>ROUND(IF(D42="简单平均",AVERAGE(R42:W42),R42*F42+T42*H42+V42*J42),0)</f>
        <v>#DIV/0!</v>
      </c>
      <c r="S43" s="3492"/>
      <c r="T43" s="3492"/>
      <c r="U43" s="3492"/>
      <c r="V43" s="3492"/>
      <c r="W43" s="3492"/>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441" t="s">
        <v>1672</v>
      </c>
      <c r="H50" s="3490"/>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205.1</v>
      </c>
      <c r="F51" s="1034" t="e">
        <f t="shared" ref="F51:F60" si="15">ROUND(B51*E51/10000,0)</f>
        <v>#DIV/0!</v>
      </c>
      <c r="G51" s="3419"/>
      <c r="H51" s="3420"/>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131.51</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91" t="s">
        <v>1715</v>
      </c>
    </row>
    <row r="43" spans="1:7" ht="13.5" customHeight="1">
      <c r="A43" s="386" t="s">
        <v>1007</v>
      </c>
      <c r="B43" s="359" t="s">
        <v>1045</v>
      </c>
      <c r="C43" s="388" t="e">
        <f ca="1">ROUND(IF('数据-取费表'!B22&lt;=1,C39*F22*'数据-取费表'!B20/2,C39*(POWER((1+F22),'数据-取费表'!B20/2)-1)),0)</f>
        <v>#N/A</v>
      </c>
      <c r="D43" s="388"/>
      <c r="E43" s="388"/>
      <c r="F43" s="389"/>
      <c r="G43" s="3392"/>
    </row>
    <row r="44" spans="1:7" ht="13.5" customHeight="1">
      <c r="A44" s="386" t="s">
        <v>1009</v>
      </c>
      <c r="B44" s="359" t="s">
        <v>1047</v>
      </c>
      <c r="C44" s="388">
        <f ca="1">ROUND(IF('数据-取费表'!B22&lt;=1,C40*F22*'数据-取费表'!B20/2,C40*(POWER((1+F22),'数据-取费表'!B20/2)-1)),4)</f>
        <v>5.9999999999999995E-4</v>
      </c>
      <c r="D44" s="388"/>
      <c r="E44" s="388"/>
      <c r="F44" s="389"/>
      <c r="G44" s="3393"/>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131.51</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7"/>
      <c r="B4" s="3498"/>
      <c r="C4" s="3498"/>
      <c r="D4" s="3499"/>
      <c r="E4" s="3499"/>
      <c r="F4" s="3499"/>
      <c r="G4" s="3499"/>
      <c r="H4" s="3499"/>
      <c r="I4" s="3499"/>
      <c r="J4" s="3500"/>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01" t="s">
        <v>1750</v>
      </c>
      <c r="X8" s="3502"/>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5"/>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5"/>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7" t="s">
        <v>1799</v>
      </c>
      <c r="B20" s="586" t="s">
        <v>1800</v>
      </c>
      <c r="C20" s="587" t="e">
        <f>ROUND(IF(F21="与级别开发程度一致",0,(G21-E21)/C21),0)</f>
        <v>#DIV/0!</v>
      </c>
      <c r="D20" s="588" t="s">
        <v>1801</v>
      </c>
      <c r="E20" s="589"/>
      <c r="F20" s="3503" t="s">
        <v>1802</v>
      </c>
      <c r="G20" s="3504"/>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8"/>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45862</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131.51</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9"/>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10"/>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10"/>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5" t="s">
        <v>1902</v>
      </c>
      <c r="B103" s="3505"/>
      <c r="C103" s="3505"/>
      <c r="D103" s="3505"/>
      <c r="E103" s="3505"/>
      <c r="F103" s="3505"/>
      <c r="G103" s="3505"/>
      <c r="H103" s="3505"/>
      <c r="I103" s="3505"/>
      <c r="J103" s="3505"/>
      <c r="K103" s="847"/>
      <c r="L103" s="847"/>
      <c r="M103" s="847"/>
      <c r="N103" s="847"/>
    </row>
    <row r="104" spans="1:14">
      <c r="A104" s="3511" t="s">
        <v>1903</v>
      </c>
      <c r="B104" s="3511" t="s">
        <v>1904</v>
      </c>
      <c r="C104" s="849" t="s">
        <v>1905</v>
      </c>
      <c r="D104" s="850"/>
      <c r="E104" s="850"/>
      <c r="F104" s="850"/>
      <c r="G104" s="850"/>
      <c r="H104" s="850"/>
      <c r="I104" s="850"/>
      <c r="J104" s="869"/>
      <c r="K104" s="870"/>
      <c r="L104" s="870"/>
      <c r="M104" s="870"/>
      <c r="N104" s="870"/>
    </row>
    <row r="105" spans="1:14">
      <c r="A105" s="3511"/>
      <c r="B105" s="3511"/>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12"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3"/>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3"/>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3"/>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3"/>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3"/>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4"/>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6" t="s">
        <v>1907</v>
      </c>
      <c r="B113" s="3506"/>
      <c r="C113" s="3506"/>
      <c r="D113" s="3506"/>
      <c r="E113" s="3506"/>
      <c r="F113" s="3506"/>
      <c r="G113" s="3506"/>
      <c r="H113" s="3506"/>
      <c r="I113" s="3506"/>
      <c r="J113" s="3506"/>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20" t="s">
        <v>1922</v>
      </c>
      <c r="B20" s="3526" t="s">
        <v>1931</v>
      </c>
      <c r="C20" s="465" t="s">
        <v>1932</v>
      </c>
      <c r="D20" s="466"/>
      <c r="E20" s="467">
        <v>1</v>
      </c>
      <c r="F20" s="468" t="s">
        <v>1933</v>
      </c>
      <c r="G20" s="468"/>
    </row>
    <row r="21" spans="1:13" ht="19.5" customHeight="1">
      <c r="A21" s="3521"/>
      <c r="B21" s="3519"/>
      <c r="C21" s="469" t="s">
        <v>1934</v>
      </c>
      <c r="D21" s="470"/>
      <c r="E21" s="471">
        <v>1</v>
      </c>
      <c r="F21" s="468" t="s">
        <v>1935</v>
      </c>
      <c r="G21" s="468"/>
    </row>
    <row r="22" spans="1:13" ht="19.5" customHeight="1">
      <c r="A22" s="3521"/>
      <c r="B22" s="3519"/>
      <c r="C22" s="469" t="s">
        <v>1936</v>
      </c>
      <c r="D22" s="470"/>
      <c r="E22" s="471">
        <v>0.9</v>
      </c>
      <c r="F22" s="468" t="s">
        <v>1937</v>
      </c>
      <c r="G22" s="468"/>
    </row>
    <row r="23" spans="1:13" ht="19.5" customHeight="1">
      <c r="A23" s="3521"/>
      <c r="B23" s="3519"/>
      <c r="C23" s="469" t="s">
        <v>1938</v>
      </c>
      <c r="D23" s="470"/>
      <c r="E23" s="471">
        <v>0.9</v>
      </c>
      <c r="F23" s="468" t="s">
        <v>1939</v>
      </c>
      <c r="G23" s="468"/>
    </row>
    <row r="24" spans="1:13" ht="19.5" customHeight="1">
      <c r="A24" s="3521"/>
      <c r="B24" s="3519"/>
      <c r="C24" s="469" t="s">
        <v>1940</v>
      </c>
      <c r="D24" s="470"/>
      <c r="E24" s="471">
        <v>0.8</v>
      </c>
      <c r="F24" s="468" t="s">
        <v>1941</v>
      </c>
      <c r="G24" s="468"/>
    </row>
    <row r="25" spans="1:13" ht="19.5" customHeight="1">
      <c r="A25" s="3522"/>
      <c r="B25" s="3527"/>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23" t="s">
        <v>280</v>
      </c>
      <c r="B27" s="3526" t="s">
        <v>280</v>
      </c>
      <c r="C27" s="465" t="s">
        <v>1945</v>
      </c>
      <c r="D27" s="466"/>
      <c r="E27" s="467">
        <v>1</v>
      </c>
      <c r="F27" s="468" t="s">
        <v>1946</v>
      </c>
      <c r="G27" s="468"/>
    </row>
    <row r="28" spans="1:13" ht="19.5" customHeight="1">
      <c r="A28" s="3524"/>
      <c r="B28" s="3519"/>
      <c r="C28" s="469" t="s">
        <v>1947</v>
      </c>
      <c r="D28" s="470"/>
      <c r="E28" s="471">
        <v>1</v>
      </c>
      <c r="F28" s="468" t="s">
        <v>1948</v>
      </c>
      <c r="G28" s="468"/>
    </row>
    <row r="29" spans="1:13" ht="19.5" customHeight="1">
      <c r="A29" s="3524"/>
      <c r="B29" s="3519"/>
      <c r="C29" s="469" t="s">
        <v>1949</v>
      </c>
      <c r="D29" s="470"/>
      <c r="E29" s="471">
        <v>0.8</v>
      </c>
      <c r="F29" s="468" t="s">
        <v>1950</v>
      </c>
      <c r="G29" s="468"/>
    </row>
    <row r="30" spans="1:13" ht="19.5" customHeight="1">
      <c r="A30" s="3524"/>
      <c r="B30" s="3519"/>
      <c r="C30" s="469" t="s">
        <v>1951</v>
      </c>
      <c r="D30" s="470"/>
      <c r="E30" s="471">
        <v>0.8</v>
      </c>
      <c r="F30" s="468" t="s">
        <v>1952</v>
      </c>
      <c r="G30" s="468"/>
    </row>
    <row r="31" spans="1:13" ht="19.5" customHeight="1">
      <c r="A31" s="3524"/>
      <c r="B31" s="3519"/>
      <c r="C31" s="469" t="s">
        <v>1953</v>
      </c>
      <c r="D31" s="470"/>
      <c r="E31" s="471">
        <v>0.8</v>
      </c>
      <c r="F31" s="468" t="s">
        <v>1954</v>
      </c>
      <c r="G31" s="468"/>
    </row>
    <row r="32" spans="1:13" ht="19.5" customHeight="1">
      <c r="A32" s="3524"/>
      <c r="B32" s="3519"/>
      <c r="C32" s="469" t="s">
        <v>1955</v>
      </c>
      <c r="D32" s="470"/>
      <c r="E32" s="471">
        <v>0.7</v>
      </c>
      <c r="F32" s="468" t="s">
        <v>1956</v>
      </c>
      <c r="G32" s="468"/>
    </row>
    <row r="33" spans="1:7" ht="19.5" customHeight="1">
      <c r="A33" s="3524"/>
      <c r="B33" s="3519"/>
      <c r="C33" s="469" t="s">
        <v>1957</v>
      </c>
      <c r="D33" s="470"/>
      <c r="E33" s="471">
        <v>0.8</v>
      </c>
      <c r="F33" s="468" t="s">
        <v>1958</v>
      </c>
      <c r="G33" s="468"/>
    </row>
    <row r="34" spans="1:7" ht="19.5" customHeight="1">
      <c r="A34" s="3524"/>
      <c r="B34" s="3519"/>
      <c r="C34" s="469" t="s">
        <v>1959</v>
      </c>
      <c r="D34" s="470"/>
      <c r="E34" s="471">
        <v>0.6</v>
      </c>
      <c r="F34" s="468" t="s">
        <v>1960</v>
      </c>
      <c r="G34" s="468"/>
    </row>
    <row r="35" spans="1:7" ht="19.5" customHeight="1">
      <c r="A35" s="3524"/>
      <c r="B35" s="3519"/>
      <c r="C35" s="469" t="s">
        <v>1961</v>
      </c>
      <c r="D35" s="470"/>
      <c r="E35" s="471">
        <v>0.2</v>
      </c>
      <c r="F35" s="468" t="s">
        <v>1962</v>
      </c>
      <c r="G35" s="468"/>
    </row>
    <row r="36" spans="1:7" ht="19.5" customHeight="1">
      <c r="A36" s="3524"/>
      <c r="B36" s="3519"/>
      <c r="C36" s="469" t="s">
        <v>1963</v>
      </c>
      <c r="D36" s="470"/>
      <c r="E36" s="471">
        <v>0.2</v>
      </c>
      <c r="F36" s="468" t="s">
        <v>1964</v>
      </c>
      <c r="G36" s="468"/>
    </row>
    <row r="37" spans="1:7" ht="19.5" customHeight="1">
      <c r="A37" s="3524"/>
      <c r="B37" s="3517" t="s">
        <v>1965</v>
      </c>
      <c r="C37" s="469" t="s">
        <v>1966</v>
      </c>
      <c r="D37" s="470"/>
      <c r="E37" s="471">
        <v>0.6</v>
      </c>
      <c r="F37" s="468" t="s">
        <v>1967</v>
      </c>
      <c r="G37" s="468"/>
    </row>
    <row r="38" spans="1:7" ht="19.5" customHeight="1">
      <c r="A38" s="3524"/>
      <c r="B38" s="3519"/>
      <c r="C38" s="469" t="s">
        <v>1968</v>
      </c>
      <c r="D38" s="470"/>
      <c r="E38" s="471">
        <v>0.6</v>
      </c>
      <c r="F38" s="468" t="s">
        <v>1969</v>
      </c>
      <c r="G38" s="468"/>
    </row>
    <row r="39" spans="1:7" ht="19.5" customHeight="1">
      <c r="A39" s="3525"/>
      <c r="B39" s="3527"/>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20" t="s">
        <v>408</v>
      </c>
      <c r="B41" s="3526" t="s">
        <v>1974</v>
      </c>
      <c r="C41" s="465" t="s">
        <v>1975</v>
      </c>
      <c r="D41" s="466"/>
      <c r="E41" s="467">
        <v>1</v>
      </c>
      <c r="F41" s="468" t="s">
        <v>1976</v>
      </c>
      <c r="G41" s="468"/>
    </row>
    <row r="42" spans="1:7" ht="19.5" customHeight="1">
      <c r="A42" s="3521"/>
      <c r="B42" s="3519"/>
      <c r="C42" s="469" t="s">
        <v>1977</v>
      </c>
      <c r="D42" s="470"/>
      <c r="E42" s="471">
        <v>1</v>
      </c>
      <c r="F42" s="468" t="s">
        <v>1978</v>
      </c>
      <c r="G42" s="468"/>
    </row>
    <row r="43" spans="1:7" ht="19.5" customHeight="1">
      <c r="A43" s="3521"/>
      <c r="B43" s="3518"/>
      <c r="C43" s="469" t="s">
        <v>1979</v>
      </c>
      <c r="D43" s="470"/>
      <c r="E43" s="471">
        <v>1.5</v>
      </c>
      <c r="F43" s="468" t="s">
        <v>1980</v>
      </c>
      <c r="G43" s="468"/>
    </row>
    <row r="44" spans="1:7" ht="19.5" customHeight="1">
      <c r="A44" s="3521"/>
      <c r="B44" s="481" t="s">
        <v>280</v>
      </c>
      <c r="C44" s="469" t="s">
        <v>1923</v>
      </c>
      <c r="D44" s="470"/>
      <c r="E44" s="471">
        <v>2</v>
      </c>
      <c r="F44" s="468" t="s">
        <v>1981</v>
      </c>
      <c r="G44" s="468"/>
    </row>
    <row r="45" spans="1:7" ht="19.5" customHeight="1">
      <c r="A45" s="3521"/>
      <c r="B45" s="3517" t="s">
        <v>1982</v>
      </c>
      <c r="C45" s="469" t="s">
        <v>1983</v>
      </c>
      <c r="D45" s="470"/>
      <c r="E45" s="471">
        <v>1</v>
      </c>
      <c r="F45" s="468" t="s">
        <v>1984</v>
      </c>
      <c r="G45" s="468"/>
    </row>
    <row r="46" spans="1:7" ht="19.5" customHeight="1">
      <c r="A46" s="3521"/>
      <c r="B46" s="3519"/>
      <c r="C46" s="469" t="s">
        <v>1985</v>
      </c>
      <c r="D46" s="470"/>
      <c r="E46" s="471">
        <v>1</v>
      </c>
      <c r="F46" s="468" t="s">
        <v>1986</v>
      </c>
      <c r="G46" s="468"/>
    </row>
    <row r="47" spans="1:7" ht="19.5" customHeight="1">
      <c r="A47" s="3521"/>
      <c r="B47" s="3519"/>
      <c r="C47" s="469" t="s">
        <v>1987</v>
      </c>
      <c r="D47" s="470"/>
      <c r="E47" s="471">
        <v>1</v>
      </c>
      <c r="F47" s="468" t="s">
        <v>1988</v>
      </c>
      <c r="G47" s="468"/>
    </row>
    <row r="48" spans="1:7" ht="19.5" customHeight="1">
      <c r="A48" s="3521"/>
      <c r="B48" s="3519"/>
      <c r="C48" s="469" t="s">
        <v>1989</v>
      </c>
      <c r="D48" s="470"/>
      <c r="E48" s="471">
        <v>1</v>
      </c>
      <c r="F48" s="468" t="s">
        <v>1990</v>
      </c>
      <c r="G48" s="468"/>
    </row>
    <row r="49" spans="1:7" ht="19.5" customHeight="1">
      <c r="A49" s="3521"/>
      <c r="B49" s="3519"/>
      <c r="C49" s="469" t="s">
        <v>1991</v>
      </c>
      <c r="D49" s="470"/>
      <c r="E49" s="471">
        <v>1</v>
      </c>
      <c r="F49" s="468" t="s">
        <v>1992</v>
      </c>
      <c r="G49" s="468"/>
    </row>
    <row r="50" spans="1:7" ht="19.5" customHeight="1">
      <c r="A50" s="3521"/>
      <c r="B50" s="3519"/>
      <c r="C50" s="469" t="s">
        <v>1993</v>
      </c>
      <c r="D50" s="470"/>
      <c r="E50" s="471">
        <v>1</v>
      </c>
      <c r="F50" s="468" t="s">
        <v>1994</v>
      </c>
      <c r="G50" s="468"/>
    </row>
    <row r="51" spans="1:7" ht="19.5" customHeight="1">
      <c r="A51" s="3522"/>
      <c r="B51" s="3527"/>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17" t="s">
        <v>2006</v>
      </c>
      <c r="C73" s="457" t="s">
        <v>2007</v>
      </c>
      <c r="D73" s="457" t="s">
        <v>2008</v>
      </c>
      <c r="E73" s="481">
        <v>0.2</v>
      </c>
      <c r="F73" s="481">
        <v>25</v>
      </c>
    </row>
    <row r="74" spans="1:7" ht="24">
      <c r="A74" s="481">
        <v>2</v>
      </c>
      <c r="B74" s="3519"/>
      <c r="C74" s="457" t="s">
        <v>2009</v>
      </c>
      <c r="D74" s="457" t="s">
        <v>2010</v>
      </c>
      <c r="E74" s="481">
        <v>0.2</v>
      </c>
      <c r="F74" s="481">
        <v>25</v>
      </c>
    </row>
    <row r="75" spans="1:7" ht="24">
      <c r="A75" s="481">
        <v>3</v>
      </c>
      <c r="B75" s="3519"/>
      <c r="C75" s="457" t="s">
        <v>2011</v>
      </c>
      <c r="D75" s="457" t="s">
        <v>2012</v>
      </c>
      <c r="E75" s="481">
        <v>0.2</v>
      </c>
      <c r="F75" s="481">
        <v>25</v>
      </c>
    </row>
    <row r="76" spans="1:7" ht="14.4">
      <c r="A76" s="481">
        <v>4</v>
      </c>
      <c r="B76" s="3519"/>
      <c r="C76" s="457" t="s">
        <v>2013</v>
      </c>
      <c r="D76" s="457" t="s">
        <v>2014</v>
      </c>
      <c r="E76" s="481">
        <v>0.15</v>
      </c>
      <c r="F76" s="481">
        <v>20</v>
      </c>
    </row>
    <row r="77" spans="1:7" ht="24">
      <c r="A77" s="481">
        <v>5</v>
      </c>
      <c r="B77" s="3519"/>
      <c r="C77" s="457" t="s">
        <v>2015</v>
      </c>
      <c r="D77" s="457" t="s">
        <v>2016</v>
      </c>
      <c r="E77" s="481">
        <v>0.15</v>
      </c>
      <c r="F77" s="481">
        <v>20</v>
      </c>
    </row>
    <row r="78" spans="1:7" ht="24">
      <c r="A78" s="481">
        <v>6</v>
      </c>
      <c r="B78" s="3519"/>
      <c r="C78" s="457" t="s">
        <v>2017</v>
      </c>
      <c r="D78" s="457" t="s">
        <v>2018</v>
      </c>
      <c r="E78" s="481">
        <v>0.15</v>
      </c>
      <c r="F78" s="481">
        <v>20</v>
      </c>
    </row>
    <row r="79" spans="1:7" ht="24">
      <c r="A79" s="481">
        <v>7</v>
      </c>
      <c r="B79" s="3519"/>
      <c r="C79" s="457" t="s">
        <v>2019</v>
      </c>
      <c r="D79" s="457" t="s">
        <v>2020</v>
      </c>
      <c r="E79" s="481">
        <v>0.15</v>
      </c>
      <c r="F79" s="481">
        <v>20</v>
      </c>
    </row>
    <row r="80" spans="1:7" ht="24">
      <c r="A80" s="481">
        <v>8</v>
      </c>
      <c r="B80" s="3519"/>
      <c r="C80" s="457" t="s">
        <v>2021</v>
      </c>
      <c r="D80" s="457" t="s">
        <v>2022</v>
      </c>
      <c r="E80" s="481">
        <v>0.1</v>
      </c>
      <c r="F80" s="481">
        <v>15</v>
      </c>
    </row>
    <row r="81" spans="1:6" ht="24">
      <c r="A81" s="481">
        <v>9</v>
      </c>
      <c r="B81" s="3519"/>
      <c r="C81" s="457" t="s">
        <v>2023</v>
      </c>
      <c r="D81" s="457" t="s">
        <v>2024</v>
      </c>
      <c r="E81" s="481">
        <v>0.1</v>
      </c>
      <c r="F81" s="481">
        <v>15</v>
      </c>
    </row>
    <row r="82" spans="1:6" ht="24">
      <c r="A82" s="481">
        <v>10</v>
      </c>
      <c r="B82" s="3519"/>
      <c r="C82" s="457" t="s">
        <v>2025</v>
      </c>
      <c r="D82" s="457" t="s">
        <v>2026</v>
      </c>
      <c r="E82" s="481">
        <v>0.1</v>
      </c>
      <c r="F82" s="481">
        <v>15</v>
      </c>
    </row>
    <row r="83" spans="1:6" ht="24">
      <c r="A83" s="481">
        <v>11</v>
      </c>
      <c r="B83" s="3519"/>
      <c r="C83" s="457" t="s">
        <v>2027</v>
      </c>
      <c r="D83" s="457" t="s">
        <v>2028</v>
      </c>
      <c r="E83" s="481">
        <v>0.1</v>
      </c>
      <c r="F83" s="481">
        <v>15</v>
      </c>
    </row>
    <row r="84" spans="1:6" ht="24">
      <c r="A84" s="481">
        <v>12</v>
      </c>
      <c r="B84" s="3519"/>
      <c r="C84" s="457" t="s">
        <v>2029</v>
      </c>
      <c r="D84" s="457" t="s">
        <v>2030</v>
      </c>
      <c r="E84" s="481">
        <v>0.1</v>
      </c>
      <c r="F84" s="481">
        <v>15</v>
      </c>
    </row>
    <row r="85" spans="1:6" ht="24">
      <c r="A85" s="481">
        <v>13</v>
      </c>
      <c r="B85" s="3519"/>
      <c r="C85" s="457" t="s">
        <v>2031</v>
      </c>
      <c r="D85" s="457" t="s">
        <v>2032</v>
      </c>
      <c r="E85" s="481">
        <v>0.1</v>
      </c>
      <c r="F85" s="481">
        <v>15</v>
      </c>
    </row>
    <row r="86" spans="1:6" ht="24">
      <c r="A86" s="481">
        <v>14</v>
      </c>
      <c r="B86" s="3519"/>
      <c r="C86" s="457" t="s">
        <v>2033</v>
      </c>
      <c r="D86" s="457" t="s">
        <v>2034</v>
      </c>
      <c r="E86" s="481">
        <v>0.1</v>
      </c>
      <c r="F86" s="481">
        <v>15</v>
      </c>
    </row>
    <row r="87" spans="1:6" ht="24">
      <c r="A87" s="481">
        <v>15</v>
      </c>
      <c r="B87" s="3519"/>
      <c r="C87" s="457" t="s">
        <v>2035</v>
      </c>
      <c r="D87" s="457" t="s">
        <v>2036</v>
      </c>
      <c r="E87" s="481">
        <v>0.1</v>
      </c>
      <c r="F87" s="481">
        <v>15</v>
      </c>
    </row>
    <row r="88" spans="1:6" ht="24">
      <c r="A88" s="481">
        <v>16</v>
      </c>
      <c r="B88" s="3519"/>
      <c r="C88" s="457" t="s">
        <v>2037</v>
      </c>
      <c r="D88" s="457" t="s">
        <v>2038</v>
      </c>
      <c r="E88" s="481">
        <v>0.1</v>
      </c>
      <c r="F88" s="481">
        <v>15</v>
      </c>
    </row>
    <row r="89" spans="1:6" ht="24">
      <c r="A89" s="481">
        <v>17</v>
      </c>
      <c r="B89" s="3518"/>
      <c r="C89" s="457" t="s">
        <v>2039</v>
      </c>
      <c r="D89" s="457" t="s">
        <v>2040</v>
      </c>
      <c r="E89" s="481">
        <v>0.1</v>
      </c>
      <c r="F89" s="481">
        <v>15</v>
      </c>
    </row>
    <row r="90" spans="1:6" ht="14.4">
      <c r="A90" s="481">
        <v>18</v>
      </c>
      <c r="B90" s="3517" t="s">
        <v>2041</v>
      </c>
      <c r="C90" s="457" t="s">
        <v>2042</v>
      </c>
      <c r="D90" s="457" t="s">
        <v>2043</v>
      </c>
      <c r="E90" s="481">
        <v>0.2</v>
      </c>
      <c r="F90" s="481">
        <v>25</v>
      </c>
    </row>
    <row r="91" spans="1:6" ht="24">
      <c r="A91" s="481">
        <v>19</v>
      </c>
      <c r="B91" s="3519"/>
      <c r="C91" s="457" t="s">
        <v>2044</v>
      </c>
      <c r="D91" s="457" t="s">
        <v>2045</v>
      </c>
      <c r="E91" s="481">
        <v>0.2</v>
      </c>
      <c r="F91" s="481">
        <v>25</v>
      </c>
    </row>
    <row r="92" spans="1:6" ht="14.4">
      <c r="A92" s="481">
        <v>20</v>
      </c>
      <c r="B92" s="3519"/>
      <c r="C92" s="457" t="s">
        <v>2046</v>
      </c>
      <c r="D92" s="457" t="s">
        <v>2047</v>
      </c>
      <c r="E92" s="481">
        <v>0.15</v>
      </c>
      <c r="F92" s="481">
        <v>20</v>
      </c>
    </row>
    <row r="93" spans="1:6" ht="24">
      <c r="A93" s="481">
        <v>21</v>
      </c>
      <c r="B93" s="3519"/>
      <c r="C93" s="457" t="s">
        <v>2048</v>
      </c>
      <c r="D93" s="457" t="s">
        <v>2049</v>
      </c>
      <c r="E93" s="481">
        <v>0.15</v>
      </c>
      <c r="F93" s="481">
        <v>20</v>
      </c>
    </row>
    <row r="94" spans="1:6" ht="24">
      <c r="A94" s="481">
        <v>22</v>
      </c>
      <c r="B94" s="3519"/>
      <c r="C94" s="457" t="s">
        <v>2050</v>
      </c>
      <c r="D94" s="457" t="s">
        <v>2051</v>
      </c>
      <c r="E94" s="481">
        <v>0.15</v>
      </c>
      <c r="F94" s="481">
        <v>20</v>
      </c>
    </row>
    <row r="95" spans="1:6" ht="36">
      <c r="A95" s="481">
        <v>23</v>
      </c>
      <c r="B95" s="3519"/>
      <c r="C95" s="457" t="s">
        <v>2052</v>
      </c>
      <c r="D95" s="457" t="s">
        <v>2053</v>
      </c>
      <c r="E95" s="481">
        <v>0.15</v>
      </c>
      <c r="F95" s="481">
        <v>20</v>
      </c>
    </row>
    <row r="96" spans="1:6" ht="24">
      <c r="A96" s="481">
        <v>24</v>
      </c>
      <c r="B96" s="3519"/>
      <c r="C96" s="457" t="s">
        <v>2054</v>
      </c>
      <c r="D96" s="457" t="s">
        <v>2055</v>
      </c>
      <c r="E96" s="481">
        <v>0.1</v>
      </c>
      <c r="F96" s="481">
        <v>15</v>
      </c>
    </row>
    <row r="97" spans="1:6" ht="24">
      <c r="A97" s="481">
        <v>25</v>
      </c>
      <c r="B97" s="3519"/>
      <c r="C97" s="457" t="s">
        <v>2056</v>
      </c>
      <c r="D97" s="457" t="s">
        <v>2057</v>
      </c>
      <c r="E97" s="481">
        <v>0.1</v>
      </c>
      <c r="F97" s="481">
        <v>15</v>
      </c>
    </row>
    <row r="98" spans="1:6" ht="24">
      <c r="A98" s="481">
        <v>26</v>
      </c>
      <c r="B98" s="3519"/>
      <c r="C98" s="457" t="s">
        <v>2058</v>
      </c>
      <c r="D98" s="457" t="s">
        <v>2059</v>
      </c>
      <c r="E98" s="481">
        <v>0.1</v>
      </c>
      <c r="F98" s="481">
        <v>15</v>
      </c>
    </row>
    <row r="99" spans="1:6" ht="24">
      <c r="A99" s="481">
        <v>27</v>
      </c>
      <c r="B99" s="3519"/>
      <c r="C99" s="457" t="s">
        <v>2060</v>
      </c>
      <c r="D99" s="457" t="s">
        <v>2061</v>
      </c>
      <c r="E99" s="481">
        <v>0.1</v>
      </c>
      <c r="F99" s="481">
        <v>15</v>
      </c>
    </row>
    <row r="100" spans="1:6" ht="24">
      <c r="A100" s="481">
        <v>28</v>
      </c>
      <c r="B100" s="3519"/>
      <c r="C100" s="457" t="s">
        <v>2062</v>
      </c>
      <c r="D100" s="457" t="s">
        <v>2063</v>
      </c>
      <c r="E100" s="481">
        <v>0.1</v>
      </c>
      <c r="F100" s="481">
        <v>15</v>
      </c>
    </row>
    <row r="101" spans="1:6" ht="24">
      <c r="A101" s="481">
        <v>29</v>
      </c>
      <c r="B101" s="3519"/>
      <c r="C101" s="457" t="s">
        <v>2064</v>
      </c>
      <c r="D101" s="457" t="s">
        <v>2065</v>
      </c>
      <c r="E101" s="481">
        <v>0.1</v>
      </c>
      <c r="F101" s="481">
        <v>15</v>
      </c>
    </row>
    <row r="102" spans="1:6" ht="24">
      <c r="A102" s="481">
        <v>30</v>
      </c>
      <c r="B102" s="3519"/>
      <c r="C102" s="457" t="s">
        <v>2066</v>
      </c>
      <c r="D102" s="457" t="s">
        <v>2067</v>
      </c>
      <c r="E102" s="481">
        <v>0.1</v>
      </c>
      <c r="F102" s="481">
        <v>15</v>
      </c>
    </row>
    <row r="103" spans="1:6" ht="24">
      <c r="A103" s="481">
        <v>31</v>
      </c>
      <c r="B103" s="3519"/>
      <c r="C103" s="457" t="s">
        <v>2068</v>
      </c>
      <c r="D103" s="457" t="s">
        <v>2069</v>
      </c>
      <c r="E103" s="481">
        <v>0.1</v>
      </c>
      <c r="F103" s="481">
        <v>15</v>
      </c>
    </row>
    <row r="104" spans="1:6" ht="24">
      <c r="A104" s="481">
        <v>32</v>
      </c>
      <c r="B104" s="3519"/>
      <c r="C104" s="457" t="s">
        <v>2070</v>
      </c>
      <c r="D104" s="457" t="s">
        <v>2071</v>
      </c>
      <c r="E104" s="481">
        <v>0.1</v>
      </c>
      <c r="F104" s="481">
        <v>15</v>
      </c>
    </row>
    <row r="105" spans="1:6" ht="24">
      <c r="A105" s="481">
        <v>33</v>
      </c>
      <c r="B105" s="3519"/>
      <c r="C105" s="457" t="s">
        <v>2072</v>
      </c>
      <c r="D105" s="457" t="s">
        <v>2073</v>
      </c>
      <c r="E105" s="481">
        <v>0.1</v>
      </c>
      <c r="F105" s="481">
        <v>15</v>
      </c>
    </row>
    <row r="106" spans="1:6" ht="24">
      <c r="A106" s="481">
        <v>34</v>
      </c>
      <c r="B106" s="3518"/>
      <c r="C106" s="457" t="s">
        <v>2074</v>
      </c>
      <c r="D106" s="457" t="s">
        <v>2075</v>
      </c>
      <c r="E106" s="481">
        <v>0.1</v>
      </c>
      <c r="F106" s="481">
        <v>15</v>
      </c>
    </row>
    <row r="107" spans="1:6" ht="36">
      <c r="A107" s="481">
        <v>35</v>
      </c>
      <c r="B107" s="3517" t="s">
        <v>2076</v>
      </c>
      <c r="C107" s="481" t="s">
        <v>2077</v>
      </c>
      <c r="D107" s="457" t="s">
        <v>2078</v>
      </c>
      <c r="E107" s="481">
        <v>0.15</v>
      </c>
      <c r="F107" s="481">
        <v>20</v>
      </c>
    </row>
    <row r="108" spans="1:6" ht="24">
      <c r="A108" s="481">
        <v>36</v>
      </c>
      <c r="B108" s="3519"/>
      <c r="C108" s="481" t="s">
        <v>2079</v>
      </c>
      <c r="D108" s="457" t="s">
        <v>2080</v>
      </c>
      <c r="E108" s="481">
        <v>0.15</v>
      </c>
      <c r="F108" s="481">
        <v>20</v>
      </c>
    </row>
    <row r="109" spans="1:6" ht="24">
      <c r="A109" s="481">
        <v>37</v>
      </c>
      <c r="B109" s="3519"/>
      <c r="C109" s="481" t="s">
        <v>2081</v>
      </c>
      <c r="D109" s="457" t="s">
        <v>2082</v>
      </c>
      <c r="E109" s="481">
        <v>0.15</v>
      </c>
      <c r="F109" s="481">
        <v>20</v>
      </c>
    </row>
    <row r="110" spans="1:6" ht="24">
      <c r="A110" s="481">
        <v>38</v>
      </c>
      <c r="B110" s="3519"/>
      <c r="C110" s="481" t="s">
        <v>2083</v>
      </c>
      <c r="D110" s="457" t="s">
        <v>2084</v>
      </c>
      <c r="E110" s="481">
        <v>0.1</v>
      </c>
      <c r="F110" s="481">
        <v>15</v>
      </c>
    </row>
    <row r="111" spans="1:6" ht="24">
      <c r="A111" s="481">
        <v>39</v>
      </c>
      <c r="B111" s="3519"/>
      <c r="C111" s="481" t="s">
        <v>2085</v>
      </c>
      <c r="D111" s="457" t="s">
        <v>2086</v>
      </c>
      <c r="E111" s="481">
        <v>0.1</v>
      </c>
      <c r="F111" s="481">
        <v>15</v>
      </c>
    </row>
    <row r="112" spans="1:6" ht="24">
      <c r="A112" s="481">
        <v>40</v>
      </c>
      <c r="B112" s="3518"/>
      <c r="C112" s="481" t="s">
        <v>2087</v>
      </c>
      <c r="D112" s="457" t="s">
        <v>2088</v>
      </c>
      <c r="E112" s="481">
        <v>0.1</v>
      </c>
      <c r="F112" s="481">
        <v>15</v>
      </c>
    </row>
    <row r="113" spans="1:6" ht="24">
      <c r="A113" s="481">
        <v>41</v>
      </c>
      <c r="B113" s="3516" t="s">
        <v>2089</v>
      </c>
      <c r="C113" s="481" t="s">
        <v>2090</v>
      </c>
      <c r="D113" s="457" t="s">
        <v>2091</v>
      </c>
      <c r="E113" s="481">
        <v>0.1</v>
      </c>
      <c r="F113" s="481">
        <v>15</v>
      </c>
    </row>
    <row r="114" spans="1:6" ht="24">
      <c r="A114" s="481">
        <v>42</v>
      </c>
      <c r="B114" s="3516"/>
      <c r="C114" s="481" t="s">
        <v>2092</v>
      </c>
      <c r="D114" s="457" t="s">
        <v>2093</v>
      </c>
      <c r="E114" s="481">
        <v>0.1</v>
      </c>
      <c r="F114" s="481">
        <v>15</v>
      </c>
    </row>
    <row r="115" spans="1:6" ht="24">
      <c r="A115" s="481">
        <v>43</v>
      </c>
      <c r="B115" s="3516"/>
      <c r="C115" s="481" t="s">
        <v>2094</v>
      </c>
      <c r="D115" s="457" t="s">
        <v>2095</v>
      </c>
      <c r="E115" s="481">
        <v>0.1</v>
      </c>
      <c r="F115" s="481">
        <v>15</v>
      </c>
    </row>
    <row r="116" spans="1:6" ht="24">
      <c r="A116" s="481">
        <v>44</v>
      </c>
      <c r="B116" s="3517" t="s">
        <v>2096</v>
      </c>
      <c r="C116" s="481" t="s">
        <v>2097</v>
      </c>
      <c r="D116" s="457" t="s">
        <v>2098</v>
      </c>
      <c r="E116" s="481">
        <v>0.1</v>
      </c>
      <c r="F116" s="481">
        <v>15</v>
      </c>
    </row>
    <row r="117" spans="1:6" ht="24">
      <c r="A117" s="481">
        <v>45</v>
      </c>
      <c r="B117" s="3518"/>
      <c r="C117" s="457" t="s">
        <v>2099</v>
      </c>
      <c r="D117" s="457" t="s">
        <v>2100</v>
      </c>
      <c r="E117" s="481">
        <v>0.1</v>
      </c>
      <c r="F117" s="481">
        <v>15</v>
      </c>
    </row>
    <row r="118" spans="1:6" ht="24">
      <c r="A118" s="481">
        <v>46</v>
      </c>
      <c r="B118" s="3517" t="s">
        <v>2101</v>
      </c>
      <c r="C118" s="481" t="s">
        <v>2102</v>
      </c>
      <c r="D118" s="457" t="s">
        <v>2103</v>
      </c>
      <c r="E118" s="481">
        <v>0.1</v>
      </c>
      <c r="F118" s="481">
        <v>15</v>
      </c>
    </row>
    <row r="119" spans="1:6" ht="24">
      <c r="A119" s="481">
        <v>47</v>
      </c>
      <c r="B119" s="3518"/>
      <c r="C119" s="481" t="s">
        <v>2104</v>
      </c>
      <c r="D119" s="457" t="s">
        <v>2105</v>
      </c>
      <c r="E119" s="481">
        <v>0.1</v>
      </c>
      <c r="F119" s="481">
        <v>15</v>
      </c>
    </row>
    <row r="120" spans="1:6" ht="24">
      <c r="A120" s="481">
        <v>48</v>
      </c>
      <c r="B120" s="3517" t="s">
        <v>2106</v>
      </c>
      <c r="C120" s="481" t="s">
        <v>2107</v>
      </c>
      <c r="D120" s="457" t="s">
        <v>2108</v>
      </c>
      <c r="E120" s="481">
        <v>0.1</v>
      </c>
      <c r="F120" s="481">
        <v>15</v>
      </c>
    </row>
    <row r="121" spans="1:6" ht="24">
      <c r="A121" s="481">
        <v>49</v>
      </c>
      <c r="B121" s="3518"/>
      <c r="C121" s="481" t="s">
        <v>2109</v>
      </c>
      <c r="D121" s="457" t="s">
        <v>2110</v>
      </c>
      <c r="E121" s="481">
        <v>0.1</v>
      </c>
      <c r="F121" s="481">
        <v>15</v>
      </c>
    </row>
    <row r="122" spans="1:6" ht="24">
      <c r="A122" s="481">
        <v>50</v>
      </c>
      <c r="B122" s="3516" t="s">
        <v>2111</v>
      </c>
      <c r="C122" s="481" t="s">
        <v>2112</v>
      </c>
      <c r="D122" s="457" t="s">
        <v>2113</v>
      </c>
      <c r="E122" s="481">
        <v>0.1</v>
      </c>
      <c r="F122" s="481">
        <v>15</v>
      </c>
    </row>
    <row r="123" spans="1:6" ht="24">
      <c r="A123" s="481">
        <v>51</v>
      </c>
      <c r="B123" s="3516"/>
      <c r="C123" s="481" t="s">
        <v>2114</v>
      </c>
      <c r="D123" s="457" t="s">
        <v>2115</v>
      </c>
      <c r="E123" s="481">
        <v>0.1</v>
      </c>
      <c r="F123" s="481">
        <v>15</v>
      </c>
    </row>
    <row r="124" spans="1:6" ht="24">
      <c r="A124" s="481">
        <v>52</v>
      </c>
      <c r="B124" s="3516" t="s">
        <v>2116</v>
      </c>
      <c r="C124" s="481" t="s">
        <v>2117</v>
      </c>
      <c r="D124" s="457" t="s">
        <v>2118</v>
      </c>
      <c r="E124" s="481">
        <v>0.1</v>
      </c>
      <c r="F124" s="481">
        <v>15</v>
      </c>
    </row>
    <row r="125" spans="1:6" ht="24">
      <c r="A125" s="481">
        <v>53</v>
      </c>
      <c r="B125" s="3516"/>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16" t="s">
        <v>2124</v>
      </c>
      <c r="C127" s="481" t="s">
        <v>2125</v>
      </c>
      <c r="D127" s="457" t="s">
        <v>2126</v>
      </c>
      <c r="E127" s="481">
        <v>0.1</v>
      </c>
      <c r="F127" s="481">
        <v>15</v>
      </c>
    </row>
    <row r="128" spans="1:6" ht="24">
      <c r="A128" s="481">
        <v>56</v>
      </c>
      <c r="B128" s="3516"/>
      <c r="C128" s="481" t="s">
        <v>2127</v>
      </c>
      <c r="D128" s="457" t="s">
        <v>2128</v>
      </c>
      <c r="E128" s="481">
        <v>0.1</v>
      </c>
      <c r="F128" s="481">
        <v>15</v>
      </c>
    </row>
    <row r="129" spans="1:6" ht="24">
      <c r="A129" s="481">
        <v>57</v>
      </c>
      <c r="B129" s="3516"/>
      <c r="C129" s="481" t="s">
        <v>2129</v>
      </c>
      <c r="D129" s="457" t="s">
        <v>2130</v>
      </c>
      <c r="E129" s="481">
        <v>0.1</v>
      </c>
      <c r="F129" s="481">
        <v>15</v>
      </c>
    </row>
    <row r="130" spans="1:6" ht="24">
      <c r="A130" s="481">
        <v>58</v>
      </c>
      <c r="B130" s="3516" t="s">
        <v>2131</v>
      </c>
      <c r="C130" s="481" t="s">
        <v>2132</v>
      </c>
      <c r="D130" s="457" t="s">
        <v>2133</v>
      </c>
      <c r="E130" s="481">
        <v>0.1</v>
      </c>
      <c r="F130" s="481">
        <v>15</v>
      </c>
    </row>
    <row r="131" spans="1:6" ht="24">
      <c r="A131" s="481">
        <v>59</v>
      </c>
      <c r="B131" s="3516"/>
      <c r="C131" s="481" t="s">
        <v>2134</v>
      </c>
      <c r="D131" s="457" t="s">
        <v>2135</v>
      </c>
      <c r="E131" s="481">
        <v>0.1</v>
      </c>
      <c r="F131" s="481">
        <v>15</v>
      </c>
    </row>
    <row r="132" spans="1:6" ht="24">
      <c r="A132" s="481">
        <v>60</v>
      </c>
      <c r="B132" s="3517" t="s">
        <v>2136</v>
      </c>
      <c r="C132" s="481" t="s">
        <v>2137</v>
      </c>
      <c r="D132" s="457" t="s">
        <v>2138</v>
      </c>
      <c r="E132" s="481">
        <v>0.1</v>
      </c>
      <c r="F132" s="481">
        <v>15</v>
      </c>
    </row>
    <row r="133" spans="1:6" ht="24">
      <c r="A133" s="481">
        <v>61</v>
      </c>
      <c r="B133" s="3518"/>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16" t="s">
        <v>2144</v>
      </c>
      <c r="C135" s="481" t="s">
        <v>2145</v>
      </c>
      <c r="D135" s="457" t="s">
        <v>2146</v>
      </c>
      <c r="E135" s="481">
        <v>0.1</v>
      </c>
      <c r="F135" s="481">
        <v>15</v>
      </c>
    </row>
    <row r="136" spans="1:6" ht="24">
      <c r="A136" s="481">
        <v>64</v>
      </c>
      <c r="B136" s="3516"/>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27639</v>
      </c>
      <c r="C2" s="347" t="s">
        <v>1445</v>
      </c>
      <c r="D2" s="344"/>
      <c r="E2" s="344"/>
      <c r="F2" s="344"/>
      <c r="G2" s="344"/>
    </row>
    <row r="3" spans="1:7" s="333" customFormat="1" ht="18" customHeight="1">
      <c r="A3" s="348" t="s">
        <v>2166</v>
      </c>
      <c r="B3" s="349">
        <f ca="1">ROUND(B2*10000/'数据-汇总表'!E3,0)</f>
        <v>1347587</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4</v>
      </c>
      <c r="D10" s="371">
        <f>'数据-汇总表'!E6</f>
        <v>205.1</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4</v>
      </c>
      <c r="D19" s="356">
        <f>'数据-汇总表'!E3</f>
        <v>205.1</v>
      </c>
      <c r="E19" s="355">
        <f>'数据-取费表'!B31</f>
        <v>200</v>
      </c>
      <c r="F19" s="377"/>
      <c r="G19" s="367" t="s">
        <v>2188</v>
      </c>
    </row>
    <row r="20" spans="1:7" s="335" customFormat="1" ht="13.5" customHeight="1">
      <c r="A20" s="376" t="s">
        <v>1776</v>
      </c>
      <c r="B20" s="354" t="s">
        <v>2189</v>
      </c>
      <c r="C20" s="378">
        <f>ROUND((C5+C19)*F20,0)</f>
        <v>412</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1267</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0</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3154</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3154</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27539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92</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82</v>
      </c>
      <c r="D34" s="361"/>
      <c r="E34" s="364"/>
      <c r="F34" s="407">
        <f>IF('数据-取费表'!B24=0,1,'数据-取费表'!N16)</f>
        <v>1</v>
      </c>
      <c r="G34" s="363" t="s">
        <v>2215</v>
      </c>
    </row>
    <row r="35" spans="1:7" ht="13.5" customHeight="1">
      <c r="A35" s="386" t="s">
        <v>1007</v>
      </c>
      <c r="B35" s="359" t="s">
        <v>2216</v>
      </c>
      <c r="C35" s="364">
        <f>ROUND(C34*F35,0)</f>
        <v>4</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4</v>
      </c>
      <c r="D37" s="361">
        <f>'数据-汇总表'!E3</f>
        <v>205.1</v>
      </c>
      <c r="E37" s="399">
        <f>'数据-取费表'!B35</f>
        <v>200</v>
      </c>
      <c r="F37" s="408"/>
      <c r="G37" s="410" t="s">
        <v>2221</v>
      </c>
    </row>
    <row r="38" spans="1:7" ht="13.5" customHeight="1">
      <c r="A38" s="386" t="s">
        <v>1071</v>
      </c>
      <c r="B38" s="359" t="s">
        <v>2179</v>
      </c>
      <c r="C38" s="364">
        <f>ROUND(C34*F38,0)</f>
        <v>2</v>
      </c>
      <c r="D38" s="364"/>
      <c r="E38" s="364"/>
      <c r="F38" s="408">
        <f>'数据-取费表'!B36</f>
        <v>0.02</v>
      </c>
      <c r="G38" s="363" t="s">
        <v>2217</v>
      </c>
    </row>
    <row r="39" spans="1:7" s="335" customFormat="1" ht="13.5" customHeight="1">
      <c r="A39" s="376" t="s">
        <v>1740</v>
      </c>
      <c r="B39" s="354" t="s">
        <v>2189</v>
      </c>
      <c r="C39" s="378">
        <f>ROUND(C33*F20,0)</f>
        <v>2</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3</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3</v>
      </c>
      <c r="D42" s="388"/>
      <c r="E42" s="388"/>
      <c r="F42" s="389"/>
      <c r="G42" s="3391" t="s">
        <v>2225</v>
      </c>
    </row>
    <row r="43" spans="1:7" ht="13.5" customHeight="1">
      <c r="A43" s="386" t="s">
        <v>1007</v>
      </c>
      <c r="B43" s="359" t="s">
        <v>2197</v>
      </c>
      <c r="C43" s="388">
        <f ca="1">ROUND(IF('数据-取费表'!B22&lt;=1,C39*F22*'数据-取费表'!B21/2,C39*(POWER((1+F22),'数据-取费表'!B21/2)-1)),0)</f>
        <v>0</v>
      </c>
      <c r="D43" s="388"/>
      <c r="E43" s="388"/>
      <c r="F43" s="389"/>
      <c r="G43" s="3392"/>
    </row>
    <row r="44" spans="1:7" ht="13.5" customHeight="1">
      <c r="A44" s="386" t="s">
        <v>1009</v>
      </c>
      <c r="B44" s="359" t="s">
        <v>2199</v>
      </c>
      <c r="C44" s="388">
        <f ca="1">ROUND(IF('数据-取费表'!B22&lt;=1,C40*F22*'数据-取费表'!B21/2,C40*(POWER((1+F22),'数据-取费表'!B21/2)-1)),4)</f>
        <v>5.9999999999999995E-4</v>
      </c>
      <c r="D44" s="388"/>
      <c r="E44" s="388"/>
      <c r="F44" s="389"/>
      <c r="G44" s="3393"/>
    </row>
    <row r="45" spans="1:7" s="335" customFormat="1" ht="13.5" customHeight="1">
      <c r="A45" s="376" t="s">
        <v>1790</v>
      </c>
      <c r="B45" s="394" t="s">
        <v>2202</v>
      </c>
      <c r="C45" s="395">
        <f>C46</f>
        <v>14</v>
      </c>
      <c r="D45" s="381">
        <f>C47</f>
        <v>3.0000000000000001E-3</v>
      </c>
      <c r="E45" s="382" t="s">
        <v>2223</v>
      </c>
      <c r="F45" s="396"/>
      <c r="G45" s="397" t="s">
        <v>2226</v>
      </c>
    </row>
    <row r="46" spans="1:7" s="335" customFormat="1" ht="13.5" customHeight="1">
      <c r="A46" s="386" t="s">
        <v>1005</v>
      </c>
      <c r="B46" s="398" t="s">
        <v>2227</v>
      </c>
      <c r="C46" s="399">
        <f>ROUND((C33+C39)*F27,0)</f>
        <v>14</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120</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100</v>
      </c>
      <c r="D51" s="378"/>
      <c r="E51" s="378"/>
      <c r="F51" s="413"/>
      <c r="G51" s="383" t="s">
        <v>2238</v>
      </c>
    </row>
    <row r="52" spans="1:7" s="334" customFormat="1" ht="16.2">
      <c r="A52" s="414" t="s">
        <v>2239</v>
      </c>
      <c r="B52" s="415"/>
      <c r="C52" s="416">
        <f ca="1">C31+C51</f>
        <v>27639</v>
      </c>
      <c r="D52" s="415"/>
      <c r="E52" s="415"/>
      <c r="F52" s="415"/>
      <c r="G52" s="417"/>
    </row>
    <row r="55" spans="1:7" ht="15">
      <c r="B55" s="418" t="s">
        <v>2240</v>
      </c>
      <c r="C55" s="419"/>
    </row>
    <row r="56" spans="1:7">
      <c r="B56" s="420" t="s">
        <v>2241</v>
      </c>
      <c r="C56" s="421">
        <f ca="1">ROUND(C51/C52,3)</f>
        <v>4.0000000000000001E-3</v>
      </c>
    </row>
    <row r="57" spans="1:7">
      <c r="B57" s="420" t="s">
        <v>2242</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7.399999999999999">
      <c r="A3" s="3216" t="str">
        <f>IF(项目基本情况!B9="房地产市场价值","估价结果一览表（市场价值不需“结果表-1”）","估价结果一览表")</f>
        <v>估价结果一览表</v>
      </c>
      <c r="B3" s="3216"/>
      <c r="C3" s="3216"/>
      <c r="D3" s="3216"/>
      <c r="E3" s="3216"/>
    </row>
    <row r="4" spans="1:5" ht="17.399999999999999">
      <c r="A4" s="3127"/>
      <c r="B4" s="3217" t="s">
        <v>95</v>
      </c>
      <c r="C4" s="3217"/>
      <c r="D4" s="3217"/>
      <c r="E4" s="3127"/>
    </row>
    <row r="5" spans="1:5" ht="15.6">
      <c r="B5" s="3209" t="s">
        <v>96</v>
      </c>
      <c r="C5" s="3128" t="s">
        <v>97</v>
      </c>
      <c r="D5" s="3129">
        <f ca="1">结果表101!H101</f>
        <v>494</v>
      </c>
    </row>
    <row r="6" spans="1:5" ht="15.6">
      <c r="B6" s="3209"/>
      <c r="C6" s="3128" t="s">
        <v>98</v>
      </c>
      <c r="D6" s="3129" t="str">
        <f ca="1">NUMBERSTRING(INT(D5*10000),2)&amp;"元整"</f>
        <v>肆佰玖拾肆万元整</v>
      </c>
    </row>
    <row r="7" spans="1:5" ht="15.6">
      <c r="B7" s="3210"/>
      <c r="C7" s="3130" t="s">
        <v>99</v>
      </c>
      <c r="D7" s="3131">
        <f ca="1">结果表101!H102</f>
        <v>37557</v>
      </c>
    </row>
    <row r="8" spans="1:5" ht="15.6">
      <c r="B8" s="3211" t="str">
        <f>结果表101!E103</f>
        <v>2.估价师知悉的法定优先受偿款</v>
      </c>
      <c r="C8" s="3132" t="s">
        <v>100</v>
      </c>
      <c r="D8" s="3131">
        <f>结果表101!H103</f>
        <v>0</v>
      </c>
    </row>
    <row r="9" spans="1:5" ht="15.6">
      <c r="B9" s="3213"/>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8" t="str">
        <f>结果表101!E107</f>
        <v>3.房地产抵押价值</v>
      </c>
      <c r="C13" s="3136" t="s">
        <v>97</v>
      </c>
      <c r="D13" s="3137">
        <f ca="1">结果表101!H107</f>
        <v>494</v>
      </c>
    </row>
    <row r="14" spans="1:5" ht="15.6">
      <c r="B14" s="3209"/>
      <c r="C14" s="3128" t="s">
        <v>98</v>
      </c>
      <c r="D14" s="3129" t="str">
        <f ca="1">NUMBERSTRING(INT(D13*10000),2)&amp;"元整"</f>
        <v>肆佰玖拾肆万元整</v>
      </c>
    </row>
    <row r="15" spans="1:5" ht="15.6">
      <c r="B15" s="3210"/>
      <c r="C15" s="3130" t="s">
        <v>99</v>
      </c>
      <c r="D15" s="3138">
        <f ca="1">结果表101!H108</f>
        <v>37557</v>
      </c>
    </row>
    <row r="16" spans="1:5" ht="15.6">
      <c r="B16" s="3211" t="str">
        <f>结果表101!E109</f>
        <v>——</v>
      </c>
      <c r="C16" s="3136" t="s">
        <v>97</v>
      </c>
      <c r="D16" s="3139" t="str">
        <f>结果表101!H109</f>
        <v>——</v>
      </c>
    </row>
    <row r="17" spans="1:5" ht="15.6">
      <c r="B17" s="3212"/>
      <c r="C17" s="3128" t="s">
        <v>98</v>
      </c>
      <c r="D17" s="3129" t="e">
        <f>NUMBERSTRING(INT(D16*10000),2)&amp;"元整"</f>
        <v>#VALUE!</v>
      </c>
    </row>
    <row r="18" spans="1:5" ht="15.6">
      <c r="B18" s="3213"/>
      <c r="C18" s="3130" t="s">
        <v>99</v>
      </c>
      <c r="D18" s="3138" t="str">
        <f>结果表101!H110</f>
        <v>——</v>
      </c>
    </row>
    <row r="19" spans="1:5" ht="15.6">
      <c r="B19" s="3208" t="str">
        <f>结果表101!E111</f>
        <v>——</v>
      </c>
      <c r="C19" s="3136" t="s">
        <v>97</v>
      </c>
      <c r="D19" s="3131" t="str">
        <f>结果表101!H111</f>
        <v>——</v>
      </c>
    </row>
    <row r="20" spans="1:5" ht="15.6">
      <c r="B20" s="3209"/>
      <c r="C20" s="3128" t="s">
        <v>98</v>
      </c>
      <c r="D20" s="3129" t="e">
        <f>NUMBERSTRING(INT(D19*10000),2)&amp;"元整"</f>
        <v>#VALUE!</v>
      </c>
    </row>
    <row r="21" spans="1:5" ht="15.6">
      <c r="B21" s="3214"/>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8" t="s">
        <v>2243</v>
      </c>
      <c r="B1" s="3528"/>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9" t="s">
        <v>2625</v>
      </c>
      <c r="B1" s="3529"/>
      <c r="C1" s="3529"/>
      <c r="D1" s="3529"/>
      <c r="E1" s="3529"/>
      <c r="F1" s="3530"/>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1860-B871-4443-87A9-86EDB566710E}">
  <sheetPr>
    <tabColor rgb="FFFF0000"/>
  </sheetPr>
  <dimension ref="A1:AJ512"/>
  <sheetViews>
    <sheetView view="pageBreakPreview" topLeftCell="A109" zoomScaleNormal="100" zoomScaleSheetLayoutView="100" zoomScalePageLayoutView="80" workbookViewId="0">
      <selection activeCell="S54" sqref="S5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103</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2849</v>
      </c>
      <c r="D4" s="2121" t="s">
        <v>2852</v>
      </c>
      <c r="E4" s="3376" t="s">
        <v>782</v>
      </c>
      <c r="F4" s="3377"/>
      <c r="G4" s="3377"/>
      <c r="H4" s="3377"/>
      <c r="I4" s="3378"/>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30.61</v>
      </c>
      <c r="M18" s="1855">
        <f>IF(C1="",'数据-汇总表'!E3,SUMIF(项目类型,C1,'数据-汇总表'!E17:E26))</f>
        <v>30.61</v>
      </c>
    </row>
    <row r="19" spans="1:36" ht="14.4">
      <c r="A19" s="1129" t="s">
        <v>805</v>
      </c>
      <c r="B19" s="2132" t="s">
        <v>806</v>
      </c>
      <c r="C19" s="2133">
        <f ca="1">SUMIF(INDIRECT("'"&amp;C4&amp;"'"&amp;"!A:A"),结果表103!B19,INDIRECT("'"&amp;C4&amp;"'"&amp;"!B:B"))</f>
        <v>123.0063</v>
      </c>
      <c r="D19" s="1245">
        <f ca="1">SUMIF(INDIRECT("'"&amp;D4&amp;"'"&amp;"!A:A"),结果表103!B19,INDIRECT("'"&amp;D4&amp;"'"&amp;"!B:B"))</f>
        <v>101.15</v>
      </c>
      <c r="E19" s="1129" t="s">
        <v>807</v>
      </c>
      <c r="F19" s="2132" t="s">
        <v>806</v>
      </c>
      <c r="G19" s="2134">
        <f ca="1">ROUND(C19*$C$18+D19*$D$18,0)</f>
        <v>114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SUMIF(INDIRECT("'"&amp;C4&amp;"'"&amp;"!A:A"),结果表103!B20,INDIRECT("'"&amp;C4&amp;"'"&amp;"!B:B"))</f>
        <v>40185</v>
      </c>
      <c r="D20" s="1602">
        <f ca="1">SUMIF(INDIRECT("'"&amp;D4&amp;"'"&amp;"!A:A"),结果表103!B20,INDIRECT("'"&amp;D4&amp;"'"&amp;"!B:B"))</f>
        <v>33045</v>
      </c>
      <c r="E20" s="2136"/>
      <c r="F20" s="2137" t="s">
        <v>809</v>
      </c>
      <c r="G20" s="2138">
        <f ca="1">ROUND(C20*$C$18+D20*$D$18,0)</f>
        <v>37329</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0.21607810182896681</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37329</v>
      </c>
      <c r="M23" s="3195">
        <f ca="1">ROUND(L23*K23,0)</f>
        <v>4909137</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37329</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30610</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6719</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1142641</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1142641</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1142641</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11426</v>
      </c>
      <c r="R51" s="1417" t="str">
        <f>N53</f>
        <v>销售额×税（费）率</v>
      </c>
      <c r="S51" s="3197">
        <v>0.01</v>
      </c>
    </row>
    <row r="52" spans="1:35" ht="24" customHeight="1">
      <c r="A52" s="2225" t="s">
        <v>870</v>
      </c>
      <c r="B52" s="3336" t="s">
        <v>871</v>
      </c>
      <c r="C52" s="3336"/>
      <c r="D52" s="1904">
        <f ca="1">ROUND(D45*'数据-取费表'!B41/(1+'数据-取费表'!C42),0)</f>
        <v>59853</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59853</v>
      </c>
      <c r="E53" s="1908" t="s">
        <v>872</v>
      </c>
      <c r="F53" s="2226">
        <f>'数据-取费表'!B41</f>
        <v>5.5000000000000007E-2</v>
      </c>
      <c r="G53" s="2227"/>
      <c r="H53" s="2019"/>
      <c r="I53" s="2256"/>
      <c r="J53" s="576">
        <v>2</v>
      </c>
      <c r="K53" s="3356" t="s">
        <v>876</v>
      </c>
      <c r="L53" s="3356"/>
      <c r="M53" s="2257">
        <f t="shared" ref="M53:O54" ca="1" si="1">D55</f>
        <v>571</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34279</v>
      </c>
      <c r="Q54" s="3201">
        <f ca="1">P54+N57+Q51</f>
        <v>46276</v>
      </c>
      <c r="R54" s="3199"/>
      <c r="S54" s="2270" t="str">
        <f ca="1">NUMBERSTRING(INT(Q54),2)&amp;"元整"</f>
        <v>肆万陆仟贰佰柒拾陆元整</v>
      </c>
    </row>
    <row r="55" spans="1:35" ht="24" customHeight="1">
      <c r="A55" s="3361" t="s">
        <v>881</v>
      </c>
      <c r="B55" s="3362"/>
      <c r="C55" s="3362"/>
      <c r="D55" s="2229">
        <f ca="1">IF(H55="个人住宅",0,ROUND(D45*I55,0))</f>
        <v>571</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1108362</v>
      </c>
      <c r="Q55" s="3201">
        <f ca="1">ROUND(M49-Q54,0)</f>
        <v>1096365</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36209</v>
      </c>
      <c r="Q56" s="3201">
        <f ca="1">ROUND(Q55/B118,0)</f>
        <v>35817</v>
      </c>
      <c r="R56" s="3199"/>
    </row>
    <row r="57" spans="1:35" ht="13.2">
      <c r="A57" s="2225" t="s">
        <v>856</v>
      </c>
      <c r="B57" s="3335" t="s">
        <v>887</v>
      </c>
      <c r="C57" s="3352"/>
      <c r="D57" s="2218">
        <v>0</v>
      </c>
      <c r="E57" s="1914" t="s">
        <v>858</v>
      </c>
      <c r="F57" s="1855"/>
      <c r="G57" s="2227"/>
      <c r="H57" s="2232"/>
      <c r="I57" s="2239"/>
      <c r="J57" s="3356">
        <f>IF(AND(J55="",J56=""),4,IF(项目基本情况!K6="上海银行",结果表103!J56+1,结果表103!J55+1))</f>
        <v>4</v>
      </c>
      <c r="K57" s="3356" t="s">
        <v>888</v>
      </c>
      <c r="L57" s="2264" t="s">
        <v>889</v>
      </c>
      <c r="M57" s="2265"/>
      <c r="N57" s="2266">
        <f ca="1">SUMIF(M52:M56,"&lt;9e307")</f>
        <v>571</v>
      </c>
      <c r="O57" s="2267"/>
      <c r="P57" s="2268">
        <f ca="1">N57/M49</f>
        <v>4.9971950945222512E-4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伍佰柒拾壹万元整</v>
      </c>
      <c r="O58" s="2271"/>
      <c r="P58" s="2270" t="str">
        <f ca="1">NUMBERSTRING(INT(P55),2)&amp;"元整"</f>
        <v>壹佰壹拾万捌仟叁佰陆拾贰元整</v>
      </c>
      <c r="Q58" s="2270" t="str">
        <f ca="1">NUMBERSTRING(INT(Q55),2)&amp;"元整"</f>
        <v>壹佰零玖万陆仟叁佰陆拾伍元整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1142070</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壹佰壹拾肆亿贰仟零柒拾万元整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55683569</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1088229.5238000001</v>
      </c>
      <c r="D63" s="586"/>
      <c r="E63" s="2243"/>
      <c r="F63" s="2239"/>
      <c r="G63" s="2239"/>
      <c r="H63" s="1459"/>
      <c r="I63" s="1458"/>
      <c r="J63" s="3359" t="s">
        <v>902</v>
      </c>
      <c r="K63" s="2278" t="s">
        <v>903</v>
      </c>
      <c r="L63" s="2278">
        <f ca="1">IF(M49&gt;10000,M49*0.5%,IF(AND(M49&gt;1000,M49&lt;=10000),M49*1%,IF(AND(M49&gt;100,M49&lt;=1000),M49*3%,IF(AND(M49&gt;10,M49&lt;=100),M49*5%,M49*8%))))</f>
        <v>5713.2049999999999</v>
      </c>
      <c r="M63" s="1855">
        <f ca="1">ROUND(L63,1)</f>
        <v>5713.2</v>
      </c>
      <c r="N63" s="2279"/>
      <c r="Z63" s="2113"/>
      <c r="AI63" s="2114"/>
    </row>
    <row r="64" spans="1:35" ht="14.25" customHeight="1">
      <c r="A64" s="2244" t="s">
        <v>904</v>
      </c>
      <c r="B64" s="509" t="s">
        <v>905</v>
      </c>
      <c r="C64" s="2245">
        <f ca="1">D45</f>
        <v>1142641</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5713.2049999999999</v>
      </c>
      <c r="M64" s="1855">
        <f t="shared" ref="M64:M65" ca="1" si="2">ROUND(L64,1)</f>
        <v>5713.2</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1142.6410000000001</v>
      </c>
      <c r="M65" s="1855">
        <f t="shared" ca="1" si="2"/>
        <v>1142.5999999999999</v>
      </c>
      <c r="N65" s="2019" t="s">
        <v>907</v>
      </c>
      <c r="Z65" s="2113"/>
      <c r="AI65" s="2114"/>
    </row>
    <row r="66" spans="1:35" ht="14.25" customHeight="1">
      <c r="A66" s="2241" t="s">
        <v>911</v>
      </c>
      <c r="B66" s="2282" t="s">
        <v>912</v>
      </c>
      <c r="C66" s="2283">
        <f>ROUND('数据-取费表'!U21/1.05,0)</f>
        <v>1346594</v>
      </c>
      <c r="D66" s="2282" t="s">
        <v>124</v>
      </c>
      <c r="E66" s="2284" t="s">
        <v>913</v>
      </c>
      <c r="F66" s="2239"/>
      <c r="G66" s="2239"/>
      <c r="H66" s="1459"/>
      <c r="I66" s="1458"/>
      <c r="J66" s="3359"/>
      <c r="K66" s="2278" t="s">
        <v>914</v>
      </c>
      <c r="L66" s="2278">
        <f ca="1">M49*0.5%</f>
        <v>5713.2049999999999</v>
      </c>
      <c r="M66" s="1855">
        <f ca="1">IF(L66&gt;0.5,0.5,ROUND(L66,0))</f>
        <v>0.5</v>
      </c>
      <c r="N66" s="2019" t="s">
        <v>915</v>
      </c>
      <c r="Z66" s="2113"/>
      <c r="AI66" s="2114"/>
    </row>
    <row r="67" spans="1:35" ht="14.25" customHeight="1">
      <c r="A67" s="2241" t="s">
        <v>916</v>
      </c>
      <c r="B67" s="2282" t="s">
        <v>917</v>
      </c>
      <c r="C67" s="2285">
        <f ca="1">C63-C66</f>
        <v>-258364.47619999992</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121.5141</v>
      </c>
      <c r="M67" s="1855">
        <f ca="1">ROUND(L67*0.9,1)</f>
        <v>109.4</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5713.2049999999999</v>
      </c>
      <c r="M68" s="1855">
        <f ca="1">ROUND(L68,1)</f>
        <v>5713.2</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18392</v>
      </c>
      <c r="N69" s="2358">
        <f ca="1">M69/M49</f>
        <v>1.6096044164352584E-2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1088229.5238000001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1663675.4733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1658234.3256999999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1346594</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336648.5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39115.349499999997</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5441.1476000000002</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-575445.94949999987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1088230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5441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5441</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1082789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199.00551369233597</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647769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比较法-商业2</v>
      </c>
      <c r="D101" s="2335" t="str">
        <f>D4</f>
        <v>收益法2</v>
      </c>
      <c r="E101" s="3344" t="s">
        <v>970</v>
      </c>
      <c r="F101" s="3339"/>
      <c r="G101" s="2337" t="s">
        <v>971</v>
      </c>
      <c r="H101" s="2338">
        <f ca="1">H118</f>
        <v>114</v>
      </c>
      <c r="I101" s="1458"/>
    </row>
    <row r="102" spans="1:35" ht="18.75" customHeight="1">
      <c r="A102" s="3304" t="s">
        <v>972</v>
      </c>
      <c r="B102" s="2339" t="s">
        <v>971</v>
      </c>
      <c r="C102" s="2334">
        <f ca="1">IF(D32="楼面单价",ROUND(C19,0),C19)</f>
        <v>123</v>
      </c>
      <c r="D102" s="2335">
        <f ca="1">IF(D32="楼面单价",ROUND(D19,0),D19)</f>
        <v>101</v>
      </c>
      <c r="E102" s="3344"/>
      <c r="F102" s="3339"/>
      <c r="G102" s="2337" t="s">
        <v>99</v>
      </c>
      <c r="H102" s="2227">
        <f ca="1">I118</f>
        <v>37329</v>
      </c>
      <c r="I102" s="1458"/>
    </row>
    <row r="103" spans="1:35" ht="42.75" customHeight="1">
      <c r="A103" s="3304"/>
      <c r="B103" s="2339" t="s">
        <v>99</v>
      </c>
      <c r="C103" s="2340">
        <f ca="1">C20</f>
        <v>40185</v>
      </c>
      <c r="D103" s="2341">
        <f ca="1">D20</f>
        <v>33045</v>
      </c>
      <c r="E103" s="3322" t="s">
        <v>973</v>
      </c>
      <c r="F103" s="3323"/>
      <c r="G103" s="2342" t="s">
        <v>102</v>
      </c>
      <c r="H103" s="2338">
        <f>IF(D36="正常操作",H104+H105+H106,H105+H106)</f>
        <v>0</v>
      </c>
      <c r="I103" s="1458"/>
    </row>
    <row r="104" spans="1:35" ht="18.75" customHeight="1">
      <c r="A104" s="3304" t="s">
        <v>974</v>
      </c>
      <c r="B104" s="2343" t="s">
        <v>971</v>
      </c>
      <c r="C104" s="2344">
        <f ca="1">H118</f>
        <v>114</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37329</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114</v>
      </c>
      <c r="I107" s="1458"/>
    </row>
    <row r="108" spans="1:35" ht="18.75" customHeight="1">
      <c r="A108" s="1458"/>
      <c r="B108" s="1458"/>
      <c r="C108" s="1458"/>
      <c r="D108" s="1458"/>
      <c r="E108" s="3338"/>
      <c r="F108" s="3339"/>
      <c r="G108" s="2337" t="s">
        <v>99</v>
      </c>
      <c r="H108" s="2227">
        <f ca="1">IF(H107=H101,H102,ROUND(H107*10000/'数据-汇总表'!E3,0))</f>
        <v>37329</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30.61</v>
      </c>
      <c r="C118" s="868">
        <f>M19</f>
        <v>0</v>
      </c>
      <c r="D118" s="868">
        <f ca="1">ROUND(IF(D32="总价",C34,E118*B118/10000),0)</f>
        <v>94</v>
      </c>
      <c r="E118" s="868">
        <f ca="1">ROUND(IF(C33="自定义",IF(D32="楼面单价",C34,D118*10000/B118),I118-G118),0)</f>
        <v>30610</v>
      </c>
      <c r="F118" s="868">
        <f ca="1">ROUND(IF(D32="总价",C35,G118*B118/10000),0)</f>
        <v>21</v>
      </c>
      <c r="G118" s="868">
        <f ca="1">ROUND(IF(D32="楼面单价",C35,F118*10000/B118),0)</f>
        <v>6719</v>
      </c>
      <c r="H118" s="2357">
        <f ca="1">ROUND(IF(D32="总价",C32,I118*B118/10000),0)</f>
        <v>114</v>
      </c>
      <c r="I118" s="868">
        <f ca="1">ROUND(IF(D32="楼面单价",C32,H118*10000/B118),0)</f>
        <v>37329</v>
      </c>
    </row>
    <row r="119" spans="1:27" ht="18.75" customHeight="1">
      <c r="A119" s="3298" t="s">
        <v>987</v>
      </c>
      <c r="B119" s="3298"/>
      <c r="C119" s="3298"/>
      <c r="D119" s="3310" t="str">
        <f ca="1">NUMBERSTRING(INT(D118*10000),2)&amp;"元整"</f>
        <v>玖拾肆万元整</v>
      </c>
      <c r="E119" s="3312"/>
      <c r="F119" s="3310" t="str">
        <f ca="1">NUMBERSTRING(INT(F118*10000),2)&amp;"元整"</f>
        <v>贰拾壹万元整</v>
      </c>
      <c r="G119" s="3312"/>
      <c r="H119" s="3310" t="str">
        <f ca="1">NUMBERSTRING(INT(H118*10000),2)&amp;"元整"</f>
        <v>壹佰壹拾肆万元整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114</v>
      </c>
      <c r="E122" s="3348"/>
      <c r="F122" s="3348"/>
      <c r="G122" s="3348"/>
      <c r="H122" s="3348"/>
      <c r="I122" s="3349"/>
      <c r="AA122" s="1417"/>
    </row>
    <row r="123" spans="1:27" ht="18.75" customHeight="1">
      <c r="A123" s="3298" t="s">
        <v>987</v>
      </c>
      <c r="B123" s="3298"/>
      <c r="C123" s="3298"/>
      <c r="D123" s="3310" t="str">
        <f ca="1">NUMBERSTRING(INT(D122*10000),2)&amp;"元整"</f>
        <v>壹佰壹拾肆万元整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64D453F-6B5C-455E-A696-D6D0212CE2A8}">
      <formula1>"个人住宅,正常"</formula1>
    </dataValidation>
    <dataValidation type="list" allowBlank="1" showInputMessage="1" showErrorMessage="1" sqref="C116:C117" xr:uid="{DF97A7EC-E0C6-49B5-9059-B3591C51618C}">
      <formula1>"土地面积,分摊土地面积,（分摊）土地面积"</formula1>
    </dataValidation>
    <dataValidation type="list" allowBlank="1" showInputMessage="1" showErrorMessage="1" sqref="B116:B117" xr:uid="{7B4EE190-E95C-4D10-8E8A-745180AF81AE}">
      <formula1>"建筑面积,规划建筑面积,（规划）建筑面积"</formula1>
    </dataValidation>
    <dataValidation type="list" allowBlank="1" showInputMessage="1" showErrorMessage="1" sqref="C129" xr:uid="{D4D618B1-271A-4513-8A27-BA9025FA50B3}">
      <formula1>"无,有"</formula1>
    </dataValidation>
    <dataValidation type="list" allowBlank="1" showInputMessage="1" showErrorMessage="1" sqref="F116:G116" xr:uid="{276A1FB7-3195-406C-A118-FDDD06211516}">
      <formula1>"建筑物价值,在建建筑物价值,建筑物/在建建筑物价值"</formula1>
    </dataValidation>
    <dataValidation type="list" allowBlank="1" showInputMessage="1" showErrorMessage="1" sqref="D116:E116" xr:uid="{5D6DCB2C-AC9D-4AA3-8DF3-B223649CF695}">
      <formula1>"出让国有建设用地使用权价值,划拨国有建设用地使用权价值"</formula1>
    </dataValidation>
    <dataValidation type="list" allowBlank="1" showInputMessage="1" showErrorMessage="1" sqref="E103" xr:uid="{6DA99FEB-DEFD-4796-AFD1-F6B655854F10}">
      <formula1>"2.估价师知悉的法定优先受偿款,2.估价师知悉的除抵押担保权以外的法定优先受偿款"</formula1>
    </dataValidation>
    <dataValidation type="list" allowBlank="1" showInputMessage="1" showErrorMessage="1" sqref="D92" xr:uid="{315D570D-43FC-4423-9DCD-FF81F45584AF}">
      <formula1>"0,5%,10%"</formula1>
    </dataValidation>
    <dataValidation type="list" allowBlank="1" showInputMessage="1" showErrorMessage="1" sqref="H91" xr:uid="{2AD5D220-1947-4945-9E1C-AD3090F7141D}">
      <formula1>"企业提供（在右侧录入）,——"</formula1>
    </dataValidation>
    <dataValidation type="list" allowBlank="1" showInputMessage="1" showErrorMessage="1" sqref="H88" xr:uid="{E0F7924D-FBCC-4FB4-925D-41F8A195232B}">
      <formula1>"仅含出让金,出让金+开发费"</formula1>
    </dataValidation>
    <dataValidation type="list" allowBlank="1" showInputMessage="1" showErrorMessage="1" sqref="G77" xr:uid="{FBF61B87-AF58-41E1-9404-F0BFAD60CE78}">
      <formula1>"个人住宅,2016年5月1日前购买,2016年5月1日后购买"</formula1>
    </dataValidation>
    <dataValidation type="list" allowBlank="1" showInputMessage="1" showErrorMessage="1" sqref="F75" xr:uid="{4DB7B41F-BF9C-4281-9329-09D5B5965B96}">
      <formula1>"买卖合同,购房发票"</formula1>
    </dataValidation>
    <dataValidation type="list" allowBlank="1" showInputMessage="1" showErrorMessage="1" sqref="H59" xr:uid="{83A1288C-A883-482F-A6BB-1310FFCB2B2F}">
      <formula1>"非个人房产,个人住宅（满五唯一有凭证）,个人其他（有凭证）,个人其他（无凭证）"</formula1>
    </dataValidation>
    <dataValidation type="list" allowBlank="1" showInputMessage="1" showErrorMessage="1" sqref="H58" xr:uid="{F42B3D36-AC37-4A4A-B89B-C578B3654959}">
      <formula1>"转让取得,自行开发建设"</formula1>
    </dataValidation>
    <dataValidation type="list" allowBlank="1" showInputMessage="1" showErrorMessage="1" sqref="H48" xr:uid="{8584FD1E-4AB0-4CDD-9C23-680D528A5D31}">
      <formula1>"情况1,情况2,情况3,情况4"</formula1>
    </dataValidation>
    <dataValidation type="list" allowBlank="1" showInputMessage="1" showErrorMessage="1" sqref="F45" xr:uid="{A21A7A46-D4A8-474A-9BED-F7D67F64A35F}">
      <formula1>"100%,70%,56%"</formula1>
    </dataValidation>
    <dataValidation type="list" allowBlank="1" showInputMessage="1" showErrorMessage="1" sqref="D36" xr:uid="{4680176A-22C3-4D71-957F-B2C4E548E185}">
      <formula1>"同一抵押权人同一抵押物续贷,注销后放款,正常操作"</formula1>
    </dataValidation>
    <dataValidation type="list" allowBlank="1" showInputMessage="1" showErrorMessage="1" sqref="C33" xr:uid="{C36B3DA8-51A7-40B1-83F0-F7A48196EB5D}">
      <formula1>"成本比率,收益比率,自定义"</formula1>
    </dataValidation>
    <dataValidation type="list" allowBlank="1" showInputMessage="1" showErrorMessage="1" sqref="D32" xr:uid="{AF13A118-4D05-4C32-AE29-091B4FC011DC}">
      <formula1>"总价,楼面单价"</formula1>
    </dataValidation>
    <dataValidation type="list" allowBlank="1" showInputMessage="1" showErrorMessage="1" sqref="C4:D4 D33" xr:uid="{2C2D7E54-642A-41DB-A861-5101B4651E90}">
      <formula1>估价方法</formula1>
    </dataValidation>
    <dataValidation type="list" allowBlank="1" showInputMessage="1" showErrorMessage="1" sqref="I1" xr:uid="{1824816D-4BDE-45F8-ABF5-44AF42FCCCC4}">
      <formula1>"项目局部,项目全部,——"</formula1>
    </dataValidation>
    <dataValidation type="list" showInputMessage="1" showErrorMessage="1" sqref="G1" xr:uid="{CAF8C91B-1C90-4630-9721-19C80DC001F2}">
      <formula1>"现房,在建,土地,-"</formula1>
    </dataValidation>
    <dataValidation type="list" allowBlank="1" showInputMessage="1" showErrorMessage="1" sqref="C1" xr:uid="{B423866A-CBF2-4A8E-A2CC-A6B42E39650C}">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zoomScaleNormal="70" zoomScaleSheetLayoutView="100" workbookViewId="0">
      <selection activeCell="L25" sqref="L25"/>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103</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123.0063</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40185</v>
      </c>
      <c r="C3" s="1273" t="s">
        <v>1344</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2878</v>
      </c>
      <c r="F5" s="3459"/>
      <c r="G5" s="3445" t="s">
        <v>2883</v>
      </c>
      <c r="H5" s="3446"/>
      <c r="I5" s="3445" t="s">
        <v>2885</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2887</v>
      </c>
      <c r="F6" s="3439"/>
      <c r="G6" s="3436" t="s">
        <v>2887</v>
      </c>
      <c r="H6" s="3437"/>
      <c r="I6" s="3436" t="s">
        <v>2887</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'数据-基础表'!I14</f>
        <v>30.61</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2837</v>
      </c>
      <c r="D34" s="755">
        <v>100</v>
      </c>
      <c r="E34" s="1287" t="s">
        <v>1335</v>
      </c>
      <c r="F34" s="1097">
        <f>SUMIF(105:105,E34,106:106)-SUMIF(105:105,C34,106:106)+100</f>
        <v>102</v>
      </c>
      <c r="G34" s="1287" t="s">
        <v>1335</v>
      </c>
      <c r="H34" s="755">
        <f>SUMIF(105:105,G34,106:106)-SUMIF(105:105,C34,106:106)+100</f>
        <v>102</v>
      </c>
      <c r="I34" s="1287" t="s">
        <v>1335</v>
      </c>
      <c r="J34" s="755">
        <f>SUMIF(105:105,I34,106:106)-SUMIF(105:105,C34,106:106)+100</f>
        <v>102</v>
      </c>
      <c r="K34" s="1088">
        <v>2</v>
      </c>
      <c r="L34" s="1081"/>
      <c r="M34" s="1015"/>
      <c r="N34" s="1015"/>
      <c r="O34" s="1015"/>
      <c r="P34" s="3430"/>
      <c r="Q34" s="621" t="str">
        <f t="shared" si="11"/>
        <v>建筑结构</v>
      </c>
      <c r="R34" s="1118" t="s">
        <v>1357</v>
      </c>
      <c r="S34" s="1119">
        <f t="shared" si="12"/>
        <v>102</v>
      </c>
      <c r="T34" s="1118" t="s">
        <v>1357</v>
      </c>
      <c r="U34" s="1119">
        <f t="shared" si="13"/>
        <v>102</v>
      </c>
      <c r="V34" s="1118" t="s">
        <v>1357</v>
      </c>
      <c r="W34" s="1119">
        <f t="shared" si="14"/>
        <v>102</v>
      </c>
      <c r="X34" s="1113"/>
      <c r="Y34" s="3434"/>
      <c r="Z34" s="1102" t="str">
        <f t="shared" si="15"/>
        <v>建筑结构</v>
      </c>
      <c r="AA34" s="1102">
        <f t="shared" si="3"/>
        <v>0.98039215686274506</v>
      </c>
      <c r="AB34" s="1102">
        <f t="shared" si="4"/>
        <v>0.98039215686274506</v>
      </c>
      <c r="AC34" s="1102">
        <f t="shared" si="5"/>
        <v>0.98039215686274506</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40185</v>
      </c>
      <c r="D48" s="1009" t="s">
        <v>1401</v>
      </c>
      <c r="E48" s="1295">
        <f>R48</f>
        <v>41878</v>
      </c>
      <c r="F48" s="1010"/>
      <c r="G48" s="1294">
        <f>T48</f>
        <v>39338</v>
      </c>
      <c r="H48" s="1010"/>
      <c r="I48" s="1295">
        <f>V48</f>
        <v>39338</v>
      </c>
      <c r="J48" s="1010"/>
      <c r="K48" s="1095">
        <f>F48+H48+J48</f>
        <v>0</v>
      </c>
      <c r="L48" s="1094"/>
      <c r="M48" s="1015"/>
      <c r="N48" s="1015"/>
      <c r="O48" s="1015"/>
      <c r="P48" s="3420" t="str">
        <f>A48</f>
        <v>比较价值（元/平方米）</v>
      </c>
      <c r="Q48" s="3420"/>
      <c r="R48" s="3418">
        <f>IF(F1="售价",ROUND(PRODUCT(R47,AA7:AA46),0),ROUND(PRODUCT(R47,AA7:AA46),1))</f>
        <v>41878</v>
      </c>
      <c r="S48" s="3418"/>
      <c r="T48" s="3418">
        <f>IF(F1="售价",ROUND(PRODUCT(T47,AB7:AB46),0),ROUND(PRODUCT(T47,AB7:AB46),1))</f>
        <v>39338</v>
      </c>
      <c r="U48" s="3418"/>
      <c r="V48" s="3418">
        <f>IF(F1="售价",ROUND(PRODUCT(V47,AC7:AC46),0),ROUND(PRODUCT(V47,AC7:AC46),1))</f>
        <v>39338</v>
      </c>
      <c r="W48" s="3418"/>
      <c r="X48" s="1055"/>
      <c r="Y48" s="1055"/>
      <c r="Z48" s="1055"/>
      <c r="AA48" s="1055"/>
      <c r="AB48" s="1055"/>
      <c r="AC48" s="1055"/>
    </row>
    <row r="49" spans="1:29" ht="15" thickBot="1">
      <c r="A49" s="1012" t="s">
        <v>1402</v>
      </c>
      <c r="B49" s="1013"/>
      <c r="C49" s="925">
        <f>R49</f>
        <v>40185</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40185</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2.6792110415970294E-2</v>
      </c>
      <c r="F52" s="1019" t="str">
        <f>IF(OR(E52&gt;=0.3,E52&lt;=-0.3),"超过30%","")</f>
        <v/>
      </c>
      <c r="G52" s="1018">
        <f>IF(G47&lt;G48,G48/G47-1,G47/G48-1)</f>
        <v>1.6828511871472829E-2</v>
      </c>
      <c r="H52" s="1019" t="str">
        <f>IF(OR(G52&gt;=0.3,G52&lt;=-0.3),"超过30%","")</f>
        <v/>
      </c>
      <c r="I52" s="1018">
        <f>IF(I47&lt;I48,I48/I47-1,I47/I48-1)</f>
        <v>1.6828511871472829E-2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6.4568610503838553E-2</v>
      </c>
      <c r="F53" s="1019" t="str">
        <f>IF(OR(E53&gt;=0.2,E53&lt;=-0.2),"超过20%","")</f>
        <v/>
      </c>
      <c r="G53" s="1018">
        <f>IF(G48&lt;I48,I48/G48-1,G48/I48-1)</f>
        <v>0</v>
      </c>
      <c r="H53" s="1019" t="str">
        <f>IF(OR(G53&gt;=0.2,G53&lt;=-0.2),"超过20%","")</f>
        <v/>
      </c>
      <c r="I53" s="1018">
        <f>IF(I48&lt;E48,E48/I48-1,I48/E48-1)</f>
        <v>6.4568610503838553E-2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103</v>
      </c>
      <c r="D1" s="1827" t="s">
        <v>124</v>
      </c>
      <c r="E1" s="1828" t="s">
        <v>1146</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101.15</v>
      </c>
      <c r="C2" s="1833" t="s">
        <v>1148</v>
      </c>
      <c r="D2" s="1834">
        <f ca="1">C40+J29+L46</f>
        <v>1011500</v>
      </c>
      <c r="E2" s="1835" t="s">
        <v>1437</v>
      </c>
      <c r="F2" s="1836"/>
      <c r="G2" s="1837"/>
      <c r="H2" s="1838"/>
      <c r="I2" s="3202">
        <f ca="1">F6*F7*F8/12</f>
        <v>6517.3791666666657</v>
      </c>
      <c r="J2" s="1838"/>
      <c r="K2" s="1993"/>
      <c r="L2" s="1838"/>
      <c r="M2" s="1838"/>
    </row>
    <row r="3" spans="1:37" ht="18" customHeight="1" thickBot="1">
      <c r="A3" s="1839" t="s">
        <v>1149</v>
      </c>
      <c r="B3" s="1840">
        <f ca="1">IF(ISERROR(D2/F43),0,ROUND(D2/F43,0))</f>
        <v>33045</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70476</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70388</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30.61</v>
      </c>
      <c r="G7" s="714"/>
      <c r="H7" s="1861"/>
      <c r="I7" s="3397"/>
      <c r="J7" s="1862"/>
      <c r="K7" s="1859"/>
      <c r="L7" s="1855" t="s">
        <v>1163</v>
      </c>
      <c r="M7" s="1856">
        <f ca="1">F7</f>
        <v>30.61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88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148262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122440</v>
      </c>
      <c r="D14" s="1886" t="s">
        <v>1176</v>
      </c>
      <c r="E14" s="1887"/>
      <c r="F14" s="1888"/>
      <c r="G14" s="714"/>
      <c r="H14" s="1884" t="s">
        <v>904</v>
      </c>
      <c r="I14" s="1855" t="s">
        <v>1177</v>
      </c>
      <c r="J14" s="1469">
        <f ca="1">C29</f>
        <v>178629</v>
      </c>
      <c r="K14" s="2005"/>
      <c r="L14" s="2006"/>
      <c r="M14" s="2007"/>
    </row>
    <row r="15" spans="1:37" s="1823" customFormat="1" ht="18" customHeight="1" thickBot="1">
      <c r="A15" s="1884" t="s">
        <v>932</v>
      </c>
      <c r="B15" s="1855" t="s">
        <v>1106</v>
      </c>
      <c r="C15" s="1469">
        <f ca="1">ROUND(C14*F15,0)</f>
        <v>6122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536</v>
      </c>
      <c r="K16" s="1904" t="s">
        <v>1182</v>
      </c>
      <c r="L16" s="1905"/>
      <c r="M16" s="1851"/>
    </row>
    <row r="17" spans="1:37" s="1823" customFormat="1" ht="18" customHeight="1">
      <c r="A17" s="1884" t="s">
        <v>1183</v>
      </c>
      <c r="B17" s="1855" t="s">
        <v>1184</v>
      </c>
      <c r="C17" s="1469">
        <f ca="1">ROUND(F17*(F43+INDIRECT("'数据-取费表'!S"&amp;$G$1)),0)</f>
        <v>6122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2449</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137133</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2743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536</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-536</v>
      </c>
      <c r="K25" s="1923" t="s">
        <v>1220</v>
      </c>
      <c r="L25" s="1924"/>
      <c r="M25" s="1925"/>
    </row>
    <row r="26" spans="1:37" ht="18" customHeight="1">
      <c r="A26" s="1884" t="s">
        <v>927</v>
      </c>
      <c r="B26" s="1855" t="s">
        <v>1221</v>
      </c>
      <c r="C26" s="1469">
        <f ca="1">ROUND((C19+C20)*F26,0)</f>
        <v>20981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178629</v>
      </c>
      <c r="D29" s="1901"/>
      <c r="E29" s="1877"/>
      <c r="F29" s="1902"/>
      <c r="G29" s="1891"/>
      <c r="H29" s="1903" t="s">
        <v>1236</v>
      </c>
      <c r="I29" s="1932" t="s">
        <v>1237</v>
      </c>
      <c r="J29" s="1933">
        <f ca="1">ROUND(J26/(1+F40)^F41,0)</f>
        <v>0</v>
      </c>
      <c r="K29" s="1934" t="s">
        <v>1238</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12767</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11731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3687</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8044</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536</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148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352</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57709</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1001883</v>
      </c>
      <c r="D40" s="1914" t="s">
        <v>1226</v>
      </c>
      <c r="E40" s="1855" t="s">
        <v>1227</v>
      </c>
      <c r="F40" s="1863">
        <f ca="1">INDIRECT("'数据-取费表'!I"&amp;$G$1)</f>
        <v>5.5E-2</v>
      </c>
      <c r="G40" s="714"/>
      <c r="H40" s="1927">
        <f ca="1">C39/C5</f>
        <v>0.81884613201657297</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32731</v>
      </c>
      <c r="D43" s="1934" t="s">
        <v>1243</v>
      </c>
      <c r="E43" s="1935" t="s">
        <v>1244</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-101.1502</v>
      </c>
      <c r="D45" s="1941" t="s">
        <v>1445</v>
      </c>
      <c r="E45" s="1937"/>
      <c r="F45" s="1937"/>
      <c r="O45" s="2021" t="s">
        <v>1245</v>
      </c>
      <c r="P45" s="1927"/>
      <c r="Q45" s="1927"/>
      <c r="R45" s="1927"/>
    </row>
    <row r="46" spans="1:18" s="714" customFormat="1" ht="13.8" thickBot="1">
      <c r="A46" s="1942" t="s">
        <v>1246</v>
      </c>
      <c r="C46" s="1943">
        <f ca="1">ROUND(C45,0)</f>
        <v>-101</v>
      </c>
      <c r="D46" s="1944" t="str">
        <f>C2</f>
        <v>万元</v>
      </c>
      <c r="I46" s="2022" t="s">
        <v>1247</v>
      </c>
      <c r="J46" s="2023"/>
      <c r="K46" s="2024"/>
      <c r="L46" s="2025">
        <f ca="1">IF(M47="住宅",0,IF(L48&gt;J51,L60,J60))</f>
        <v>9617</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1001883</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9617</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178629</v>
      </c>
      <c r="R49" s="2070" t="s">
        <v>1255</v>
      </c>
    </row>
    <row r="50" spans="1:18" s="714" customFormat="1" ht="13.8" thickBot="1">
      <c r="A50" s="1960"/>
      <c r="B50" s="1431"/>
      <c r="C50" s="1961"/>
      <c r="D50" s="1962"/>
      <c r="E50" s="1963" t="s">
        <v>1163</v>
      </c>
      <c r="F50" s="1964">
        <f ca="1">F7</f>
        <v>30.61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864065</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1011500</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148262</v>
      </c>
      <c r="D56" s="1974"/>
      <c r="E56" s="1975"/>
      <c r="F56" s="1971"/>
      <c r="I56" s="2058" t="s">
        <v>1289</v>
      </c>
      <c r="J56" s="2059" t="s">
        <v>1449</v>
      </c>
      <c r="K56" s="2035" t="s">
        <v>1290</v>
      </c>
      <c r="L56" s="2038" t="str">
        <f ca="1">IF(L48&lt;J51,"——",L48-J51)</f>
        <v>——</v>
      </c>
      <c r="O56" s="2033" t="s">
        <v>1011</v>
      </c>
      <c r="P56" s="2034" t="s">
        <v>1254</v>
      </c>
      <c r="Q56" s="2070">
        <f ca="1">C40+J29</f>
        <v>1001883</v>
      </c>
      <c r="R56" s="2070" t="s">
        <v>1255</v>
      </c>
    </row>
    <row r="57" spans="1:18" s="714" customFormat="1" ht="24.6" thickBot="1">
      <c r="A57" s="1976"/>
      <c r="B57" s="1977" t="s">
        <v>1235</v>
      </c>
      <c r="C57" s="388">
        <f ca="1">C29</f>
        <v>178629</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684</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9617</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1001883</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536</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148</v>
      </c>
      <c r="D65" s="1985" t="s">
        <v>1212</v>
      </c>
      <c r="E65" s="1977" t="s">
        <v>1179</v>
      </c>
      <c r="F65" s="1921">
        <f t="shared" ca="1" si="0"/>
        <v>1E-3</v>
      </c>
      <c r="I65" s="2066" t="s">
        <v>1313</v>
      </c>
      <c r="J65" s="1032">
        <v>40</v>
      </c>
      <c r="K65" s="1032">
        <v>30</v>
      </c>
      <c r="L65" s="1032">
        <v>50</v>
      </c>
      <c r="M65" s="2068">
        <v>0.02</v>
      </c>
      <c r="O65" s="2033" t="s">
        <v>1011</v>
      </c>
      <c r="P65" s="2034" t="s">
        <v>1254</v>
      </c>
      <c r="Q65" s="2070">
        <f ca="1">C40+J29</f>
        <v>1001883</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-684</v>
      </c>
      <c r="D67" s="1984" t="s">
        <v>1220</v>
      </c>
      <c r="E67" s="2073"/>
      <c r="F67" s="2074"/>
      <c r="O67" s="2041" t="s">
        <v>1266</v>
      </c>
      <c r="P67" s="2034" t="s">
        <v>1297</v>
      </c>
      <c r="Q67" s="2094">
        <f ca="1">L51</f>
        <v>864065</v>
      </c>
      <c r="R67" s="2070" t="s">
        <v>1314</v>
      </c>
    </row>
    <row r="68" spans="1:18" s="714" customFormat="1" ht="16.2" thickBot="1">
      <c r="A68" s="2075" t="s">
        <v>1224</v>
      </c>
      <c r="B68" s="2076" t="s">
        <v>1241</v>
      </c>
      <c r="C68" s="1926">
        <f ca="1">ROUND(C67*(1-((1+F70)/(1+F68))^F69)/(F68-F70),0)</f>
        <v>-9619</v>
      </c>
      <c r="D68" s="1987" t="s">
        <v>1226</v>
      </c>
      <c r="E68" s="1977" t="s">
        <v>1227</v>
      </c>
      <c r="F68" s="1863">
        <f ca="1">F40</f>
        <v>5.5E-2</v>
      </c>
      <c r="O68" s="2041" t="s">
        <v>1270</v>
      </c>
      <c r="P68" s="2093" t="s">
        <v>1315</v>
      </c>
      <c r="Q68" s="2070">
        <f ca="1">ROUND(Q69-Q70*Q71,0)</f>
        <v>47331</v>
      </c>
      <c r="R68" s="2070" t="s">
        <v>1316</v>
      </c>
    </row>
    <row r="69" spans="1:18" s="714" customFormat="1" ht="13.8" thickBot="1">
      <c r="A69" s="2077"/>
      <c r="B69" s="2078"/>
      <c r="C69" s="1862"/>
      <c r="D69" s="2079" t="s">
        <v>1230</v>
      </c>
      <c r="E69" s="1977" t="s">
        <v>1231</v>
      </c>
      <c r="F69" s="1930">
        <f ca="1">F41</f>
        <v>27.73</v>
      </c>
      <c r="O69" s="2041" t="s">
        <v>1317</v>
      </c>
      <c r="P69" s="2093" t="s">
        <v>1318</v>
      </c>
      <c r="Q69" s="2070">
        <f ca="1">C39</f>
        <v>57709</v>
      </c>
      <c r="R69" s="2070" t="s">
        <v>1255</v>
      </c>
    </row>
    <row r="70" spans="1:18" s="714" customFormat="1" ht="13.8" thickBot="1">
      <c r="A70" s="2080"/>
      <c r="B70" s="2081"/>
      <c r="C70" s="1881"/>
      <c r="D70" s="1989"/>
      <c r="E70" s="1977" t="s">
        <v>1234</v>
      </c>
      <c r="F70" s="1967"/>
      <c r="O70" s="2041" t="s">
        <v>1319</v>
      </c>
      <c r="P70" s="2093" t="s">
        <v>1320</v>
      </c>
      <c r="Q70" s="2070">
        <f ca="1">C13</f>
        <v>148262</v>
      </c>
      <c r="R70" s="2070" t="s">
        <v>1255</v>
      </c>
    </row>
    <row r="71" spans="1:18" s="714" customFormat="1" ht="13.8" thickBot="1">
      <c r="A71" s="2082" t="s">
        <v>1236</v>
      </c>
      <c r="B71" s="2083" t="s">
        <v>1242</v>
      </c>
      <c r="C71" s="1933">
        <f ca="1">ROUND(C68/F71,0)</f>
        <v>-314</v>
      </c>
      <c r="D71" s="2084" t="s">
        <v>1243</v>
      </c>
      <c r="E71" s="2085" t="s">
        <v>1244</v>
      </c>
      <c r="F71" s="1936">
        <f ca="1">F43</f>
        <v>30.61</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10378</v>
      </c>
      <c r="D75" s="714"/>
      <c r="E75" s="714"/>
      <c r="F75" s="714"/>
      <c r="K75" s="2020"/>
      <c r="L75" s="714"/>
      <c r="O75" s="2033" t="s">
        <v>1108</v>
      </c>
      <c r="P75" s="2034" t="s">
        <v>1284</v>
      </c>
      <c r="Q75" s="2070">
        <f ca="1">Q65+Q66</f>
        <v>1001883</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9EDF-4603-419D-ADB0-97A699988052}">
  <sheetPr>
    <tabColor rgb="FFFF0000"/>
  </sheetPr>
  <dimension ref="A1:AJ512"/>
  <sheetViews>
    <sheetView tabSelected="1" view="pageBreakPreview" topLeftCell="M40" zoomScaleNormal="100" zoomScaleSheetLayoutView="100" zoomScalePageLayoutView="80" workbookViewId="0">
      <selection activeCell="Q56" sqref="Q56"/>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104</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2858</v>
      </c>
      <c r="D4" s="2121" t="s">
        <v>2854</v>
      </c>
      <c r="E4" s="3376" t="s">
        <v>782</v>
      </c>
      <c r="F4" s="3377"/>
      <c r="G4" s="3377"/>
      <c r="H4" s="3377"/>
      <c r="I4" s="3378"/>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805</v>
      </c>
      <c r="B19" s="2132" t="s">
        <v>806</v>
      </c>
      <c r="C19" s="2133">
        <f ca="1">SUMIF(INDIRECT("'"&amp;C4&amp;"'"&amp;"!A:A"),结果表104!B19,INDIRECT("'"&amp;C4&amp;"'"&amp;"!B:B"))</f>
        <v>162.20000000000002</v>
      </c>
      <c r="D19" s="1245">
        <f ca="1">SUMIF(INDIRECT("'"&amp;D4&amp;"'"&amp;"!A:A"),结果表104!B19,INDIRECT("'"&amp;D4&amp;"'"&amp;"!B:B"))</f>
        <v>123.9389</v>
      </c>
      <c r="E19" s="1129" t="s">
        <v>807</v>
      </c>
      <c r="F19" s="2132" t="s">
        <v>806</v>
      </c>
      <c r="G19" s="2134">
        <f ca="1">ROUND(C19*$C$18+D19*$D$18,0)</f>
        <v>147</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SUMIF(INDIRECT("'"&amp;C4&amp;"'"&amp;"!A:A"),结果表104!B20,INDIRECT("'"&amp;C4&amp;"'"&amp;"!B:B"))</f>
        <v>37738</v>
      </c>
      <c r="D20" s="1602">
        <f ca="1">SUMIF(INDIRECT("'"&amp;D4&amp;"'"&amp;"!A:A"),结果表104!B20,INDIRECT("'"&amp;D4&amp;"'"&amp;"!B:B"))</f>
        <v>28836</v>
      </c>
      <c r="E20" s="2136"/>
      <c r="F20" s="2137" t="s">
        <v>809</v>
      </c>
      <c r="G20" s="2138">
        <f ca="1">ROUND(C20*$C$18+D20*$D$18,0)</f>
        <v>34177</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0.30870937211803562</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34177</v>
      </c>
      <c r="M23" s="3195">
        <f ca="1">ROUND(L23*K23,0)</f>
        <v>4494617</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34177</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28025</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6152</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1468927</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1468927</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1468927</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14689</v>
      </c>
      <c r="R51" s="1417" t="str">
        <f>N53</f>
        <v>销售额×税（费）率</v>
      </c>
      <c r="S51" s="3197">
        <v>0.01</v>
      </c>
    </row>
    <row r="52" spans="1:35" ht="24" customHeight="1">
      <c r="A52" s="2225" t="s">
        <v>870</v>
      </c>
      <c r="B52" s="3336" t="s">
        <v>871</v>
      </c>
      <c r="C52" s="3336"/>
      <c r="D52" s="1904">
        <f ca="1">ROUND(D45*'数据-取费表'!B41/(1+'数据-取费表'!C42),0)</f>
        <v>76944</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76944</v>
      </c>
      <c r="E53" s="1908" t="s">
        <v>872</v>
      </c>
      <c r="F53" s="2226">
        <f>'数据-取费表'!B41</f>
        <v>5.5000000000000007E-2</v>
      </c>
      <c r="G53" s="2227"/>
      <c r="H53" s="2019"/>
      <c r="I53" s="2256"/>
      <c r="J53" s="576">
        <v>2</v>
      </c>
      <c r="K53" s="3356" t="s">
        <v>876</v>
      </c>
      <c r="L53" s="3356"/>
      <c r="M53" s="2257">
        <f t="shared" ref="M53:O54" ca="1" si="1">D55</f>
        <v>734</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44068</v>
      </c>
      <c r="Q54" s="3201">
        <f ca="1">P54+N57+Q51</f>
        <v>59491</v>
      </c>
      <c r="R54" s="3199"/>
      <c r="S54" s="2270" t="str">
        <f ca="1">NUMBERSTRING(INT(Q54),2)&amp;"元整"</f>
        <v>伍万玖仟肆佰玖拾壹元整</v>
      </c>
    </row>
    <row r="55" spans="1:35" ht="24" customHeight="1">
      <c r="A55" s="3361" t="s">
        <v>881</v>
      </c>
      <c r="B55" s="3362"/>
      <c r="C55" s="3362"/>
      <c r="D55" s="2229">
        <f ca="1">IF(H55="个人住宅",0,ROUND(D45*I55,0))</f>
        <v>734</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1424859</v>
      </c>
      <c r="Q55" s="3201">
        <f ca="1">ROUND(M49-Q54,0)</f>
        <v>1409436</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33152</v>
      </c>
      <c r="Q56" s="3201">
        <f ca="1">ROUND(Q55/B118,0)</f>
        <v>32793</v>
      </c>
      <c r="R56" s="3199"/>
    </row>
    <row r="57" spans="1:35" ht="13.2">
      <c r="A57" s="2225" t="s">
        <v>856</v>
      </c>
      <c r="B57" s="3335" t="s">
        <v>887</v>
      </c>
      <c r="C57" s="3352"/>
      <c r="D57" s="2218">
        <v>0</v>
      </c>
      <c r="E57" s="1914" t="s">
        <v>858</v>
      </c>
      <c r="F57" s="1855"/>
      <c r="G57" s="2227"/>
      <c r="H57" s="2232"/>
      <c r="I57" s="2239"/>
      <c r="J57" s="3356">
        <f>IF(AND(J55="",J56=""),4,IF(项目基本情况!K6="上海银行",结果表104!J56+1,结果表104!J55+1))</f>
        <v>4</v>
      </c>
      <c r="K57" s="3356" t="s">
        <v>888</v>
      </c>
      <c r="L57" s="2264" t="s">
        <v>889</v>
      </c>
      <c r="M57" s="2265"/>
      <c r="N57" s="2266">
        <f ca="1">SUMIF(M52:M56,"&lt;9e307")</f>
        <v>734</v>
      </c>
      <c r="O57" s="2267"/>
      <c r="P57" s="2268">
        <f ca="1">N57/M49</f>
        <v>4.9968446355741296E-4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柒佰叁拾肆万元整</v>
      </c>
      <c r="O58" s="2271"/>
      <c r="P58" s="2270" t="str">
        <f ca="1">NUMBERSTRING(INT(P55),2)&amp;"元整"</f>
        <v>壹佰肆拾贰万肆仟捌佰伍拾玖元整</v>
      </c>
      <c r="Q58" s="2270" t="str">
        <f ca="1">NUMBERSTRING(INT(Q55),2)&amp;"元整"</f>
        <v>壹佰肆拾万玖仟肆佰叁拾陆元整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1468193</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壹佰肆拾陆亿捌仟壹佰玖拾叁万元整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71584252</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1398978.0952000001</v>
      </c>
      <c r="D63" s="586"/>
      <c r="E63" s="2243"/>
      <c r="F63" s="2239"/>
      <c r="G63" s="2239"/>
      <c r="H63" s="1459"/>
      <c r="I63" s="1458"/>
      <c r="J63" s="3359" t="s">
        <v>902</v>
      </c>
      <c r="K63" s="2278" t="s">
        <v>903</v>
      </c>
      <c r="L63" s="2278">
        <f ca="1">IF(M49&gt;10000,M49*0.5%,IF(AND(M49&gt;1000,M49&lt;=10000),M49*1%,IF(AND(M49&gt;100,M49&lt;=1000),M49*3%,IF(AND(M49&gt;10,M49&lt;=100),M49*5%,M49*8%))))</f>
        <v>7344.6350000000002</v>
      </c>
      <c r="M63" s="1855">
        <f ca="1">ROUND(L63,1)</f>
        <v>7344.6</v>
      </c>
      <c r="N63" s="2279"/>
      <c r="Z63" s="2113"/>
      <c r="AI63" s="2114"/>
    </row>
    <row r="64" spans="1:35" ht="14.25" customHeight="1">
      <c r="A64" s="2244" t="s">
        <v>904</v>
      </c>
      <c r="B64" s="509" t="s">
        <v>905</v>
      </c>
      <c r="C64" s="2245">
        <f ca="1">D45</f>
        <v>1468927</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7344.6350000000002</v>
      </c>
      <c r="M64" s="1855">
        <f t="shared" ref="M64:M65" ca="1" si="2">ROUND(L64,1)</f>
        <v>7344.6</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1468.9270000000001</v>
      </c>
      <c r="M65" s="1855">
        <f t="shared" ca="1" si="2"/>
        <v>1468.9</v>
      </c>
      <c r="N65" s="2019" t="s">
        <v>907</v>
      </c>
      <c r="Z65" s="2113"/>
      <c r="AI65" s="2114"/>
    </row>
    <row r="66" spans="1:35" ht="14.25" customHeight="1">
      <c r="A66" s="2241" t="s">
        <v>911</v>
      </c>
      <c r="B66" s="2282" t="s">
        <v>912</v>
      </c>
      <c r="C66" s="2283">
        <f>ROUND('数据-取费表'!U22/1.05,0)</f>
        <v>1891351</v>
      </c>
      <c r="D66" s="2282" t="s">
        <v>124</v>
      </c>
      <c r="E66" s="2284" t="s">
        <v>913</v>
      </c>
      <c r="F66" s="2239"/>
      <c r="G66" s="2239"/>
      <c r="H66" s="1459"/>
      <c r="I66" s="1458"/>
      <c r="J66" s="3359"/>
      <c r="K66" s="2278" t="s">
        <v>914</v>
      </c>
      <c r="L66" s="2278">
        <f ca="1">M49*0.5%</f>
        <v>7344.6350000000002</v>
      </c>
      <c r="M66" s="1855">
        <f ca="1">IF(L66&gt;0.5,0.5,ROUND(L66,0))</f>
        <v>0.5</v>
      </c>
      <c r="N66" s="2019" t="s">
        <v>915</v>
      </c>
      <c r="Z66" s="2113"/>
      <c r="AI66" s="2114"/>
    </row>
    <row r="67" spans="1:35" ht="14.25" customHeight="1">
      <c r="A67" s="2241" t="s">
        <v>916</v>
      </c>
      <c r="B67" s="2282" t="s">
        <v>917</v>
      </c>
      <c r="C67" s="2285">
        <f ca="1">C63-C66</f>
        <v>-492372.9047999999</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154.14270000000002</v>
      </c>
      <c r="M67" s="1855">
        <f ca="1">ROUND(L67*0.9,1)</f>
        <v>138.69999999999999</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7344.6350000000002</v>
      </c>
      <c r="M68" s="1855">
        <f ca="1">ROUND(L68,1)</f>
        <v>7344.6</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23642</v>
      </c>
      <c r="N69" s="2358">
        <f ca="1">M69/M49</f>
        <v>1.6094741263520923E-2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1398978.0952000001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2336058.5505000004</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2329063.66</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1891351</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472837.75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54939.243300000002</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6994.8905000000004</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-937080.45530000026</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1398978</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6995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6995</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1391983</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198.99685489635453</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832742</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比较法-商业3</v>
      </c>
      <c r="D101" s="2335" t="str">
        <f>D4</f>
        <v>收益法3</v>
      </c>
      <c r="E101" s="3344" t="s">
        <v>970</v>
      </c>
      <c r="F101" s="3339"/>
      <c r="G101" s="2337" t="s">
        <v>971</v>
      </c>
      <c r="H101" s="2338">
        <f ca="1">H118</f>
        <v>147</v>
      </c>
      <c r="I101" s="1458"/>
    </row>
    <row r="102" spans="1:35" ht="18.75" customHeight="1">
      <c r="A102" s="3304" t="s">
        <v>972</v>
      </c>
      <c r="B102" s="2339" t="s">
        <v>971</v>
      </c>
      <c r="C102" s="2334">
        <f ca="1">IF(D32="楼面单价",ROUND(C19,0),C19)</f>
        <v>162</v>
      </c>
      <c r="D102" s="2335">
        <f ca="1">IF(D32="楼面单价",ROUND(D19,0),D19)</f>
        <v>124</v>
      </c>
      <c r="E102" s="3344"/>
      <c r="F102" s="3339"/>
      <c r="G102" s="2337" t="s">
        <v>99</v>
      </c>
      <c r="H102" s="2227">
        <f ca="1">I118</f>
        <v>34177</v>
      </c>
      <c r="I102" s="1458"/>
    </row>
    <row r="103" spans="1:35" ht="42.75" customHeight="1">
      <c r="A103" s="3304"/>
      <c r="B103" s="2339" t="s">
        <v>99</v>
      </c>
      <c r="C103" s="2340">
        <f ca="1">C20</f>
        <v>37738</v>
      </c>
      <c r="D103" s="2341">
        <f ca="1">D20</f>
        <v>28836</v>
      </c>
      <c r="E103" s="3322" t="s">
        <v>973</v>
      </c>
      <c r="F103" s="3323"/>
      <c r="G103" s="2342" t="s">
        <v>102</v>
      </c>
      <c r="H103" s="2338">
        <f>IF(D36="正常操作",H104+H105+H106,H105+H106)</f>
        <v>0</v>
      </c>
      <c r="I103" s="1458"/>
    </row>
    <row r="104" spans="1:35" ht="18.75" customHeight="1">
      <c r="A104" s="3304" t="s">
        <v>974</v>
      </c>
      <c r="B104" s="2343" t="s">
        <v>971</v>
      </c>
      <c r="C104" s="2344">
        <f ca="1">H118</f>
        <v>147</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34177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147</v>
      </c>
      <c r="I107" s="1458"/>
    </row>
    <row r="108" spans="1:35" ht="18.75" customHeight="1">
      <c r="A108" s="1458"/>
      <c r="B108" s="1458"/>
      <c r="C108" s="1458"/>
      <c r="D108" s="1458"/>
      <c r="E108" s="3338"/>
      <c r="F108" s="3339"/>
      <c r="G108" s="2337" t="s">
        <v>99</v>
      </c>
      <c r="H108" s="2227">
        <f ca="1">IF(H107=H101,H102,ROUND(H107*10000/'数据-汇总表'!E3,0))</f>
        <v>34177</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42.98</v>
      </c>
      <c r="C118" s="868">
        <f>M19</f>
        <v>0</v>
      </c>
      <c r="D118" s="868">
        <f ca="1">ROUND(IF(D32="总价",C34,E118*B118/10000),0)</f>
        <v>120</v>
      </c>
      <c r="E118" s="868">
        <f ca="1">ROUND(IF(C33="自定义",IF(D32="楼面单价",C34,D118*10000/B118),I118-G118),0)</f>
        <v>28025</v>
      </c>
      <c r="F118" s="868">
        <f ca="1">ROUND(IF(D32="总价",C35,G118*B118/10000),0)</f>
        <v>26</v>
      </c>
      <c r="G118" s="868">
        <f ca="1">ROUND(IF(D32="楼面单价",C35,F118*10000/B118),0)</f>
        <v>6152</v>
      </c>
      <c r="H118" s="2357">
        <f ca="1">ROUND(IF(D32="总价",C32,I118*B118/10000),0)</f>
        <v>147</v>
      </c>
      <c r="I118" s="868">
        <f ca="1">ROUND(IF(D32="楼面单价",C32,H118*10000/B118),0)</f>
        <v>34177</v>
      </c>
    </row>
    <row r="119" spans="1:27" ht="18.75" customHeight="1">
      <c r="A119" s="3298" t="s">
        <v>987</v>
      </c>
      <c r="B119" s="3298"/>
      <c r="C119" s="3298"/>
      <c r="D119" s="3310" t="str">
        <f ca="1">NUMBERSTRING(INT(D118*10000),2)&amp;"元整"</f>
        <v>壹佰贰拾万元整</v>
      </c>
      <c r="E119" s="3312"/>
      <c r="F119" s="3310" t="str">
        <f ca="1">NUMBERSTRING(INT(F118*10000),2)&amp;"元整"</f>
        <v>贰拾陆万元整</v>
      </c>
      <c r="G119" s="3312"/>
      <c r="H119" s="3310" t="str">
        <f ca="1">NUMBERSTRING(INT(H118*10000),2)&amp;"元整"</f>
        <v>壹佰肆拾柒万元整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147</v>
      </c>
      <c r="E122" s="3348"/>
      <c r="F122" s="3348"/>
      <c r="G122" s="3348"/>
      <c r="H122" s="3348"/>
      <c r="I122" s="3349"/>
      <c r="AA122" s="1417"/>
    </row>
    <row r="123" spans="1:27" ht="18.75" customHeight="1">
      <c r="A123" s="3298" t="s">
        <v>987</v>
      </c>
      <c r="B123" s="3298"/>
      <c r="C123" s="3298"/>
      <c r="D123" s="3310" t="str">
        <f ca="1">NUMBERSTRING(INT(D122*10000),2)&amp;"元整"</f>
        <v>壹佰肆拾柒万元整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EFF8EAD4-C678-48A9-B09C-07447A2C0D24}">
      <formula1>项目类型</formula1>
    </dataValidation>
    <dataValidation type="list" showInputMessage="1" showErrorMessage="1" sqref="G1" xr:uid="{4E4E3161-608F-4371-B024-A20E1A0AC0C5}">
      <formula1>"现房,在建,土地,-"</formula1>
    </dataValidation>
    <dataValidation type="list" allowBlank="1" showInputMessage="1" showErrorMessage="1" sqref="I1" xr:uid="{D66CEC40-AD6B-4598-B292-15B65A414882}">
      <formula1>"项目局部,项目全部,——"</formula1>
    </dataValidation>
    <dataValidation type="list" allowBlank="1" showInputMessage="1" showErrorMessage="1" sqref="C4:D4 D33" xr:uid="{6A20FF2D-C241-471F-9C3D-EB1CF7028B51}">
      <formula1>估价方法</formula1>
    </dataValidation>
    <dataValidation type="list" allowBlank="1" showInputMessage="1" showErrorMessage="1" sqref="D32" xr:uid="{0799BF6C-4D80-4164-8790-3D08578E19F5}">
      <formula1>"总价,楼面单价"</formula1>
    </dataValidation>
    <dataValidation type="list" allowBlank="1" showInputMessage="1" showErrorMessage="1" sqref="C33" xr:uid="{C3CB69DD-373C-4600-A9D5-03B2C0B9FABA}">
      <formula1>"成本比率,收益比率,自定义"</formula1>
    </dataValidation>
    <dataValidation type="list" allowBlank="1" showInputMessage="1" showErrorMessage="1" sqref="D36" xr:uid="{B0C4905C-0694-4409-AF9A-625C973C695F}">
      <formula1>"同一抵押权人同一抵押物续贷,注销后放款,正常操作"</formula1>
    </dataValidation>
    <dataValidation type="list" allowBlank="1" showInputMessage="1" showErrorMessage="1" sqref="F45" xr:uid="{C237A5C6-9597-4F34-A332-870596DB7AC3}">
      <formula1>"100%,70%,56%"</formula1>
    </dataValidation>
    <dataValidation type="list" allowBlank="1" showInputMessage="1" showErrorMessage="1" sqref="H48" xr:uid="{9F27048C-A830-4395-8656-60003B62FD4F}">
      <formula1>"情况1,情况2,情况3,情况4"</formula1>
    </dataValidation>
    <dataValidation type="list" allowBlank="1" showInputMessage="1" showErrorMessage="1" sqref="H58" xr:uid="{6801ADD7-0086-4BEF-A391-EE1DAF3AD301}">
      <formula1>"转让取得,自行开发建设"</formula1>
    </dataValidation>
    <dataValidation type="list" allowBlank="1" showInputMessage="1" showErrorMessage="1" sqref="H59" xr:uid="{332F7EA4-53AF-4A1B-A0FE-D820FD1A6E56}">
      <formula1>"非个人房产,个人住宅（满五唯一有凭证）,个人其他（有凭证）,个人其他（无凭证）"</formula1>
    </dataValidation>
    <dataValidation type="list" allowBlank="1" showInputMessage="1" showErrorMessage="1" sqref="F75" xr:uid="{F1CDEABC-7168-427D-9618-97087BF18CE0}">
      <formula1>"买卖合同,购房发票"</formula1>
    </dataValidation>
    <dataValidation type="list" allowBlank="1" showInputMessage="1" showErrorMessage="1" sqref="G77" xr:uid="{A1E228B7-0234-498D-81DD-A295023D08D9}">
      <formula1>"个人住宅,2016年5月1日前购买,2016年5月1日后购买"</formula1>
    </dataValidation>
    <dataValidation type="list" allowBlank="1" showInputMessage="1" showErrorMessage="1" sqref="H88" xr:uid="{91BAC759-EBBE-4AD0-BB43-06F1537A5655}">
      <formula1>"仅含出让金,出让金+开发费"</formula1>
    </dataValidation>
    <dataValidation type="list" allowBlank="1" showInputMessage="1" showErrorMessage="1" sqref="H91" xr:uid="{BA684D7D-3C24-4598-9053-B50C9ACD3250}">
      <formula1>"企业提供（在右侧录入）,——"</formula1>
    </dataValidation>
    <dataValidation type="list" allowBlank="1" showInputMessage="1" showErrorMessage="1" sqref="D92" xr:uid="{8C90063F-4BDF-47DB-90E7-6A20E1F2A424}">
      <formula1>"0,5%,10%"</formula1>
    </dataValidation>
    <dataValidation type="list" allowBlank="1" showInputMessage="1" showErrorMessage="1" sqref="E103" xr:uid="{568CE449-D95D-48B5-BDEE-15C63A821C42}">
      <formula1>"2.估价师知悉的法定优先受偿款,2.估价师知悉的除抵押担保权以外的法定优先受偿款"</formula1>
    </dataValidation>
    <dataValidation type="list" allowBlank="1" showInputMessage="1" showErrorMessage="1" sqref="D116:E116" xr:uid="{14D52A6E-DAA9-4356-ADA2-94BE23CCD7AA}">
      <formula1>"出让国有建设用地使用权价值,划拨国有建设用地使用权价值"</formula1>
    </dataValidation>
    <dataValidation type="list" allowBlank="1" showInputMessage="1" showErrorMessage="1" sqref="F116:G116" xr:uid="{F814BF12-1EF1-4ADF-A785-909165DF6DD5}">
      <formula1>"建筑物价值,在建建筑物价值,建筑物/在建建筑物价值"</formula1>
    </dataValidation>
    <dataValidation type="list" allowBlank="1" showInputMessage="1" showErrorMessage="1" sqref="C129" xr:uid="{7483C63D-5CE0-4DFA-8747-909ECB2C5B06}">
      <formula1>"无,有"</formula1>
    </dataValidation>
    <dataValidation type="list" allowBlank="1" showInputMessage="1" showErrorMessage="1" sqref="B116:B117" xr:uid="{9729B356-F97D-46F5-A3AB-176414D7AACF}">
      <formula1>"建筑面积,规划建筑面积,（规划）建筑面积"</formula1>
    </dataValidation>
    <dataValidation type="list" allowBlank="1" showInputMessage="1" showErrorMessage="1" sqref="C116:C117" xr:uid="{8FCB23C4-7206-480C-BDCB-959A1E1F4F93}">
      <formula1>"土地面积,分摊土地面积,（分摊）土地面积"</formula1>
    </dataValidation>
    <dataValidation type="list" allowBlank="1" showInputMessage="1" showErrorMessage="1" sqref="H55:H56" xr:uid="{29DC7C83-C719-4F63-8F67-41F9B9D86264}">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27" zoomScaleNormal="70" zoomScaleSheetLayoutView="100" workbookViewId="0">
      <selection activeCell="C50" sqref="C50"/>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104</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 ca="1">IF(E1="项目模式",IF(C2="——",ROUND(C49*D3/10000,0),ROUND(C49*D3/10000,0)-D2),IF(E1="单套模式",IF(C2="——",ROUND(C49*D3/10000,4),ROUND(C49*D3/10000,4)-D2)))</f>
        <v>162.20000000000002</v>
      </c>
      <c r="C2" s="1270" t="s">
        <v>2896</v>
      </c>
      <c r="D2" s="1530">
        <f ca="1">IF(E1="项目模式",SUMIF(INDIRECT("'"&amp;F2&amp;"'"&amp;"!A:A"),"承租人权益价值",INDIRECT("'"&amp;F2&amp;"'"&amp;"!c:c")),SUMIF(INDIRECT("'"&amp;F2&amp;"'"&amp;"!A:A"),"承租人权益价值（单套）",INDIRECT("'"&amp;F2&amp;"'"&amp;"!c:c")))</f>
        <v>3.8704000000000001</v>
      </c>
      <c r="E2" s="1271" t="s">
        <v>997</v>
      </c>
      <c r="F2" s="1272" t="s">
        <v>2854</v>
      </c>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 ca="1">IF(C2="——",C49,ROUND(B2*10000/D3,0))</f>
        <v>37738</v>
      </c>
      <c r="C3" s="1273" t="s">
        <v>1344</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2844</v>
      </c>
      <c r="F5" s="3459"/>
      <c r="G5" s="3445" t="s">
        <v>2845</v>
      </c>
      <c r="H5" s="3446"/>
      <c r="I5" s="3445" t="s">
        <v>2846</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'数据-汇总表'!F21</f>
        <v>42.98</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2837</v>
      </c>
      <c r="D34" s="755">
        <v>100</v>
      </c>
      <c r="E34" s="1287" t="s">
        <v>1335</v>
      </c>
      <c r="F34" s="1097">
        <f>SUMIF(105:105,E34,106:106)-SUMIF(105:105,C34,106:106)+100</f>
        <v>102</v>
      </c>
      <c r="G34" s="1287" t="s">
        <v>1335</v>
      </c>
      <c r="H34" s="755">
        <f>SUMIF(105:105,G34,106:106)-SUMIF(105:105,C34,106:106)+100</f>
        <v>102</v>
      </c>
      <c r="I34" s="1287" t="s">
        <v>1335</v>
      </c>
      <c r="J34" s="755">
        <f>SUMIF(105:105,I34,106:106)-SUMIF(105:105,C34,106:106)+100</f>
        <v>102</v>
      </c>
      <c r="K34" s="1088">
        <v>2</v>
      </c>
      <c r="L34" s="1081"/>
      <c r="M34" s="1015"/>
      <c r="N34" s="1015"/>
      <c r="O34" s="1015"/>
      <c r="P34" s="3430"/>
      <c r="Q34" s="621" t="str">
        <f t="shared" si="11"/>
        <v>建筑结构</v>
      </c>
      <c r="R34" s="1118" t="s">
        <v>1357</v>
      </c>
      <c r="S34" s="1119">
        <f t="shared" si="12"/>
        <v>102</v>
      </c>
      <c r="T34" s="1118" t="s">
        <v>1357</v>
      </c>
      <c r="U34" s="1119">
        <f t="shared" si="13"/>
        <v>102</v>
      </c>
      <c r="V34" s="1118" t="s">
        <v>1357</v>
      </c>
      <c r="W34" s="1119">
        <f t="shared" si="14"/>
        <v>102</v>
      </c>
      <c r="X34" s="1113"/>
      <c r="Y34" s="3434"/>
      <c r="Z34" s="1102" t="str">
        <f t="shared" si="15"/>
        <v>建筑结构</v>
      </c>
      <c r="AA34" s="1102">
        <f t="shared" si="3"/>
        <v>0.98039215686274506</v>
      </c>
      <c r="AB34" s="1102">
        <f t="shared" si="4"/>
        <v>0.98039215686274506</v>
      </c>
      <c r="AC34" s="1102">
        <f t="shared" si="5"/>
        <v>0.98039215686274506</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15">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3203" t="s">
        <v>2874</v>
      </c>
      <c r="D44" s="942">
        <v>100</v>
      </c>
      <c r="E44" s="1278" t="s">
        <v>1373</v>
      </c>
      <c r="F44" s="940">
        <f>SUMIF(126:126,E44,127:127)-SUMIF(126:126,C44,127:127)+100</f>
        <v>104</v>
      </c>
      <c r="G44" s="1278" t="s">
        <v>1373</v>
      </c>
      <c r="H44" s="942">
        <f>SUMIF(126:126,G44,127:127)-SUMIF(126:126,C44,127:127)+100</f>
        <v>104</v>
      </c>
      <c r="I44" s="1278" t="s">
        <v>1373</v>
      </c>
      <c r="J44" s="942">
        <f>SUMIF(126:126,I44,127:127)-SUMIF(126:126,C44,127:127)+100</f>
        <v>104</v>
      </c>
      <c r="K44" s="1087"/>
      <c r="L44" s="1070"/>
      <c r="M44" s="1071"/>
      <c r="N44" s="1071"/>
      <c r="O44" s="1071"/>
      <c r="P44" s="3430"/>
      <c r="Q44" s="790" t="str">
        <f t="shared" si="11"/>
        <v>进深比</v>
      </c>
      <c r="R44" s="1114" t="s">
        <v>1357</v>
      </c>
      <c r="S44" s="1115">
        <f t="shared" si="12"/>
        <v>104</v>
      </c>
      <c r="T44" s="1114" t="s">
        <v>1357</v>
      </c>
      <c r="U44" s="1115">
        <f t="shared" si="13"/>
        <v>104</v>
      </c>
      <c r="V44" s="1114" t="s">
        <v>1357</v>
      </c>
      <c r="W44" s="1115">
        <f t="shared" si="14"/>
        <v>104</v>
      </c>
      <c r="X44" s="1116"/>
      <c r="Y44" s="3434"/>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38639</v>
      </c>
      <c r="D48" s="1009" t="s">
        <v>1401</v>
      </c>
      <c r="E48" s="1295">
        <f>R48</f>
        <v>40267</v>
      </c>
      <c r="F48" s="1010"/>
      <c r="G48" s="1294">
        <f>T48</f>
        <v>37825</v>
      </c>
      <c r="H48" s="1010"/>
      <c r="I48" s="1295">
        <f>V48</f>
        <v>37825</v>
      </c>
      <c r="J48" s="1010"/>
      <c r="K48" s="1095">
        <f>F48+H48+J48</f>
        <v>0</v>
      </c>
      <c r="L48" s="1094"/>
      <c r="M48" s="1015"/>
      <c r="N48" s="1015"/>
      <c r="O48" s="1015"/>
      <c r="P48" s="3420" t="str">
        <f>A48</f>
        <v>比较价值（元/平方米）</v>
      </c>
      <c r="Q48" s="3420"/>
      <c r="R48" s="3418">
        <f>IF(F1="售价",ROUND(PRODUCT(R47,AA7:AA46),0),ROUND(PRODUCT(R47,AA7:AA46),1))</f>
        <v>40267</v>
      </c>
      <c r="S48" s="3418"/>
      <c r="T48" s="3418">
        <f>IF(F1="售价",ROUND(PRODUCT(T47,AB7:AB46),0),ROUND(PRODUCT(T47,AB7:AB46),1))</f>
        <v>37825</v>
      </c>
      <c r="U48" s="3418"/>
      <c r="V48" s="3418">
        <f>IF(F1="售价",ROUND(PRODUCT(V47,AC7:AC46),0),ROUND(PRODUCT(V47,AC7:AC46),1))</f>
        <v>37825</v>
      </c>
      <c r="W48" s="3418"/>
      <c r="X48" s="1055"/>
      <c r="Y48" s="1055"/>
      <c r="Z48" s="1055"/>
      <c r="AA48" s="1055"/>
      <c r="AB48" s="1055"/>
      <c r="AC48" s="1055"/>
    </row>
    <row r="49" spans="1:29" ht="15" thickBot="1">
      <c r="A49" s="1012" t="s">
        <v>1402</v>
      </c>
      <c r="B49" s="1013"/>
      <c r="C49" s="925">
        <f>R49</f>
        <v>38639</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38639</v>
      </c>
      <c r="S49" s="3456"/>
      <c r="T49" s="3456"/>
      <c r="U49" s="3456"/>
      <c r="V49" s="3456"/>
      <c r="W49" s="3456"/>
      <c r="X49" s="1055"/>
      <c r="Y49" s="1055"/>
      <c r="Z49" s="1055"/>
      <c r="AA49" s="1055"/>
      <c r="AB49" s="1055"/>
      <c r="AC49" s="1055"/>
    </row>
    <row r="50" spans="1:29">
      <c r="A50" s="1015"/>
      <c r="B50" s="1015"/>
      <c r="C50" s="1015">
        <f>ROUND(C48*D3/10000,4)</f>
        <v>166.07040000000001</v>
      </c>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f ca="1">C50-D2</f>
        <v>162.20000000000002</v>
      </c>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6.7871954702361625E-2</v>
      </c>
      <c r="F52" s="1019" t="str">
        <f>IF(OR(E52&gt;=0.3,E52&lt;=-0.3),"超过30%","")</f>
        <v/>
      </c>
      <c r="G52" s="1018">
        <f>IF(G47&lt;G48,G48/G47-1,G47/G48-1)</f>
        <v>5.7501652346331866E-2</v>
      </c>
      <c r="H52" s="1019" t="str">
        <f>IF(OR(G52&gt;=0.3,G52&lt;=-0.3),"超过30%","")</f>
        <v/>
      </c>
      <c r="I52" s="1018">
        <f>IF(I47&lt;I48,I48/I47-1,I47/I48-1)</f>
        <v>5.7501652346331866E-2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6.456047587574365E-2</v>
      </c>
      <c r="F53" s="1019" t="str">
        <f>IF(OR(E53&gt;=0.2,E53&lt;=-0.2),"超过20%","")</f>
        <v/>
      </c>
      <c r="G53" s="1018">
        <f>IF(G48&lt;I48,I48/G48-1,G48/I48-1)</f>
        <v>0</v>
      </c>
      <c r="H53" s="1019" t="str">
        <f>IF(OR(G53&gt;=0.2,G53&lt;=-0.2),"超过20%","")</f>
        <v/>
      </c>
      <c r="I53" s="1018">
        <f>IF(I48&lt;E48,E48/I48-1,I48/E48-1)</f>
        <v>6.456047587574365E-2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37" zoomScale="70" zoomScaleNormal="70" workbookViewId="0">
      <selection activeCell="C45" sqref="C45"/>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104</v>
      </c>
      <c r="D1" s="1827" t="s">
        <v>124</v>
      </c>
      <c r="E1" s="1828" t="s">
        <v>1146</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123.9389</v>
      </c>
      <c r="C2" s="1833" t="s">
        <v>1148</v>
      </c>
      <c r="D2" s="1834">
        <f ca="1">C40+J29+L46</f>
        <v>1239389</v>
      </c>
      <c r="E2" s="1835" t="s">
        <v>1437</v>
      </c>
      <c r="F2" s="1836"/>
      <c r="G2" s="1837"/>
      <c r="H2" s="1838"/>
      <c r="I2" s="3202">
        <f ca="1">F6*F7*F8/12</f>
        <v>5163.8679166666661</v>
      </c>
      <c r="J2" s="1838"/>
      <c r="K2" s="1993"/>
      <c r="L2" s="1838"/>
      <c r="M2" s="1838"/>
    </row>
    <row r="3" spans="1:37" ht="18" customHeight="1" thickBot="1">
      <c r="A3" s="1839" t="s">
        <v>1149</v>
      </c>
      <c r="B3" s="1840">
        <f ca="1">IF(ISERROR(D2/F43),0,ROUND(D2/F43,0))</f>
        <v>28836</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62204</v>
      </c>
      <c r="D5" s="1849" t="s">
        <v>1158</v>
      </c>
      <c r="E5" s="1850"/>
      <c r="F5" s="1851"/>
      <c r="G5" s="714"/>
      <c r="H5" s="1846">
        <v>1</v>
      </c>
      <c r="I5" s="1847" t="s">
        <v>1157</v>
      </c>
      <c r="J5" s="1848">
        <f ca="1">J6+J10+J12</f>
        <v>92312</v>
      </c>
      <c r="K5" s="1849" t="s">
        <v>1158</v>
      </c>
      <c r="L5" s="1850"/>
      <c r="M5" s="1851"/>
    </row>
    <row r="6" spans="1:37" ht="18" customHeight="1">
      <c r="A6" s="1852" t="s">
        <v>904</v>
      </c>
      <c r="B6" s="3396" t="s">
        <v>1159</v>
      </c>
      <c r="C6" s="1853">
        <f ca="1">ROUND(F6*F8*F7*(1-F9),0)</f>
        <v>61966</v>
      </c>
      <c r="D6" s="1854" t="s">
        <v>1438</v>
      </c>
      <c r="E6" s="1855" t="s">
        <v>1161</v>
      </c>
      <c r="F6" s="1856">
        <f ca="1">INDIRECT("'数据-取费表'!u"&amp;$G$1)</f>
        <v>3.95</v>
      </c>
      <c r="G6" s="714"/>
      <c r="H6" s="1852" t="s">
        <v>904</v>
      </c>
      <c r="I6" s="3396" t="s">
        <v>1159</v>
      </c>
      <c r="J6" s="1926">
        <f ca="1">ROUND(M6*M8*M7*(1-M9),0)</f>
        <v>92197</v>
      </c>
      <c r="K6" s="1996" t="s">
        <v>1439</v>
      </c>
      <c r="L6" s="1855" t="s">
        <v>1161</v>
      </c>
      <c r="M6" s="1856">
        <f ca="1">INDIRECT("'数据-取费表'!z"&amp;$G$1)</f>
        <v>6.53</v>
      </c>
    </row>
    <row r="7" spans="1:37" ht="18" customHeight="1">
      <c r="A7" s="1857"/>
      <c r="B7" s="3397"/>
      <c r="C7" s="1858"/>
      <c r="D7" s="1859"/>
      <c r="E7" s="1860" t="s">
        <v>1163</v>
      </c>
      <c r="F7" s="1856">
        <f ca="1">IF(INDIRECT("'数据-取费表'!ah"&amp;$G$1)="",INDIRECT("'数据-取费表'!k"&amp;$G$1),INDIRECT("'数据-取费表'!ah"&amp;$G$1))</f>
        <v>42.98</v>
      </c>
      <c r="G7" s="714"/>
      <c r="H7" s="1861"/>
      <c r="I7" s="3397"/>
      <c r="J7" s="1862"/>
      <c r="K7" s="1859"/>
      <c r="L7" s="1855" t="s">
        <v>1163</v>
      </c>
      <c r="M7" s="1856">
        <f ca="1">F7</f>
        <v>42.98</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0.1</v>
      </c>
    </row>
    <row r="10" spans="1:37" ht="18" customHeight="1">
      <c r="A10" s="1852" t="s">
        <v>908</v>
      </c>
      <c r="B10" s="1864" t="s">
        <v>1166</v>
      </c>
      <c r="C10" s="1468">
        <f ca="1">ROUND(IF(F10="押一",C6/12*F11,IF(F10="押二",C6/12*2*F11,IF(F10="押三",C6/12*3*F11,C11*F11))),0)</f>
        <v>238</v>
      </c>
      <c r="D10" s="1865" t="s">
        <v>1167</v>
      </c>
      <c r="E10" s="1866" t="s">
        <v>1168</v>
      </c>
      <c r="F10" s="1867" t="s">
        <v>2895</v>
      </c>
      <c r="G10" s="714"/>
      <c r="H10" s="1852" t="s">
        <v>908</v>
      </c>
      <c r="I10" s="1864" t="s">
        <v>1166</v>
      </c>
      <c r="J10" s="1926">
        <f ca="1">ROUND(IF(M10="押一",J6/12*M11,IF(M10="押二",J6/12*2*M11,IF(M10="押三",J6/12*3*M11,J11*M11))),0)</f>
        <v>115</v>
      </c>
      <c r="K10" s="1997" t="s">
        <v>1441</v>
      </c>
      <c r="L10" s="1866" t="s">
        <v>1168</v>
      </c>
      <c r="M10" s="1867" t="s">
        <v>1440</v>
      </c>
    </row>
    <row r="11" spans="1:37" ht="18" customHeight="1">
      <c r="A11" s="1868"/>
      <c r="B11" s="1869" t="s">
        <v>1442</v>
      </c>
      <c r="C11" s="1870">
        <v>15883.8</v>
      </c>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208177</v>
      </c>
      <c r="D13" s="1882" t="s">
        <v>1173</v>
      </c>
      <c r="E13" s="1882" t="s">
        <v>1174</v>
      </c>
      <c r="F13" s="1883">
        <f ca="1">INDIRECT("'数据-取费表'!y"&amp;$G$1)</f>
        <v>0.83</v>
      </c>
      <c r="G13" s="714"/>
      <c r="H13" s="1879">
        <v>2</v>
      </c>
      <c r="I13" s="1880" t="s">
        <v>1172</v>
      </c>
      <c r="J13" s="2002">
        <f ca="1">ROUND(J14*J15,0)</f>
        <v>200653</v>
      </c>
      <c r="K13" s="1904" t="s">
        <v>1173</v>
      </c>
      <c r="L13" s="2003"/>
      <c r="M13" s="2004"/>
    </row>
    <row r="14" spans="1:37" ht="18" customHeight="1">
      <c r="A14" s="1884" t="s">
        <v>927</v>
      </c>
      <c r="B14" s="1855" t="s">
        <v>1175</v>
      </c>
      <c r="C14" s="1885">
        <f ca="1">ROUND(INDIRECT("'数据-取费表'!l"&amp;$G$1)*F43+'数据-取费表'!L14*INDIRECT("'数据-取费表'!S"&amp;$G$1),0)</f>
        <v>171920</v>
      </c>
      <c r="D14" s="1886" t="s">
        <v>1176</v>
      </c>
      <c r="E14" s="1887"/>
      <c r="F14" s="1888"/>
      <c r="G14" s="714"/>
      <c r="H14" s="1884" t="s">
        <v>904</v>
      </c>
      <c r="I14" s="1855" t="s">
        <v>1177</v>
      </c>
      <c r="J14" s="1469">
        <f ca="1">C29</f>
        <v>250816</v>
      </c>
      <c r="K14" s="2005"/>
      <c r="L14" s="2006"/>
      <c r="M14" s="2007"/>
    </row>
    <row r="15" spans="1:37" s="1823" customFormat="1" ht="18" customHeight="1" thickBot="1">
      <c r="A15" s="1884" t="s">
        <v>932</v>
      </c>
      <c r="B15" s="1855" t="s">
        <v>1106</v>
      </c>
      <c r="C15" s="1469">
        <f ca="1">ROUND(C14*F15,0)</f>
        <v>8596</v>
      </c>
      <c r="D15" s="1889" t="s">
        <v>1178</v>
      </c>
      <c r="E15" s="1889" t="s">
        <v>1179</v>
      </c>
      <c r="F15" s="1890">
        <f>'数据-取费表'!B33</f>
        <v>0.05</v>
      </c>
      <c r="G15" s="1891"/>
      <c r="H15" s="1892" t="s">
        <v>908</v>
      </c>
      <c r="I15" s="1877" t="s">
        <v>1174</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16781</v>
      </c>
      <c r="K16" s="1904" t="s">
        <v>1182</v>
      </c>
      <c r="L16" s="1905"/>
      <c r="M16" s="1851"/>
    </row>
    <row r="17" spans="1:37" s="1823" customFormat="1" ht="18" customHeight="1">
      <c r="A17" s="1884" t="s">
        <v>1183</v>
      </c>
      <c r="B17" s="1855" t="s">
        <v>1184</v>
      </c>
      <c r="C17" s="1469">
        <f ca="1">ROUND(F17*(F43+INDIRECT("'数据-取费表'!S"&amp;$G$1)),0)</f>
        <v>8596</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15366</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3438</v>
      </c>
      <c r="D18" s="1855" t="s">
        <v>1178</v>
      </c>
      <c r="E18" s="1855" t="s">
        <v>1179</v>
      </c>
      <c r="F18" s="1893">
        <f>'数据-取费表'!B36</f>
        <v>0.02</v>
      </c>
      <c r="G18" s="1891"/>
      <c r="H18" s="1884" t="s">
        <v>927</v>
      </c>
      <c r="I18" s="1855" t="s">
        <v>1191</v>
      </c>
      <c r="J18" s="1469">
        <f ca="1">ROUND(J6*M18/(1+'数据-取费表'!C42),0)</f>
        <v>4829</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192550</v>
      </c>
      <c r="D19" s="1895" t="s">
        <v>1194</v>
      </c>
      <c r="E19" s="1471"/>
      <c r="F19" s="1894"/>
      <c r="G19" s="714"/>
      <c r="H19" s="1884" t="s">
        <v>932</v>
      </c>
      <c r="I19" s="1855" t="s">
        <v>1195</v>
      </c>
      <c r="J19" s="1469">
        <f ca="1">IF(K19="按租金收入计税",ROUND(J6*M19/(1+'数据-取费表'!C42),0),ROUND(C29*M19*0.7,0))</f>
        <v>10537</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3851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752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201</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462</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75531</v>
      </c>
      <c r="K25" s="1923" t="s">
        <v>1220</v>
      </c>
      <c r="L25" s="1924"/>
      <c r="M25" s="1925"/>
    </row>
    <row r="26" spans="1:37" ht="18" customHeight="1">
      <c r="A26" s="1884" t="s">
        <v>927</v>
      </c>
      <c r="B26" s="1855" t="s">
        <v>1221</v>
      </c>
      <c r="C26" s="1469">
        <f ca="1">ROUND((C19+C20)*F26,0)</f>
        <v>29460</v>
      </c>
      <c r="D26" s="1896" t="s">
        <v>1222</v>
      </c>
      <c r="E26" s="1866" t="s">
        <v>1223</v>
      </c>
      <c r="F26" s="1863">
        <f ca="1">INDIRECT("'数据-取费表'!q"&amp;$G$1)</f>
        <v>0.15</v>
      </c>
      <c r="G26" s="714"/>
      <c r="H26" s="1846" t="s">
        <v>1224</v>
      </c>
      <c r="I26" s="1847" t="s">
        <v>1225</v>
      </c>
      <c r="J26" s="1926">
        <f ca="1">IF(J5&lt;&gt;0,ROUND(J25*(1-((1+M28)/(1+M26))^M27)/(M26-M28),0),0)</f>
        <v>1257364</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25.9</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250816</v>
      </c>
      <c r="D29" s="1901"/>
      <c r="E29" s="1877"/>
      <c r="F29" s="1902"/>
      <c r="G29" s="1891"/>
      <c r="H29" s="1903" t="s">
        <v>1236</v>
      </c>
      <c r="I29" s="1932" t="s">
        <v>1237</v>
      </c>
      <c r="J29" s="1933">
        <f ca="1">ROUND(J26/(1+F40)^F41,0)</f>
        <v>1140011</v>
      </c>
      <c r="K29" s="1934" t="s">
        <v>1238</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11599</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10328</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3246</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7082</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752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208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311</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50605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85874</v>
      </c>
      <c r="D40" s="1914" t="s">
        <v>1226</v>
      </c>
      <c r="E40" s="1855" t="s">
        <v>1227</v>
      </c>
      <c r="F40" s="1863">
        <f ca="1">INDIRECT("'数据-取费表'!I"&amp;$G$1)</f>
        <v>5.5E-2</v>
      </c>
      <c r="G40" s="714"/>
      <c r="H40" s="1927">
        <f ca="1">C39/C5</f>
        <v>0.81353289177544852</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thickBot="1">
      <c r="A43" s="1903" t="s">
        <v>1236</v>
      </c>
      <c r="B43" s="1932" t="s">
        <v>1242</v>
      </c>
      <c r="C43" s="1933">
        <f ca="1">ROUND(C40/F43,0)</f>
        <v>1998</v>
      </c>
      <c r="D43" s="1934" t="s">
        <v>1243</v>
      </c>
      <c r="E43" s="1935" t="s">
        <v>1244</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3.8704000000000001</v>
      </c>
      <c r="D45" s="1941" t="s">
        <v>1445</v>
      </c>
      <c r="E45" s="1937"/>
      <c r="F45" s="1937"/>
      <c r="O45" s="2021" t="s">
        <v>1245</v>
      </c>
      <c r="P45" s="1927"/>
      <c r="Q45" s="1927"/>
      <c r="R45" s="1927"/>
    </row>
    <row r="46" spans="1:18" s="714" customFormat="1" ht="13.8" thickBot="1">
      <c r="A46" s="1942" t="s">
        <v>1246</v>
      </c>
      <c r="C46" s="1943">
        <f ca="1">ROUND(C45,0)</f>
        <v>4</v>
      </c>
      <c r="D46" s="1944" t="str">
        <f>C2</f>
        <v>万元</v>
      </c>
      <c r="I46" s="2022" t="s">
        <v>1247</v>
      </c>
      <c r="J46" s="2023"/>
      <c r="K46" s="2024"/>
      <c r="L46" s="2025">
        <f ca="1">IF(M47="住宅",0,IF(L48&gt;J51,L60,J60))</f>
        <v>13504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1225885</v>
      </c>
      <c r="R47" s="2070" t="s">
        <v>1255</v>
      </c>
    </row>
    <row r="48" spans="1:18" s="714" customFormat="1" ht="40.200000000000003" thickBot="1">
      <c r="A48" s="1949" t="s">
        <v>1256</v>
      </c>
      <c r="B48" s="1847" t="s">
        <v>1157</v>
      </c>
      <c r="C48" s="1470">
        <f ca="1">C49+C53+C55</f>
        <v>89060</v>
      </c>
      <c r="D48" s="1950"/>
      <c r="E48" s="1951"/>
      <c r="F48" s="1952"/>
      <c r="G48" s="1948"/>
      <c r="H48" s="1953"/>
      <c r="I48" s="2035" t="s">
        <v>1257</v>
      </c>
      <c r="J48" s="2036" t="s">
        <v>1446</v>
      </c>
      <c r="K48" s="2037" t="s">
        <v>1258</v>
      </c>
      <c r="L48" s="2038">
        <f ca="1">INDIRECT("'数据-取费表'!f"&amp;$G$1)</f>
        <v>27.73</v>
      </c>
      <c r="O48" s="2033" t="s">
        <v>1014</v>
      </c>
      <c r="P48" s="2034" t="s">
        <v>1259</v>
      </c>
      <c r="Q48" s="2070">
        <f ca="1">J60</f>
        <v>13504</v>
      </c>
      <c r="R48" s="2070" t="s">
        <v>1260</v>
      </c>
    </row>
    <row r="49" spans="1:18" s="714" customFormat="1" ht="13.8" thickBot="1">
      <c r="A49" s="1954" t="s">
        <v>1261</v>
      </c>
      <c r="B49" s="1955" t="s">
        <v>1262</v>
      </c>
      <c r="C49" s="1956">
        <f ca="1">ROUND(F49*F51*F50*(1-F52),0)</f>
        <v>88949</v>
      </c>
      <c r="D49" s="1957" t="s">
        <v>1447</v>
      </c>
      <c r="E49" s="1958" t="s">
        <v>1263</v>
      </c>
      <c r="F49" s="1959">
        <f>'数据-取费表'!Y22</f>
        <v>6.3</v>
      </c>
      <c r="H49" s="1953"/>
      <c r="I49" s="2035" t="s">
        <v>1264</v>
      </c>
      <c r="J49" s="2039">
        <f>'数据-取费表'!N17</f>
        <v>2015</v>
      </c>
      <c r="K49" s="2037" t="s">
        <v>1265</v>
      </c>
      <c r="L49" s="2040"/>
      <c r="O49" s="2041" t="s">
        <v>1266</v>
      </c>
      <c r="P49" s="2034" t="s">
        <v>1267</v>
      </c>
      <c r="Q49" s="2070">
        <f ca="1">C29</f>
        <v>250816</v>
      </c>
      <c r="R49" s="2070" t="s">
        <v>1255</v>
      </c>
    </row>
    <row r="50" spans="1:18" s="714" customFormat="1" ht="13.8" thickBot="1">
      <c r="A50" s="1960"/>
      <c r="B50" s="1431"/>
      <c r="C50" s="1961"/>
      <c r="D50" s="1962"/>
      <c r="E50" s="1963" t="s">
        <v>1163</v>
      </c>
      <c r="F50" s="1964">
        <f ca="1">F7</f>
        <v>42.98</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657809</v>
      </c>
      <c r="M51" s="2047"/>
      <c r="O51" s="2041" t="s">
        <v>1274</v>
      </c>
      <c r="P51" s="2034" t="s">
        <v>1275</v>
      </c>
      <c r="Q51" s="2071">
        <f>J52</f>
        <v>7.4999999999999997E-2</v>
      </c>
      <c r="R51" s="2070"/>
    </row>
    <row r="52" spans="1:18" s="714" customFormat="1" ht="13.8" thickBot="1">
      <c r="A52" s="1965"/>
      <c r="B52" s="1431"/>
      <c r="C52" s="1961"/>
      <c r="D52" s="1962"/>
      <c r="E52" s="1966" t="s">
        <v>1165</v>
      </c>
      <c r="F52" s="1967">
        <v>0.1</v>
      </c>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111</v>
      </c>
      <c r="D53" s="1865" t="s">
        <v>1448</v>
      </c>
      <c r="E53" s="1866" t="s">
        <v>1168</v>
      </c>
      <c r="F53" s="1867" t="s">
        <v>1440</v>
      </c>
      <c r="I53" s="2050" t="s">
        <v>1282</v>
      </c>
      <c r="J53" s="2051">
        <f ca="1">IF(M47="住宅",IF(D1="——",MAX(J51,L48),MAX(J51,L48-'数据-取费表'!B24)),IF(D1="——",MIN(J51,L48),MIN(J51,L48-'数据-取费表'!B24)))</f>
        <v>27.73</v>
      </c>
      <c r="K53" s="3394" t="s">
        <v>1283</v>
      </c>
      <c r="L53" s="3395"/>
      <c r="O53" s="2033" t="s">
        <v>1108</v>
      </c>
      <c r="P53" s="2034" t="s">
        <v>1284</v>
      </c>
      <c r="Q53" s="2070">
        <f ca="1">Q47+Q48</f>
        <v>1239389</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208177</v>
      </c>
      <c r="D56" s="1974"/>
      <c r="E56" s="1975"/>
      <c r="F56" s="1971"/>
      <c r="I56" s="2058" t="s">
        <v>1289</v>
      </c>
      <c r="J56" s="2059" t="s">
        <v>1449</v>
      </c>
      <c r="K56" s="2035" t="s">
        <v>1290</v>
      </c>
      <c r="L56" s="2038" t="str">
        <f ca="1">IF(L48&lt;J51,"——",L48-J51)</f>
        <v>——</v>
      </c>
      <c r="O56" s="2033" t="s">
        <v>1011</v>
      </c>
      <c r="P56" s="2034" t="s">
        <v>1254</v>
      </c>
      <c r="Q56" s="2070">
        <f ca="1">C40+J29</f>
        <v>1225885</v>
      </c>
      <c r="R56" s="2070" t="s">
        <v>1255</v>
      </c>
    </row>
    <row r="57" spans="1:18" s="714" customFormat="1" ht="24.6" thickBot="1">
      <c r="A57" s="1976"/>
      <c r="B57" s="1977" t="s">
        <v>1235</v>
      </c>
      <c r="C57" s="388">
        <f ca="1">C29</f>
        <v>250816</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16236</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14831</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4665</v>
      </c>
      <c r="D60" s="1985" t="s">
        <v>1192</v>
      </c>
      <c r="E60" s="1977" t="s">
        <v>1179</v>
      </c>
      <c r="F60" s="1899">
        <f t="shared" ref="F60:F66" si="0">F32</f>
        <v>5.5000000000000007E-2</v>
      </c>
      <c r="I60" s="2063" t="s">
        <v>1300</v>
      </c>
      <c r="J60" s="2064">
        <f ca="1">IF(OR(M47="住宅",J51&lt;L48,J56="是"),"0",ROUND(J59/(1+J52)^J53,0))</f>
        <v>13504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10166</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1225885</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752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208</v>
      </c>
      <c r="D65" s="1985" t="s">
        <v>1212</v>
      </c>
      <c r="E65" s="1977" t="s">
        <v>1179</v>
      </c>
      <c r="F65" s="1921">
        <f t="shared" ca="1" si="0"/>
        <v>1E-3</v>
      </c>
      <c r="I65" s="2066" t="s">
        <v>1313</v>
      </c>
      <c r="J65" s="1032">
        <v>40</v>
      </c>
      <c r="K65" s="1032">
        <v>30</v>
      </c>
      <c r="L65" s="1032">
        <v>50</v>
      </c>
      <c r="M65" s="2068">
        <v>0.02</v>
      </c>
      <c r="O65" s="2033" t="s">
        <v>1011</v>
      </c>
      <c r="P65" s="2034" t="s">
        <v>1254</v>
      </c>
      <c r="Q65" s="2070">
        <f ca="1">C40+J29</f>
        <v>1225885</v>
      </c>
      <c r="R65" s="2070" t="s">
        <v>1255</v>
      </c>
    </row>
    <row r="66" spans="1:18" s="714" customFormat="1" ht="16.2" thickBot="1">
      <c r="A66" s="1884" t="s">
        <v>958</v>
      </c>
      <c r="B66" s="1977" t="s">
        <v>1197</v>
      </c>
      <c r="C66" s="1469">
        <f ca="1">ROUND(C48*F66,0)</f>
        <v>445</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72824</v>
      </c>
      <c r="D67" s="1984" t="s">
        <v>1220</v>
      </c>
      <c r="E67" s="2073"/>
      <c r="F67" s="2074"/>
      <c r="O67" s="2041" t="s">
        <v>1266</v>
      </c>
      <c r="P67" s="2034" t="s">
        <v>1297</v>
      </c>
      <c r="Q67" s="2094">
        <f ca="1">L51</f>
        <v>657809</v>
      </c>
      <c r="R67" s="2070" t="s">
        <v>1314</v>
      </c>
    </row>
    <row r="68" spans="1:18" s="714" customFormat="1" ht="16.2" thickBot="1">
      <c r="A68" s="2075" t="s">
        <v>1224</v>
      </c>
      <c r="B68" s="2076" t="s">
        <v>1241</v>
      </c>
      <c r="C68" s="1926">
        <f ca="1">ROUND(C67*(1-((1+F70)/(1+F68))^F69)/(F68-F70),0)</f>
        <v>124578</v>
      </c>
      <c r="D68" s="1987" t="s">
        <v>1226</v>
      </c>
      <c r="E68" s="1977" t="s">
        <v>1227</v>
      </c>
      <c r="F68" s="1863">
        <f ca="1">F40</f>
        <v>5.5E-2</v>
      </c>
      <c r="O68" s="2041" t="s">
        <v>1270</v>
      </c>
      <c r="P68" s="2093" t="s">
        <v>1315</v>
      </c>
      <c r="Q68" s="2070">
        <f ca="1">ROUND(Q69-Q70*Q71,0)</f>
        <v>36033</v>
      </c>
      <c r="R68" s="2070" t="s">
        <v>1316</v>
      </c>
    </row>
    <row r="69" spans="1:18" s="714" customFormat="1" ht="13.8" thickBot="1">
      <c r="A69" s="2077"/>
      <c r="B69" s="2078"/>
      <c r="C69" s="1862"/>
      <c r="D69" s="2079" t="s">
        <v>1230</v>
      </c>
      <c r="E69" s="1977" t="s">
        <v>1231</v>
      </c>
      <c r="F69" s="1930">
        <f ca="1">F41</f>
        <v>1.83</v>
      </c>
      <c r="O69" s="2041" t="s">
        <v>1317</v>
      </c>
      <c r="P69" s="2093" t="s">
        <v>1318</v>
      </c>
      <c r="Q69" s="2070">
        <f ca="1">C39</f>
        <v>50605</v>
      </c>
      <c r="R69" s="2070" t="s">
        <v>1255</v>
      </c>
    </row>
    <row r="70" spans="1:18" s="714" customFormat="1" ht="13.8" thickBot="1">
      <c r="A70" s="2080"/>
      <c r="B70" s="2081"/>
      <c r="C70" s="1881"/>
      <c r="D70" s="1989"/>
      <c r="E70" s="1977" t="s">
        <v>1234</v>
      </c>
      <c r="F70" s="1967">
        <v>0.02</v>
      </c>
      <c r="O70" s="2041" t="s">
        <v>1319</v>
      </c>
      <c r="P70" s="2093" t="s">
        <v>1320</v>
      </c>
      <c r="Q70" s="2070">
        <f ca="1">C13</f>
        <v>208177</v>
      </c>
      <c r="R70" s="2070" t="s">
        <v>1255</v>
      </c>
    </row>
    <row r="71" spans="1:18" s="714" customFormat="1" ht="13.8" thickBot="1">
      <c r="A71" s="2082" t="s">
        <v>1236</v>
      </c>
      <c r="B71" s="2083" t="s">
        <v>1242</v>
      </c>
      <c r="C71" s="1933">
        <f ca="1">ROUND(C68/F71,0)</f>
        <v>2899</v>
      </c>
      <c r="D71" s="2084" t="s">
        <v>1243</v>
      </c>
      <c r="E71" s="2085" t="s">
        <v>1244</v>
      </c>
      <c r="F71" s="1936">
        <f ca="1">F43</f>
        <v>42.98</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14572</v>
      </c>
      <c r="D75" s="714"/>
      <c r="E75" s="714"/>
      <c r="F75" s="714"/>
      <c r="K75" s="2020"/>
      <c r="L75" s="714"/>
      <c r="O75" s="2033" t="s">
        <v>1108</v>
      </c>
      <c r="P75" s="2034" t="s">
        <v>1284</v>
      </c>
      <c r="Q75" s="2070">
        <f ca="1">Q65+Q66</f>
        <v>1225885</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0.71199999999999997</v>
      </c>
    </row>
    <row r="80" spans="1:18">
      <c r="B80" s="2087" t="s">
        <v>1330</v>
      </c>
      <c r="C80" s="421">
        <f ca="1">ROUND(C75/C39,3)</f>
        <v>0.28799999999999998</v>
      </c>
    </row>
    <row r="81" spans="2:3">
      <c r="B81" s="418" t="s">
        <v>1331</v>
      </c>
      <c r="C81" s="388"/>
    </row>
    <row r="82" spans="2:3">
      <c r="B82" s="420" t="s">
        <v>1090</v>
      </c>
      <c r="C82" s="422">
        <f ca="1">1-C83</f>
        <v>-1.4239999999999999</v>
      </c>
    </row>
    <row r="83" spans="2:3">
      <c r="B83" s="420" t="s">
        <v>1091</v>
      </c>
      <c r="C83" s="421">
        <f ca="1">ROUND(C13/C40,3)</f>
        <v>2.4239999999999999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2630</v>
      </c>
      <c r="C1" s="228"/>
      <c r="D1" s="228"/>
      <c r="E1" s="228"/>
      <c r="F1" s="228"/>
      <c r="G1" s="228"/>
      <c r="H1" s="228"/>
      <c r="I1" s="228"/>
      <c r="J1" s="246"/>
      <c r="K1" s="228" t="s">
        <v>2631</v>
      </c>
      <c r="L1" s="228"/>
      <c r="M1" s="228"/>
      <c r="N1" s="228"/>
      <c r="O1" s="228"/>
      <c r="P1" s="228"/>
      <c r="Q1" s="246"/>
      <c r="R1" s="3531" t="s">
        <v>2632</v>
      </c>
      <c r="S1" s="3532"/>
      <c r="T1" s="3532"/>
      <c r="U1" s="3532"/>
      <c r="V1" s="3532"/>
      <c r="W1" s="3532"/>
      <c r="X1" s="246"/>
      <c r="Y1" s="3531" t="s">
        <v>2633</v>
      </c>
      <c r="Z1" s="3532"/>
      <c r="AA1" s="3532"/>
      <c r="AB1" s="3532"/>
      <c r="AC1" s="3532"/>
      <c r="AD1" s="3532"/>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31" t="s">
        <v>2632</v>
      </c>
      <c r="S29" s="3532"/>
      <c r="T29" s="3532"/>
      <c r="U29" s="3532"/>
      <c r="V29" s="3532"/>
      <c r="W29" s="3532"/>
      <c r="X29" s="246"/>
      <c r="Y29" s="3531" t="s">
        <v>2633</v>
      </c>
      <c r="Z29" s="3532"/>
      <c r="AA29" s="3532"/>
      <c r="AB29" s="3532"/>
      <c r="AC29" s="3532"/>
      <c r="AD29" s="3532"/>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25" t="str">
        <f>IF(项目基本情况!B9="房地产市场价值","估价结果一览表","结果表-2")</f>
        <v>结果表-2</v>
      </c>
      <c r="B1" s="3225"/>
      <c r="C1" s="3225"/>
      <c r="D1" s="3225"/>
      <c r="E1" s="3225"/>
      <c r="F1" s="3225"/>
      <c r="G1" s="3225"/>
      <c r="H1" s="3225"/>
      <c r="I1" s="3225"/>
    </row>
    <row r="2" spans="1:9" ht="30" customHeight="1">
      <c r="A2" s="3226" t="s">
        <v>107</v>
      </c>
      <c r="B2" s="3226" t="s">
        <v>108</v>
      </c>
      <c r="C2" s="3226" t="s">
        <v>109</v>
      </c>
      <c r="D2" s="3226" t="str">
        <f>结果表101!D116</f>
        <v>出让国有建设用地使用权价值</v>
      </c>
      <c r="E2" s="3226"/>
      <c r="F2" s="3226" t="str">
        <f>结果表101!F116</f>
        <v>在建建筑物价值</v>
      </c>
      <c r="G2" s="3226"/>
      <c r="H2" s="3226" t="str">
        <f>IF(项目基本情况!B9="房地产市场价值","房地产市场价值","房地产价值")</f>
        <v>房地产价值</v>
      </c>
      <c r="I2" s="3226"/>
    </row>
    <row r="3" spans="1:9" ht="15.6">
      <c r="A3" s="3221"/>
      <c r="B3" s="3221"/>
      <c r="C3" s="3221"/>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405</v>
      </c>
      <c r="E4" s="3122">
        <f ca="1">结果表101!E118</f>
        <v>30797</v>
      </c>
      <c r="F4" s="3122">
        <f ca="1">结果表101!F118</f>
        <v>89</v>
      </c>
      <c r="G4" s="3122">
        <f ca="1">结果表101!G118</f>
        <v>6760</v>
      </c>
      <c r="H4" s="3122">
        <f ca="1">结果表101!H118</f>
        <v>494</v>
      </c>
      <c r="I4" s="3122">
        <f ca="1">结果表101!I118</f>
        <v>37557</v>
      </c>
    </row>
    <row r="5" spans="1:9" ht="30" customHeight="1">
      <c r="A5" s="3221" t="s">
        <v>112</v>
      </c>
      <c r="B5" s="3221"/>
      <c r="C5" s="3221"/>
      <c r="D5" s="3221" t="str">
        <f ca="1">结果表101!D119</f>
        <v>肆佰零伍万元整</v>
      </c>
      <c r="E5" s="3221"/>
      <c r="F5" s="3221" t="str">
        <f ca="1">结果表101!F119</f>
        <v>捌拾玖万元整</v>
      </c>
      <c r="G5" s="3221"/>
      <c r="H5" s="3221" t="str">
        <f ca="1">结果表101!H119</f>
        <v>肆佰玖拾肆万元整</v>
      </c>
      <c r="I5" s="3221"/>
    </row>
    <row r="6" spans="1:9" ht="15.6">
      <c r="A6" s="3218" t="str">
        <f>结果表101!A120</f>
        <v>估价师知悉的法定优先受偿款</v>
      </c>
      <c r="B6" s="3218"/>
      <c r="C6" s="3218"/>
      <c r="D6" s="3218">
        <f>结果表101!D120</f>
        <v>0</v>
      </c>
      <c r="E6" s="3218"/>
      <c r="F6" s="3218"/>
      <c r="G6" s="3218"/>
      <c r="H6" s="3218"/>
      <c r="I6" s="3218"/>
    </row>
    <row r="7" spans="1:9" ht="15">
      <c r="A7" s="3221" t="s">
        <v>112</v>
      </c>
      <c r="B7" s="3221"/>
      <c r="C7" s="3221"/>
      <c r="D7" s="3222" t="str">
        <f>结果表101!D121</f>
        <v>零元整</v>
      </c>
      <c r="E7" s="3223"/>
      <c r="F7" s="3223"/>
      <c r="G7" s="3223"/>
      <c r="H7" s="3223"/>
      <c r="I7" s="3224"/>
    </row>
    <row r="8" spans="1:9" ht="15.6">
      <c r="A8" s="3218" t="str">
        <f>结果表101!A122</f>
        <v>房地产抵押价值</v>
      </c>
      <c r="B8" s="3218"/>
      <c r="C8" s="3218"/>
      <c r="D8" s="3218">
        <f ca="1">结果表101!D122</f>
        <v>494</v>
      </c>
      <c r="E8" s="3218"/>
      <c r="F8" s="3218"/>
      <c r="G8" s="3218"/>
      <c r="H8" s="3218"/>
      <c r="I8" s="3218"/>
    </row>
    <row r="9" spans="1:9" ht="15">
      <c r="A9" s="3221" t="s">
        <v>112</v>
      </c>
      <c r="B9" s="3221"/>
      <c r="C9" s="3221"/>
      <c r="D9" s="3221" t="str">
        <f ca="1">结果表101!D123</f>
        <v>肆佰玖拾肆万元整</v>
      </c>
      <c r="E9" s="3221"/>
      <c r="F9" s="3221"/>
      <c r="G9" s="3221"/>
      <c r="H9" s="3221"/>
      <c r="I9" s="3221"/>
    </row>
    <row r="10" spans="1:9" ht="15.6">
      <c r="A10" s="3218" t="str">
        <f>结果表101!A124</f>
        <v/>
      </c>
      <c r="B10" s="3218"/>
      <c r="C10" s="3218"/>
      <c r="D10" s="3218" t="str">
        <f>结果表101!D124</f>
        <v>——</v>
      </c>
      <c r="E10" s="3218"/>
      <c r="F10" s="3218"/>
      <c r="G10" s="3218"/>
      <c r="H10" s="3218"/>
      <c r="I10" s="3218"/>
    </row>
    <row r="11" spans="1:9" ht="15">
      <c r="A11" s="3221" t="s">
        <v>112</v>
      </c>
      <c r="B11" s="3221"/>
      <c r="C11" s="3221"/>
      <c r="D11" s="3221" t="e">
        <f>结果表101!D125</f>
        <v>#VALUE!</v>
      </c>
      <c r="E11" s="3221"/>
      <c r="F11" s="3221"/>
      <c r="G11" s="3221"/>
      <c r="H11" s="3221"/>
      <c r="I11" s="3221"/>
    </row>
    <row r="12" spans="1:9" ht="15.6">
      <c r="A12" s="3218" t="str">
        <f>结果表101!A126</f>
        <v/>
      </c>
      <c r="B12" s="3218"/>
      <c r="C12" s="3218"/>
      <c r="D12" s="3218" t="str">
        <f>结果表101!D126</f>
        <v>——</v>
      </c>
      <c r="E12" s="3218"/>
      <c r="F12" s="3218"/>
      <c r="G12" s="3218"/>
      <c r="H12" s="3218"/>
      <c r="I12" s="3218"/>
    </row>
    <row r="13" spans="1:9" ht="15">
      <c r="A13" s="3219" t="s">
        <v>112</v>
      </c>
      <c r="B13" s="3219"/>
      <c r="C13" s="3219"/>
      <c r="D13" s="3219" t="e">
        <f>结果表101!D127</f>
        <v>#VALUE!</v>
      </c>
      <c r="E13" s="3219"/>
      <c r="F13" s="3219"/>
      <c r="G13" s="3219"/>
      <c r="H13" s="3219"/>
      <c r="I13" s="3219"/>
    </row>
    <row r="14" spans="1:9">
      <c r="A14" s="3220" t="s">
        <v>113</v>
      </c>
      <c r="B14" s="3220"/>
      <c r="C14" s="3220"/>
      <c r="D14" s="3220"/>
      <c r="E14" s="3220"/>
      <c r="F14" s="3220"/>
      <c r="G14" s="3220"/>
      <c r="H14" s="3220"/>
      <c r="I14" s="3220"/>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1" t="s">
        <v>2659</v>
      </c>
      <c r="C1" s="3541"/>
      <c r="D1" s="3541"/>
      <c r="E1" s="3541"/>
      <c r="F1" s="3541"/>
      <c r="G1" s="3532" t="s">
        <v>2660</v>
      </c>
      <c r="H1" s="3532"/>
      <c r="I1" s="3532"/>
      <c r="J1" s="3532"/>
      <c r="K1" s="3532"/>
      <c r="L1" s="3532"/>
      <c r="N1" s="3532" t="s">
        <v>2631</v>
      </c>
      <c r="O1" s="3532"/>
      <c r="P1" s="3532"/>
      <c r="Q1" s="3532"/>
      <c r="S1" s="3532" t="s">
        <v>2661</v>
      </c>
      <c r="T1" s="3532"/>
      <c r="U1" s="3532"/>
      <c r="V1" s="3532"/>
      <c r="X1" s="3531" t="s">
        <v>2632</v>
      </c>
      <c r="Y1" s="3532"/>
      <c r="Z1" s="3532"/>
      <c r="AA1" s="3532"/>
      <c r="AB1" s="3532"/>
      <c r="AD1" s="3531" t="s">
        <v>2633</v>
      </c>
      <c r="AE1" s="3532"/>
      <c r="AF1" s="3532"/>
      <c r="AG1" s="3532"/>
      <c r="AH1" s="3532"/>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4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4"/>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3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3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40">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34"/>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35"/>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3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4"/>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3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3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33">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4"/>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3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35"/>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3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7"/>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3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38"/>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33">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3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3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3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33">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34">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35">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33">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4">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34">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35">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33">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4">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3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3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3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3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3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33">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4">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34">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35">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33">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4">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34">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35">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33">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4">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34">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35">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33">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4">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34">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35">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33">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34">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34">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35">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33">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34">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34">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3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42" t="s">
        <v>2750</v>
      </c>
      <c r="B1" s="3542"/>
      <c r="C1" s="3542"/>
      <c r="D1" s="3542"/>
      <c r="E1" s="3542"/>
      <c r="F1" s="3542"/>
      <c r="G1" s="354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44"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45"/>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33" t="s">
        <v>114</v>
      </c>
      <c r="B1" s="3233"/>
      <c r="C1" s="3233"/>
      <c r="D1" s="3233"/>
    </row>
    <row r="2" spans="1:4" ht="17.399999999999999">
      <c r="A2" s="3234" t="s">
        <v>115</v>
      </c>
      <c r="B2" s="3234"/>
      <c r="C2" s="3234"/>
      <c r="D2" s="3234"/>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34" t="s">
        <v>121</v>
      </c>
      <c r="B6" s="3234"/>
      <c r="C6" s="3234"/>
      <c r="D6" s="3234"/>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35" t="s">
        <v>126</v>
      </c>
      <c r="B11" s="3228"/>
      <c r="C11" s="3228"/>
      <c r="D11" s="3228"/>
    </row>
    <row r="12" spans="1:4" ht="15.6">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8" t="str">
        <f>IF(项目基本情况!B8="抵押","4.本次评估估价师所知悉的法定优先受偿款情况说明如下：","——")</f>
        <v>4.本次评估估价师所知悉的法定优先受偿款情况说明如下：</v>
      </c>
      <c r="B14" s="3231"/>
      <c r="C14" s="3231"/>
      <c r="D14" s="3231"/>
    </row>
    <row r="15" spans="1:4" ht="42" customHeight="1">
      <c r="A15" s="32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2" t="s">
        <v>127</v>
      </c>
      <c r="B16" s="3232"/>
      <c r="C16" s="3232"/>
      <c r="D16" s="3232"/>
    </row>
    <row r="17" spans="1:4" ht="144" customHeight="1">
      <c r="A17" s="3232" t="s">
        <v>128</v>
      </c>
      <c r="B17" s="3232"/>
      <c r="C17" s="3232"/>
      <c r="D17" s="3232"/>
    </row>
    <row r="18" spans="1:4" ht="15.75" customHeight="1">
      <c r="A18" s="3228" t="str">
        <f>IF(项目基本情况!B8="抵押",结果表101!K120,"——")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29"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129</v>
      </c>
      <c r="B22" s="3230"/>
      <c r="C22" s="3230"/>
      <c r="D22" s="3230"/>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8" t="s">
        <v>146</v>
      </c>
      <c r="B15" s="3243" t="s">
        <v>147</v>
      </c>
      <c r="C15" s="3237"/>
    </row>
    <row r="16" spans="1:7" ht="14.4">
      <c r="A16" s="3239"/>
      <c r="B16" s="3243" t="s">
        <v>148</v>
      </c>
      <c r="C16" s="3237"/>
    </row>
    <row r="17" spans="1:3" ht="14.4">
      <c r="A17" s="3239"/>
      <c r="B17" s="3242" t="s">
        <v>149</v>
      </c>
      <c r="C17" s="3101" t="s">
        <v>146</v>
      </c>
    </row>
    <row r="18" spans="1:3" ht="14.4">
      <c r="A18" s="3239"/>
      <c r="B18" s="3242"/>
      <c r="C18" s="3101" t="s">
        <v>150</v>
      </c>
    </row>
    <row r="19" spans="1:3" ht="14.4">
      <c r="A19" s="3239"/>
      <c r="B19" s="3242"/>
      <c r="C19" s="3101" t="s">
        <v>151</v>
      </c>
    </row>
    <row r="20" spans="1:3" ht="14.4">
      <c r="A20" s="3240"/>
      <c r="B20" s="3236" t="s">
        <v>152</v>
      </c>
      <c r="C20" s="3237"/>
    </row>
    <row r="21" spans="1:3" ht="14.4">
      <c r="A21" s="3102" t="s">
        <v>153</v>
      </c>
      <c r="B21" s="3103"/>
      <c r="C21" s="3104"/>
    </row>
    <row r="22" spans="1:3" ht="14.4">
      <c r="A22" s="3241" t="s">
        <v>154</v>
      </c>
      <c r="B22" s="3236" t="s">
        <v>155</v>
      </c>
      <c r="C22" s="3237"/>
    </row>
    <row r="23" spans="1:3" ht="14.4">
      <c r="A23" s="3241"/>
      <c r="B23" s="3236" t="s">
        <v>156</v>
      </c>
      <c r="C23" s="3237"/>
    </row>
    <row r="24" spans="1:3" ht="14.4">
      <c r="A24" s="3241"/>
      <c r="B24" s="3236" t="s">
        <v>157</v>
      </c>
      <c r="C24" s="3237"/>
    </row>
    <row r="25" spans="1:3" ht="14.4">
      <c r="A25" s="3241"/>
      <c r="B25" s="3242" t="s">
        <v>158</v>
      </c>
      <c r="C25" s="3101" t="s">
        <v>159</v>
      </c>
    </row>
    <row r="26" spans="1:3" ht="14.4">
      <c r="A26" s="3241"/>
      <c r="B26" s="3242"/>
      <c r="C26" s="3101" t="s">
        <v>160</v>
      </c>
    </row>
    <row r="27" spans="1:3" ht="14.4">
      <c r="A27" s="3241"/>
      <c r="B27" s="3242"/>
      <c r="C27" s="3101" t="s">
        <v>161</v>
      </c>
    </row>
    <row r="28" spans="1:3" ht="14.4">
      <c r="A28" s="3241"/>
      <c r="B28" s="3242"/>
      <c r="C28" s="3101" t="s">
        <v>162</v>
      </c>
    </row>
    <row r="29" spans="1:3" ht="14.4">
      <c r="A29" s="3241"/>
      <c r="B29" s="3242"/>
      <c r="C29" s="3101" t="s">
        <v>163</v>
      </c>
    </row>
    <row r="30" spans="1:3" ht="14.4">
      <c r="A30" s="3241"/>
      <c r="B30" s="3242"/>
      <c r="C30" s="3101" t="s">
        <v>164</v>
      </c>
    </row>
    <row r="31" spans="1:3" ht="14.4">
      <c r="A31" s="3241"/>
      <c r="B31" s="3242"/>
      <c r="C31" s="3101" t="s">
        <v>165</v>
      </c>
    </row>
    <row r="32" spans="1:3" ht="14.4">
      <c r="A32" s="3241"/>
      <c r="B32" s="3242"/>
      <c r="C32" s="3101" t="s">
        <v>166</v>
      </c>
    </row>
    <row r="33" spans="1:3" ht="14.4">
      <c r="A33" s="3241"/>
      <c r="B33" s="3242"/>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45866</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070"/>
      <c r="E18" s="3246" t="s">
        <v>199</v>
      </c>
      <c r="F18" s="3245"/>
      <c r="G18" s="3245"/>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2025-07-28T10:01:16Z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