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S45" i="21"/>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45" i="21"/>
  <c r="U12" i="36"/>
  <c r="AC45" i="21"/>
  <c r="W45" i="21"/>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AC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P23" i="43"/>
  <c r="K106" i="9"/>
  <c r="O19" i="43"/>
  <c r="E63" i="40"/>
  <c r="E65" i="40" s="1"/>
  <c r="C115" i="43"/>
  <c r="J22" i="43"/>
  <c r="C21" i="43"/>
  <c r="M84" i="43"/>
  <c r="N84" i="43"/>
  <c r="K84" i="43"/>
  <c r="J84" i="43"/>
  <c r="D84" i="43"/>
  <c r="M81" i="43"/>
  <c r="N81" i="43" s="1"/>
  <c r="K81" i="43"/>
  <c r="J81" i="43" s="1"/>
  <c r="D81" i="43"/>
  <c r="M88" i="43"/>
  <c r="N88" i="43"/>
  <c r="K88" i="43"/>
  <c r="J88" i="43"/>
  <c r="D88" i="43"/>
  <c r="I113" i="57"/>
  <c r="M50" i="57" s="1"/>
  <c r="L68" i="57" s="1"/>
  <c r="M68" i="57" s="1"/>
  <c r="B40" i="1"/>
  <c r="M27" i="15" s="1"/>
  <c r="C11" i="12"/>
  <c r="C15" i="12" s="1"/>
  <c r="C34" i="11"/>
  <c r="C38" i="11"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H23" i="31"/>
  <c r="E2" i="36"/>
  <c r="E2" i="33"/>
  <c r="C19" i="57"/>
  <c r="C20" i="57"/>
  <c r="E2" i="35"/>
  <c r="E2" i="34"/>
  <c r="D19" i="57"/>
  <c r="E2" i="11"/>
  <c r="D20" i="57"/>
  <c r="E2" i="37"/>
  <c r="S8" i="21" l="1"/>
  <c r="AB8" i="21"/>
  <c r="U9" i="21"/>
  <c r="S9" i="21"/>
  <c r="F6" i="48"/>
  <c r="H6" i="48" s="1"/>
  <c r="F5" i="48"/>
  <c r="H5" i="48" s="1"/>
  <c r="B11" i="48"/>
  <c r="D11" i="48" s="1"/>
  <c r="C36" i="1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AA34"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C35" i="11"/>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S10" i="21" l="1"/>
  <c r="J54" i="15"/>
  <c r="B33" i="1" s="1"/>
  <c r="F41" i="15" s="1"/>
  <c r="F70" i="15" s="1"/>
  <c r="I55" i="15"/>
  <c r="W34" i="21"/>
  <c r="C33" i="1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C39" i="11"/>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F3" i="61"/>
  <c r="F6" i="61"/>
  <c r="D6" i="61"/>
  <c r="F5" i="61"/>
  <c r="F4" i="61"/>
  <c r="F7" i="61"/>
  <c r="D7" i="61"/>
  <c r="D4" i="61"/>
  <c r="D3" i="61"/>
  <c r="D5" i="61"/>
  <c r="Q50" i="15" l="1"/>
  <c r="W42" i="21"/>
  <c r="U42" i="2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Q45" i="15"/>
  <c r="Q51" i="15" s="1"/>
  <c r="L52" i="15"/>
  <c r="Q54" i="15"/>
  <c r="J41" i="15"/>
  <c r="E2" i="21"/>
  <c r="E46" i="40" l="1"/>
  <c r="F46" i="40" s="1"/>
  <c r="E47" i="40"/>
  <c r="F47" i="40" s="1"/>
  <c r="I47" i="40"/>
  <c r="J47" i="40" s="1"/>
  <c r="I46" i="40"/>
  <c r="J46" i="40" s="1"/>
  <c r="C43" i="40"/>
  <c r="C42" i="40"/>
  <c r="D35" i="9"/>
  <c r="J42" i="15"/>
  <c r="L58" i="15"/>
  <c r="L61" i="15" s="1"/>
  <c r="L47" i="15" s="1"/>
  <c r="Q65" i="15"/>
  <c r="O68" i="39"/>
  <c r="O70" i="39" s="1"/>
  <c r="N70" i="39"/>
  <c r="B3" i="15" l="1"/>
  <c r="B2" i="15"/>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D19" i="9"/>
  <c r="D20" i="9"/>
  <c r="D22" i="9" l="1"/>
  <c r="G19" i="9"/>
  <c r="D101" i="9"/>
  <c r="G20" i="9"/>
  <c r="D102" i="9"/>
  <c r="S7" i="39"/>
  <c r="AA7" i="39"/>
  <c r="R47" i="39" s="1"/>
  <c r="W7" i="39"/>
  <c r="AC7" i="39"/>
  <c r="V47" i="39" s="1"/>
  <c r="I47" i="39" s="1"/>
  <c r="AB7" i="39"/>
  <c r="T47" i="39" s="1"/>
  <c r="G47" i="39" s="1"/>
  <c r="U7" i="39"/>
  <c r="D15" i="62" l="1"/>
  <c r="C32" i="9"/>
  <c r="C35" i="9" s="1"/>
  <c r="C34" i="9" s="1"/>
  <c r="G51" i="39"/>
  <c r="H51" i="39" s="1"/>
  <c r="G52" i="39"/>
  <c r="H52" i="39" s="1"/>
  <c r="I51" i="39"/>
  <c r="J51" i="39" s="1"/>
  <c r="E47" i="39"/>
  <c r="R48" i="39"/>
  <c r="E15" i="62" l="1"/>
  <c r="B5" i="62"/>
  <c r="F15" i="62"/>
  <c r="E51" i="39"/>
  <c r="F51" i="39" s="1"/>
  <c r="E52" i="39"/>
  <c r="F52" i="39" s="1"/>
  <c r="C48" i="39"/>
  <c r="C47" i="39"/>
  <c r="I52" i="39"/>
  <c r="J52" i="39" s="1"/>
  <c r="D5" i="62" l="1"/>
  <c r="C5" i="62"/>
  <c r="B59" i="39"/>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80" i="9" s="1"/>
  <c r="E80" i="9" s="1"/>
  <c r="E81" i="9" s="1"/>
  <c r="C95" i="9"/>
  <c r="D17" i="50"/>
  <c r="D126" i="9"/>
  <c r="D9" i="52" s="1"/>
  <c r="B29" i="60"/>
  <c r="D16" i="50"/>
  <c r="B30" i="60"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<sst xmlns="http://schemas.openxmlformats.org/spreadsheetml/2006/main" count="6896" uniqueCount="2922">
  <si>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</si>
  <si>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</si>
  <si>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</si>
  <si>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</si>
  <si>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</si>
  <si>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</si>
  <si>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</si>
  <si>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</si>
  <si>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</si>
  <si>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</si>
  <si>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</si>
  <si>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</si>
  <si>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</si>
  <si>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</si>
  <si>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</si>
  <si>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</si>
  <si>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</si>
  <si>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</si>
  <si>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</si>
  <si>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</si>
  <si>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</si>
  <si>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</si>
  <si>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</si>
  <si>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</si>
  <si>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</si>
  <si>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</si>
  <si>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</si>
  <si>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</si>
  <si>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</si>
  <si>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</si>
  <si>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</si>
  <si>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</si>
  <si>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</si>
  <si>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</si>
  <si>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</si>
  <si>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</si>
  <si>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</si>
  <si>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</si>
  <si>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</si>
  <si>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</si>
  <si>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</si>
  <si>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</si>
  <si>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</si>
  <si>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</si>
  <si>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</si>
  <si>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</si>
  <si>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</si>
  <si>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</si>
  <si>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</si>
  <si>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</si>
  <si>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</si>
  <si>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</si>
  <si>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</si>
  <si>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</si>
  <si>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</si>
  <si>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</si>
  <si>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</si>
  <si>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</si>
  <si>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</si>
  <si>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</si>
  <si>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</si>
  <si>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</si>
  <si>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</si>
  <si>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</si>
  <si>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</si>
  <si>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</si>
  <si>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</si>
  <si>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</si>
  <si>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</si>
  <si>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</si>
  <si>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</si>
  <si>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</si>
  <si>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</si>
  <si>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</si>
  <si>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</si>
  <si>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</si>
  <si>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</si>
  <si>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</si>
  <si>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</si>
  <si>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</si>
  <si>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</si>
  <si>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</si>
  <si>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</si>
  <si>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</si>
  <si>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</si>
  <si>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</si>
  <si>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</si>
  <si>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</si>
  <si>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</si>
  <si>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</si>
  <si>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</si>
  <si>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</si>
  <si>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</si>
  <si>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</si>
  <si>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</si>
  <si>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</si>
  <si>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</si>
  <si>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</si>
  <si>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</si>
  <si>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</si>
  <si>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</si>
  <si>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</si>
  <si>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</si>
  <si>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</si>
  <si>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</si>
  <si>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</si>
  <si>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</si>
  <si>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</si>
  <si>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</si>
  <si>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</si>
  <si>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</si>
  <si>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</si>
  <si>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</si>
  <si>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</si>
  <si>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</si>
  <si>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</si>
  <si>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</si>
  <si>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</si>
  <si>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</si>
  <si>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</si>
  <si>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</si>
  <si>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</si>
  <si>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</si>
  <si>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</si>
  <si>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</si>
  <si>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</si>
  <si>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</si>
  <si>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</si>
  <si>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</si>
  <si>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</si>
  <si>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</si>
  <si>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</si>
  <si>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</si>
  <si>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</si>
  <si>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</si>
  <si>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</si>
  <si>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</si>
  <si>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</si>
  <si>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</si>
  <si>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</si>
  <si>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</si>
  <si>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</si>
  <si>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</si>
  <si>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</si>
  <si>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</si>
  <si>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</si>
  <si>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</si>
  <si>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</si>
  <si>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</si>
  <si>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</si>
  <si>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</si>
  <si>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</si>
  <si>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</si>
  <si>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</si>
  <si>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</si>
  <si>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</si>
  <si>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</si>
  <si>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</si>
  <si>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</si>
  <si>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</si>
  <si>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</si>
  <si>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</si>
  <si>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</si>
  <si>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</si>
  <si>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</si>
  <si>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</si>
  <si>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</si>
  <si>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</si>
  <si>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</si>
  <si>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</si>
  <si>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</si>
  <si>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</si>
  <si>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</si>
  <si>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</si>
  <si>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</si>
  <si>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</si>
  <si>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</si>
  <si>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</si>
  <si>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</si>
  <si>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</si>
  <si>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</si>
  <si>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</si>
  <si>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</si>
  <si>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</si>
  <si>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</si>
  <si>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</si>
  <si>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</si>
  <si>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</si>
  <si>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</si>
  <si>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</si>
  <si>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</si>
  <si>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</si>
  <si>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</si>
  <si>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</si>
  <si>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</si>
  <si>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</si>
  <si>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</si>
  <si>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</si>
  <si>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</si>
  <si>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</si>
  <si>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</si>
  <si>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</si>
  <si>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</si>
  <si>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</si>
  <si>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</si>
  <si>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</si>
  <si>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</si>
  <si>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</si>
  <si>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</si>
  <si>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</si>
  <si>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</si>
  <si>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</si>
  <si>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</si>
  <si>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</si>
  <si>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</si>
  <si>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</si>
  <si>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</si>
  <si>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</si>
  <si>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</si>
  <si>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</si>
  <si>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</si>
  <si>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</si>
  <si>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</si>
  <si>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</si>
  <si>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</si>
  <si>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</si>
  <si>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</si>
  <si>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</si>
  <si>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</si>
  <si>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</si>
  <si>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</si>
  <si>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</si>
  <si>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</si>
  <si>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</si>
  <si>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</si>
  <si>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</si>
  <si>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</si>
  <si>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</si>
  <si>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</si>
  <si>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</si>
  <si>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</si>
  <si>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</si>
  <si>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</si>
  <si>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</si>
  <si>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</si>
  <si>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</si>
  <si>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</si>
  <si>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</si>
  <si>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</si>
  <si>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</si>
  <si>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</si>
  <si>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</si>
  <si>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</si>
  <si>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</si>
  <si>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</si>
  <si>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</si>
  <si>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</si>
  <si>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</si>
  <si>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</si>
  <si>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</si>
  <si>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</si>
  <si>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</si>
  <si>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</si>
  <si>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</si>
  <si>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</si>
  <si>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</si>
  <si>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</si>
  <si>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</si>
  <si>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</si>
  <si>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</si>
  <si>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</si>
  <si>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</si>
  <si>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</si>
  <si>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</si>
  <si>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</si>
  <si>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</si>
  <si>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</si>
  <si>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</si>
  <si>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</si>
  <si>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</si>
  <si>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</si>
  <si>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</si>
  <si>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</si>
  <si>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</si>
  <si>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</si>
  <si>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</si>
  <si>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</si>
  <si>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</si>
  <si>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</si>
  <si>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</si>
  <si>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</si>
  <si>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</si>
  <si>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</si>
  <si>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</si>
  <si>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</si>
  <si>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</si>
  <si>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</si>
  <si>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</si>
  <si>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</si>
  <si>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</si>
  <si>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</si>
  <si>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</si>
  <si>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</si>
  <si>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</si>
  <si>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</si>
  <si>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</si>
  <si>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</si>
  <si>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</si>
  <si>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</si>
  <si>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</si>
  <si>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</si>
  <si>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</si>
  <si>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</si>
  <si>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</si>
  <si>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</si>
  <si>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</si>
  <si>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</si>
  <si>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</si>
  <si>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</si>
  <si>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</si>
  <si>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</si>
  <si>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</si>
  <si>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</si>
  <si>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</si>
  <si>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</si>
  <si>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</si>
  <si>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</si>
  <si>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</si>
  <si>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</si>
  <si>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</si>
  <si>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</si>
  <si>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</si>
  <si>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</si>
  <si>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</si>
  <si>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</si>
  <si>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</si>
  <si>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</si>
  <si>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</si>
  <si>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</si>
  <si>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</si>
  <si>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</si>
  <si>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</si>
  <si>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</si>
  <si>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</si>
  <si>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</si>
  <si>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</si>
  <si>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</si>
  <si>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</si>
  <si>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</si>
  <si>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</si>
  <si>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</si>
  <si>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</si>
  <si>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</si>
  <si>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</si>
  <si>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</si>
  <si>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</si>
  <si>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</si>
  <si>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</si>
  <si>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</si>
  <si>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</si>
  <si>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</si>
  <si>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</si>
  <si>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</si>
  <si>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</si>
  <si>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</si>
  <si>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</si>
  <si>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</si>
  <si>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</si>
  <si>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</si>
  <si>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</si>
  <si>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</si>
  <si>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</si>
  <si>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</si>
  <si>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</si>
  <si>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</si>
  <si>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</si>
  <si>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</si>
  <si>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</si>
  <si>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</si>
  <si>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</si>
  <si>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</si>
  <si>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</si>
  <si>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</si>
  <si>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</si>
  <si>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</si>
  <si>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</si>
  <si>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</si>
  <si>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</si>
  <si>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</si>
  <si>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</si>
  <si>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</si>
  <si>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</si>
  <si>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</si>
  <si>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</si>
  <si>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</si>
  <si>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</si>
  <si>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</si>
  <si>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</si>
  <si>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</si>
  <si>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</si>
  <si>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</si>
  <si>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</si>
  <si>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</si>
  <si>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</si>
  <si>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</si>
  <si>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</si>
  <si>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</si>
  <si>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</si>
  <si>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</si>
  <si>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</si>
  <si>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</si>
  <si>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</si>
  <si>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</si>
  <si>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</si>
  <si>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</si>
  <si>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</si>
  <si>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</si>
  <si>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</si>
  <si>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</si>
  <si>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</si>
  <si>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</si>
  <si>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</si>
  <si>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</si>
  <si>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</si>
  <si>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</si>
  <si>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</si>
  <si>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</si>
  <si>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</si>
  <si>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</si>
  <si>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</si>
  <si>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</si>
  <si>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</si>
  <si>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</si>
  <si>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</si>
  <si>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</si>
  <si>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</si>
  <si>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</si>
  <si>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</si>
  <si>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</si>
  <si>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</si>
  <si>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</si>
  <si>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</si>
  <si>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</si>
  <si>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</si>
  <si>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</si>
  <si>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</si>
  <si>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</si>
  <si>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</si>
  <si>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</si>
  <si>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</si>
  <si>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</si>
  <si>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</si>
  <si>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</si>
  <si>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</si>
  <si>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</si>
  <si>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</si>
  <si>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</si>
  <si>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</si>
  <si>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</si>
  <si>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</si>
  <si>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</si>
  <si>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</si>
  <si>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</si>
  <si>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</si>
  <si>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</si>
  <si>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</si>
  <si>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</si>
  <si>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</si>
  <si>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</si>
  <si>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</si>
  <si>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</si>
  <si>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</si>
  <si>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</si>
  <si>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</si>
  <si>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</si>
  <si>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</si>
  <si>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</si>
  <si>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</si>
  <si>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</si>
  <si>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</si>
  <si>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</si>
  <si>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</si>
  <si>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</si>
  <si>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</si>
  <si>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</si>
  <si>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</si>
  <si>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</si>
  <si>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</si>
  <si>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</si>
  <si>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</si>
  <si>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</si>
  <si>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</si>
  <si>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</si>
  <si>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</si>
  <si>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</si>
  <si>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</si>
  <si>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</si>
  <si>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</si>
  <si>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</si>
  <si>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</si>
  <si>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</si>
  <si>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</si>
  <si>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</si>
  <si>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</si>
  <si>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</si>
  <si>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</si>
  <si>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</si>
  <si>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</si>
  <si>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</si>
  <si>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</si>
  <si>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</si>
  <si>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</si>
  <si>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</si>
  <si>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</si>
  <si>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</si>
  <si>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</si>
  <si>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</si>
  <si>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</si>
  <si>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</si>
  <si>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</si>
  <si>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</si>
  <si>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</si>
  <si>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</si>
  <si>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</si>
  <si>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</si>
  <si>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</si>
  <si>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</si>
  <si>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</si>
  <si>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</si>
  <si>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</si>
  <si>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</si>
  <si>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</si>
  <si>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</si>
  <si>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</si>
  <si>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</si>
  <si>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</si>
  <si>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</si>
  <si>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</si>
  <si>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</si>
  <si>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</si>
  <si>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</si>
  <si>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</si>
  <si>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</si>
  <si>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</si>
  <si>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</si>
  <si>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</si>
  <si>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</si>
  <si>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</si>
  <si>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</si>
  <si>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</si>
  <si>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</si>
  <si>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</si>
  <si>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</si>
  <si>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</si>
  <si>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</si>
  <si>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</si>
  <si>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</si>
  <si>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</si>
  <si>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</si>
  <si>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</si>
  <si>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</si>
  <si>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</si>
  <si>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</si>
  <si>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</si>
  <si>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</si>
  <si>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</si>
  <si>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</si>
  <si>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</si>
  <si>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</si>
  <si>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</si>
  <si>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</si>
  <si>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</si>
  <si>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</si>
  <si>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</si>
  <si>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</si>
  <si>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</si>
  <si>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</si>
  <si>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</si>
  <si>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</si>
  <si>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</si>
  <si>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</si>
  <si>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</si>
  <si>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</si>
  <si>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</si>
  <si>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</si>
  <si>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</si>
  <si>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</si>
  <si>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</si>
  <si>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</si>
  <si>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</si>
  <si>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</si>
  <si>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</si>
  <si>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</si>
  <si>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</si>
  <si>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</si>
  <si>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</si>
  <si>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</si>
  <si>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</si>
  <si>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</si>
  <si>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</si>
  <si>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</si>
  <si>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</si>
  <si>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</si>
  <si>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</si>
  <si>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</si>
  <si>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</si>
  <si>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</si>
  <si>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</si>
  <si>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</si>
  <si>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</si>
  <si>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</si>
  <si>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</si>
  <si>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</si>
  <si>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</si>
  <si>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</si>
  <si>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</si>
  <si>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</si>
  <si>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</si>
  <si>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</si>
  <si>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</si>
  <si>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</si>
  <si>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</si>
  <si>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</si>
  <si>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</si>
  <si>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</si>
  <si>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</si>
  <si>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</si>
  <si>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</si>
  <si>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</si>
  <si>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</si>
  <si>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</si>
  <si>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</si>
  <si>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</si>
  <si>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</si>
  <si>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</si>
  <si>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</si>
  <si>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</si>
  <si>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</si>
  <si>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</si>
  <si>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</si>
  <si>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</si>
  <si>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</si>
  <si>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</si>
  <si>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</si>
  <si>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</si>
  <si>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</si>
  <si>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</si>
  <si>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</si>
  <si>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</si>
  <si>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</si>
  <si>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</si>
  <si>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</si>
  <si>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</si>
  <si>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</si>
  <si>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</si>
  <si>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</si>
  <si>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</si>
  <si>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</si>
  <si>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</si>
  <si>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</si>
  <si>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</si>
  <si>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</si>
  <si>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</si>
  <si>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</si>
  <si>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</si>
  <si>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</si>
  <si>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</si>
  <si>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</si>
  <si>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</si>
  <si>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</si>
  <si>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</si>
  <si>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</si>
  <si>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</si>
  <si>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</si>
  <si>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</si>
  <si>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</si>
  <si>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</si>
  <si>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</si>
  <si>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</si>
  <si>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</si>
  <si>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</si>
  <si>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</si>
  <si>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</si>
  <si>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</si>
  <si>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</si>
  <si>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</si>
  <si>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</si>
  <si>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</si>
  <si>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</si>
  <si>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</si>
  <si>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</si>
  <si>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</si>
  <si>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</si>
  <si>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</si>
  <si>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</si>
  <si>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</si>
  <si>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</si>
  <si>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</si>
  <si>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</si>
  <si>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</si>
  <si>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</si>
  <si>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</si>
  <si>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</si>
  <si>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</si>
  <si>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</si>
  <si>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</si>
  <si>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</si>
  <si>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</si>
  <si>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</si>
  <si>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</si>
  <si>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</si>
  <si>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</si>
  <si>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</si>
  <si>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</si>
  <si>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</si>
  <si>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</si>
  <si>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</si>
  <si>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</si>
  <si>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</si>
  <si>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</si>
  <si>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</si>
  <si>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</si>
  <si>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</si>
  <si>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</si>
  <si>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</si>
  <si>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</si>
  <si>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</si>
  <si>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</si>
  <si>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</si>
  <si>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</si>
  <si>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</si>
  <si>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</si>
  <si>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</si>
  <si>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</si>
  <si>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</si>
  <si>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</si>
  <si>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</si>
  <si>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</si>
  <si>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</si>
  <si>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</si>
  <si>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</si>
  <si>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</si>
  <si>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</si>
  <si>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</si>
  <si>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</si>
  <si>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</si>
  <si>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</si>
  <si>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</si>
  <si>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</si>
  <si>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</si>
  <si>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</si>
  <si>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</si>
  <si>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</si>
  <si>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</si>
  <si>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</si>
  <si>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</si>
  <si>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</si>
  <si>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</si>
  <si>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</si>
  <si>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</si>
  <si>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</si>
  <si>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</si>
  <si>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</si>
  <si>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</si>
  <si>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</si>
  <si>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</si>
  <si>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</si>
  <si>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</si>
  <si>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</si>
  <si>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</si>
  <si>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</si>
  <si>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</si>
  <si>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</si>
  <si>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</si>
  <si>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</si>
  <si>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</si>
  <si>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</si>
  <si>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</si>
  <si>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</si>
  <si>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</si>
  <si>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</si>
  <si>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</si>
  <si>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</si>
  <si>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</si>
  <si>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</si>
  <si>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</si>
  <si>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</si>
  <si>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</si>
  <si>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</si>
  <si>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</si>
  <si>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</si>
  <si>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</si>
  <si>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</si>
  <si>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</si>
  <si>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</si>
  <si>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</si>
  <si>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</si>
  <si>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</si>
  <si>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</si>
  <si>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</si>
  <si>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</si>
  <si>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</si>
  <si>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</si>
  <si>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</si>
  <si>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</si>
  <si>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</si>
  <si>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</si>
  <si>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</si>
  <si>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</si>
  <si>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</si>
  <si>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</si>
  <si>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</si>
  <si>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</si>
  <si>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</si>
  <si>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</si>
  <si>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</si>
  <si>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</si>
  <si>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</si>
  <si>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</si>
  <si>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</si>
  <si>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</si>
  <si>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</si>
  <si>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</si>
  <si>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</si>
  <si>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</si>
  <si>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</si>
  <si>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</si>
  <si>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</si>
  <si>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</si>
  <si>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</si>
  <si>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</si>
  <si>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</si>
  <si>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</si>
  <si>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</si>
  <si>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</si>
  <si>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</si>
  <si>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</si>
  <si>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</si>
  <si>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</si>
  <si>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</si>
  <si>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</si>
  <si>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</si>
  <si>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</si>
  <si>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</si>
  <si>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</si>
  <si>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</si>
  <si>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</si>
  <si>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</si>
  <si>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</si>
  <si>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</si>
  <si>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</si>
  <si>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</si>
  <si>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</si>
  <si>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</si>
  <si>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</si>
  <si>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</si>
  <si>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</si>
  <si>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</si>
  <si>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</si>
  <si>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</si>
  <si>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</si>
  <si>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</si>
  <si>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</si>
  <si>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</si>
  <si>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</si>
  <si>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</si>
  <si>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</si>
  <si>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</si>
  <si>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</si>
  <si>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</si>
  <si>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</si>
  <si>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</si>
  <si>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</si>
  <si>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</si>
  <si>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</si>
  <si>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</si>
  <si>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</si>
  <si>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</si>
  <si>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</si>
  <si>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</si>
  <si>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</si>
  <si>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</si>
  <si>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</si>
  <si>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</si>
  <si>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</si>
  <si>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</si>
  <si>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</si>
  <si>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</si>
  <si>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</si>
  <si>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</si>
  <si>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</si>
  <si>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</si>
  <si>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</si>
  <si>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</si>
  <si>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</si>
  <si>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</si>
  <si>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</si>
  <si>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</si>
  <si>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</si>
  <si>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</si>
  <si>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</si>
  <si>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</si>
  <si>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</si>
  <si>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</si>
  <si>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</si>
  <si>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</si>
  <si>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</si>
  <si>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</si>
  <si>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</si>
  <si>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</si>
  <si>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</si>
  <si>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</si>
  <si>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</si>
  <si>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</si>
  <si>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</si>
  <si>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</si>
  <si>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</si>
  <si>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</si>
  <si>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</si>
  <si>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</si>
  <si>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</si>
  <si>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</si>
  <si>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</si>
  <si>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</si>
  <si>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</si>
  <si>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</si>
  <si>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</si>
  <si>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</si>
  <si>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</si>
  <si>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</si>
  <si>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</si>
  <si>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</si>
  <si>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</si>
  <si>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</si>
  <si>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</si>
  <si>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</si>
  <si>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</si>
  <si>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</si>
  <si>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</si>
  <si>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</si>
  <si>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</si>
  <si>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</si>
  <si>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</si>
  <si>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</si>
  <si>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</si>
  <si>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</si>
  <si>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</si>
  <si>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</si>
  <si>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</si>
  <si>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</si>
  <si>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</si>
  <si>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</si>
  <si>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</si>
  <si>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</si>
  <si>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</si>
  <si>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</si>
  <si>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</si>
  <si>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</si>
  <si>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</si>
  <si>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</si>
  <si>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</si>
  <si>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</si>
  <si>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</si>
  <si>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</si>
  <si>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</si>
  <si>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</si>
  <si>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</si>
  <si>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</si>
  <si>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</si>
  <si>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</si>
  <si>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</si>
  <si>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</si>
  <si>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</si>
  <si>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</si>
  <si>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</si>
  <si>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</si>
  <si>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</si>
  <si>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</si>
  <si>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</si>
  <si>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</si>
  <si>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</si>
  <si>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</si>
  <si>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</si>
  <si>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</si>
  <si>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</si>
  <si>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</si>
  <si>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</si>
  <si>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</si>
  <si>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</si>
  <si>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</si>
  <si>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</si>
  <si>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</si>
  <si>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</si>
  <si>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</si>
  <si>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</si>
  <si>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</si>
  <si>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</si>
  <si>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</si>
  <si>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</si>
  <si>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</si>
  <si>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</si>
  <si>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</si>
  <si>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</si>
  <si>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</si>
  <si>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</si>
  <si>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</si>
  <si>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</si>
  <si>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</si>
  <si>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</si>
  <si>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</si>
  <si>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</si>
  <si>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</si>
  <si>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</si>
  <si>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</si>
  <si>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</si>
  <si>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</si>
  <si>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</si>
  <si>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</si>
  <si>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</si>
  <si>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</si>
  <si>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</si>
  <si>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</si>
  <si>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</si>
  <si>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</si>
  <si>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</si>
  <si>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</si>
  <si>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</si>
  <si>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</si>
  <si>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</si>
  <si>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</si>
  <si>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</si>
  <si>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</si>
  <si>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</si>
  <si>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</si>
  <si>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</si>
  <si>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</si>
  <si>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</si>
  <si>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</si>
  <si>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</si>
  <si>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</si>
  <si>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</si>
  <si>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</si>
  <si>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</si>
  <si>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</si>
  <si>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</si>
  <si>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</si>
  <si>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</si>
  <si>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</si>
  <si>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</si>
  <si>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</si>
  <si>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</si>
  <si>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</si>
  <si>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</si>
  <si>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</si>
  <si>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</si>
  <si>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</si>
  <si>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</si>
  <si>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</si>
  <si>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</si>
  <si>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</si>
  <si>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</si>
  <si>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</si>
  <si>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</si>
  <si>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</si>
  <si>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</si>
  <si>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</si>
  <si>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</si>
  <si>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</si>
  <si>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</si>
  <si>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</si>
  <si>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</si>
  <si>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</si>
  <si>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</si>
  <si>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</si>
  <si>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</si>
  <si>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</si>
  <si>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</si>
  <si>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</si>
  <si>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</si>
  <si>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</si>
  <si>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</si>
  <si>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</si>
  <si>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</si>
  <si>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</si>
  <si>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</si>
  <si>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</si>
  <si>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</si>
  <si>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</si>
  <si>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</si>
  <si>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</si>
  <si>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</si>
  <si>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</si>
  <si>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</si>
  <si>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</si>
  <si>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</si>
  <si>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</si>
  <si>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</si>
  <si>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</si>
  <si>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</si>
  <si>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</si>
  <si>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</si>
  <si>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</si>
  <si>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</si>
  <si>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</si>
  <si>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</si>
  <si>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</si>
  <si>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</si>
  <si>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</si>
  <si>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</si>
  <si>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</si>
  <si>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</si>
  <si>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</si>
  <si>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</si>
  <si>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</si>
  <si>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</si>
  <si>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</si>
  <si>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</si>
  <si>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</si>
  <si>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</si>
  <si>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</si>
  <si>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</si>
  <si>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</si>
  <si>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</si>
  <si>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</si>
  <si>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</si>
  <si>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</si>
  <si>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</si>
  <si>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</si>
  <si>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</si>
  <si>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</si>
  <si>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</si>
  <si>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</si>
  <si>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</si>
  <si>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</si>
  <si>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</si>
  <si>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</si>
  <si>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</si>
  <si>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</si>
  <si>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</si>
  <si>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</si>
  <si>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</si>
  <si>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</si>
  <si>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</si>
  <si>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</si>
  <si>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</si>
  <si>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</si>
  <si>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</si>
  <si>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</si>
  <si>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</si>
  <si>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</si>
  <si>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</si>
  <si>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</si>
  <si>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</si>
  <si>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</si>
  <si>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</si>
  <si>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</si>
  <si>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</si>
  <si>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</si>
  <si>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</si>
  <si>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</si>
  <si>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</si>
  <si>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</si>
  <si>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</si>
  <si>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</si>
  <si>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</si>
  <si>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</si>
  <si>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</si>
  <si>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</si>
  <si>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</si>
  <si>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</si>
  <si>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</si>
  <si>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</si>
  <si>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</si>
  <si>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</si>
  <si>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</si>
  <si>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</si>
  <si>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</si>
  <si>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</si>
  <si>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</si>
  <si>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</si>
  <si>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</si>
  <si>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</si>
  <si>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</si>
  <si>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</si>
  <si>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</si>
  <si>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</si>
  <si>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</si>
  <si>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</si>
  <si>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</si>
  <si>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</si>
  <si>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</si>
  <si>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</si>
  <si>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</si>
  <si>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</si>
  <si>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</si>
  <si>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</si>
  <si>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</si>
  <si>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</si>
  <si>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</si>
  <si>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</si>
  <si>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</si>
  <si>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</si>
  <si>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</si>
  <si>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</si>
  <si>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</si>
  <si>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</si>
  <si>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</si>
  <si>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</si>
  <si>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</si>
  <si>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</si>
  <si>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</si>
  <si>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</si>
  <si>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</si>
  <si>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</si>
  <si>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</si>
  <si>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</si>
  <si>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</si>
  <si>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</si>
  <si>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</si>
  <si>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</si>
  <si>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</si>
  <si>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</si>
  <si>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</si>
  <si>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</si>
  <si>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</si>
  <si>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</si>
  <si>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</si>
  <si>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</si>
  <si>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</si>
  <si>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</si>
  <si>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</si>
  <si>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</si>
  <si>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</si>
  <si>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</si>
  <si>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</si>
  <si>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</si>
  <si>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</si>
  <si>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</si>
  <si>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</si>
  <si>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</si>
  <si>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</si>
  <si>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</si>
  <si>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</si>
  <si>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</si>
  <si>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</si>
  <si>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</si>
  <si>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</si>
  <si>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</si>
  <si>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</si>
  <si>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</si>
  <si>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</si>
  <si>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</si>
  <si>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</si>
  <si>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</si>
  <si>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</si>
  <si>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</si>
  <si>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</si>
  <si>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</si>
  <si>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</si>
  <si>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</si>
  <si>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</si>
  <si>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</si>
  <si>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</si>
  <si>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</si>
  <si>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</si>
  <si>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</si>
  <si>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</si>
  <si>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</si>
  <si>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</si>
  <si>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</si>
  <si>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</si>
  <si>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</si>
  <si>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</si>
  <si>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</si>
  <si>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</si>
  <si>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</si>
  <si>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</si>
  <si>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</si>
  <si>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</si>
  <si>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</si>
  <si>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</si>
  <si>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</si>
  <si>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</si>
  <si>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</si>
  <si>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</si>
  <si>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</si>
  <si>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</si>
  <si>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</si>
  <si>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</si>
  <si>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</si>
  <si>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</si>
  <si>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</si>
  <si>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</si>
  <si>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</si>
  <si>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</si>
  <si>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</si>
  <si>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</si>
  <si>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</si>
  <si>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</si>
  <si>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</si>
  <si>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</si>
  <si>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</si>
  <si>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</si>
  <si>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</si>
  <si>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</si>
  <si>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</si>
  <si>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</si>
  <si>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</si>
  <si>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</si>
  <si>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</si>
  <si>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</si>
  <si>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</si>
  <si>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</si>
  <si>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</si>
  <si>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</si>
  <si>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</si>
  <si>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</si>
  <si>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</si>
  <si>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</si>
  <si>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</si>
  <si>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</si>
  <si>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</si>
  <si>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</si>
  <si>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</si>
  <si>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</si>
  <si>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</si>
  <si>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</si>
  <si>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</si>
  <si>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</si>
  <si>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</si>
  <si>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</si>
  <si>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</si>
  <si>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</si>
  <si>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</si>
  <si>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</si>
  <si>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</si>
  <si>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</si>
  <si>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</si>
  <si>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</si>
  <si>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</si>
  <si>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</si>
  <si>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</si>
  <si>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</si>
  <si>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</si>
  <si>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</si>
  <si>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</si>
  <si>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</si>
  <si>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</si>
  <si>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</si>
  <si>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</si>
  <si>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</si>
  <si>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</si>
  <si>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</si>
  <si>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</si>
  <si>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</si>
  <si>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</si>
  <si>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</si>
  <si>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</si>
  <si>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</si>
  <si>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</si>
  <si>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</si>
  <si>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</si>
  <si>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</si>
  <si>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</si>
  <si>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</si>
  <si>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</si>
  <si>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</si>
  <si>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</si>
  <si>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</si>
  <si>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</si>
  <si>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</si>
  <si>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</si>
  <si>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</si>
  <si>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</si>
  <si>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</si>
  <si>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</si>
  <si>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</si>
  <si>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</si>
  <si>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</si>
  <si>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</si>
  <si>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</si>
  <si>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</si>
  <si>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</si>
  <si>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</si>
  <si>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</si>
  <si>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</si>
  <si>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</si>
  <si>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</si>
  <si>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</si>
  <si>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</si>
  <si>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</si>
  <si>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</si>
  <si>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</si>
  <si>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</si>
  <si>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</si>
  <si>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</si>
  <si>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</si>
  <si>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</si>
  <si>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</si>
  <si>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</si>
  <si>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</si>
  <si>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</si>
  <si>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</si>
  <si>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</si>
  <si>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</si>
  <si>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</si>
  <si>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</si>
  <si>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</si>
  <si>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</si>
  <si>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</si>
  <si>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</si>
  <si>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</si>
  <si>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</si>
  <si>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</si>
  <si>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</si>
  <si>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</si>
  <si>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</si>
  <si>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</si>
  <si>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</si>
  <si>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</si>
  <si>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</si>
  <si>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</si>
  <si>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</si>
  <si>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</si>
  <si>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</si>
  <si>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</si>
  <si>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</si>
  <si>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</si>
  <si>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</si>
  <si>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</si>
  <si>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</si>
  <si>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</si>
  <si>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</si>
  <si>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</si>
  <si>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</si>
  <si>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</si>
  <si>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</si>
  <si>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</si>
  <si>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</si>
  <si>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</si>
  <si>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</si>
  <si>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</si>
  <si>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</si>
  <si>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</si>
  <si>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</si>
  <si>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</si>
  <si>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</si>
  <si>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</si>
  <si>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</si>
  <si>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</si>
  <si>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</si>
  <si>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</si>
  <si>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</si>
  <si>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</si>
  <si>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</si>
  <si>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</si>
  <si>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</si>
  <si>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</si>
  <si>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</si>
  <si>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</si>
  <si>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</si>
  <si>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</si>
  <si>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</si>
  <si>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</si>
  <si>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</si>
  <si>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</si>
  <si>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</si>
  <si>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</si>
  <si>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</si>
  <si>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</si>
  <si>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</si>
  <si>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</si>
  <si>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</si>
  <si>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</si>
  <si>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</si>
  <si>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</si>
  <si>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</si>
  <si>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</si>
  <si>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</si>
  <si>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</si>
  <si>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</si>
  <si>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</si>
  <si>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</si>
  <si>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</si>
  <si>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</si>
  <si>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</si>
  <si>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</si>
  <si>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</si>
  <si>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</si>
  <si>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</si>
  <si>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</si>
  <si>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</si>
  <si>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</si>
  <si>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</si>
  <si>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</si>
  <si>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</si>
  <si>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</si>
  <si>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</si>
  <si>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</si>
  <si>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</si>
  <si>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</si>
  <si>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</si>
  <si>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</si>
  <si>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</si>
  <si>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</si>
  <si>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</si>
  <si>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</si>
  <si>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</si>
  <si>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</si>
  <si>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</si>
  <si>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</si>
  <si>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</si>
  <si>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</si>
  <si>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</si>
  <si>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</si>
  <si>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</si>
  <si>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</si>
  <si>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</si>
  <si>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</si>
  <si>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</si>
  <si>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</si>
  <si>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</si>
  <si>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</si>
  <si>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</si>
  <si>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</si>
  <si>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</si>
  <si>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</si>
  <si>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</si>
  <si>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</si>
  <si>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</si>
  <si>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</si>
  <si>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</si>
  <si>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</si>
  <si>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</si>
  <si>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</si>
  <si>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</si>
  <si>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</si>
  <si>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</si>
  <si>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</si>
  <si>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</si>
  <si>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</si>
  <si>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</si>
  <si>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</si>
  <si>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</si>
  <si>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</si>
  <si>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</si>
  <si>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</si>
  <si>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</si>
  <si>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</si>
  <si>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</si>
  <si>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</si>
  <si>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</si>
  <si>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</si>
  <si>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</si>
  <si>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</si>
  <si>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</si>
  <si>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</si>
  <si>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</si>
  <si>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</si>
  <si>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</si>
  <si>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</si>
  <si>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</si>
  <si>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</si>
  <si>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</si>
  <si>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</si>
  <si>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</si>
  <si>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</si>
  <si>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</si>
  <si>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</si>
  <si>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</si>
  <si>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</si>
  <si>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</si>
  <si>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</si>
  <si>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</si>
  <si>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</si>
  <si>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</si>
  <si>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</si>
  <si>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</si>
  <si>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</si>
  <si>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</si>
  <si>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</si>
  <si>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</si>
  <si>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</si>
  <si>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</si>
  <si>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</si>
  <si>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</si>
  <si>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</si>
  <si>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</si>
  <si>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</si>
  <si>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</si>
  <si>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</si>
  <si>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</si>
  <si>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</si>
  <si>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</si>
  <si>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</si>
  <si>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</si>
  <si>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</si>
  <si>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</si>
  <si>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</si>
  <si>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</si>
  <si>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</si>
  <si>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</si>
  <si>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</si>
  <si>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</si>
  <si>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</si>
  <si>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</si>
  <si>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</si>
  <si>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</si>
  <si>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</si>
  <si>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</si>
  <si>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</si>
  <si>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</si>
  <si>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</si>
  <si>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</si>
  <si>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</si>
  <si>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</si>
  <si>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</si>
  <si>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</si>
  <si>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</si>
  <si>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</si>
  <si>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</si>
  <si>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</si>
  <si>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</si>
  <si>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</si>
  <si>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</si>
  <si>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</si>
  <si>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</si>
  <si>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</si>
  <si>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</si>
  <si>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</si>
  <si>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</si>
  <si>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</si>
  <si>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</si>
  <si>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</si>
  <si>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</si>
  <si>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</si>
  <si>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</si>
  <si>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</si>
  <si>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</si>
  <si>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</si>
  <si>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</si>
  <si>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</si>
  <si>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</si>
  <si>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</si>
  <si>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</si>
  <si>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</si>
  <si>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</si>
  <si>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</si>
  <si>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</si>
  <si>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</si>
  <si>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</si>
  <si>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</si>
  <si>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</si>
  <si>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</si>
  <si>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</si>
  <si>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</si>
  <si>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</si>
  <si>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</si>
  <si>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</si>
  <si>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</si>
  <si>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</si>
  <si>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</si>
  <si>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</si>
  <si>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</si>
  <si>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</si>
  <si>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</si>
  <si>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</si>
  <si>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</si>
  <si>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</si>
  <si>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</si>
  <si>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</si>
  <si>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</si>
  <si>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</si>
  <si>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</si>
  <si>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</si>
  <si>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</si>
  <si>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</si>
  <si>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</si>
  <si>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</si>
  <si>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</si>
  <si>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</si>
  <si>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</si>
  <si>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</si>
  <si>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</si>
  <si>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</si>
  <si>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</si>
  <si>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</si>
  <si>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</si>
  <si>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</si>
  <si>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</si>
  <si>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</si>
  <si>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</si>
  <si>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</si>
  <si>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</si>
  <si>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</si>
  <si>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</si>
  <si>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</si>
  <si>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</si>
  <si>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</si>
  <si>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</si>
  <si>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</si>
  <si>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</si>
  <si>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</si>
  <si>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</si>
  <si>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</si>
  <si>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</si>
  <si>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</si>
  <si>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</si>
  <si>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</si>
  <si>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</si>
  <si>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</si>
  <si>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</si>
  <si>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</si>
  <si>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</si>
  <si>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</si>
  <si>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</si>
  <si>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</si>
  <si>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</si>
  <si>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</si>
  <si>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</si>
  <si>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</si>
  <si>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</si>
  <si>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</si>
  <si>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</si>
  <si>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</si>
  <si>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</si>
  <si>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</si>
  <si>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</si>
  <si>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</si>
  <si>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</si>
  <si>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</si>
  <si>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</si>
  <si>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</si>
  <si>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</si>
  <si>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</si>
  <si>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</si>
  <si>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</si>
  <si>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</si>
  <si>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</si>
  <si>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</si>
  <si>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</si>
  <si>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</si>
  <si>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</si>
  <si>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</si>
  <si>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</si>
  <si>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</si>
  <si>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</si>
  <si>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</si>
  <si>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</si>
  <si>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</si>
  <si>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</si>
  <si>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</si>
  <si>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</si>
  <si>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</si>
  <si>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</si>
  <si>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</si>
  <si>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</si>
  <si>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</si>
  <si>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</si>
  <si>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</si>
  <si>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</si>
  <si>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</si>
  <si>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</si>
  <si>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</si>
  <si>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</si>
  <si>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</si>
  <si>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</si>
  <si>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</si>
  <si>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</si>
  <si>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</si>
  <si>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</si>
  <si>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</si>
  <si>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</si>
  <si>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</si>
  <si>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</si>
  <si>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</si>
  <si>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</si>
  <si>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</si>
  <si>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</si>
  <si>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</si>
  <si>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</si>
  <si>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</si>
  <si>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</si>
  <si>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</si>
  <si>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</si>
  <si>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</si>
  <si>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</si>
  <si>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</si>
  <si>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</si>
  <si>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</si>
  <si>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</si>
  <si>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</si>
  <si>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</si>
  <si>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</si>
  <si>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</si>
  <si>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</si>
  <si>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</si>
  <si>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</si>
  <si>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</si>
  <si>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</si>
  <si>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</si>
  <si>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</si>
  <si>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</si>
  <si>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</si>
  <si>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</si>
  <si>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</si>
  <si>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</si>
  <si>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</si>
  <si>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</si>
  <si>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</si>
  <si>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</si>
  <si>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</si>
  <si>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</si>
  <si>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</si>
  <si>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</si>
  <si>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</si>
  <si>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</si>
  <si>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</si>
  <si>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</si>
  <si>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</si>
  <si>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</si>
  <si>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</si>
  <si>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</si>
  <si>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</si>
  <si>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</si>
  <si>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</si>
  <si>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</si>
  <si>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</si>
  <si>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</si>
  <si>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</si>
  <si>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</si>
  <si>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</si>
  <si>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</si>
  <si>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</si>
  <si>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</si>
  <si>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</si>
  <si>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</si>
  <si>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</si>
  <si>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</si>
  <si>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</si>
  <si>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</si>
  <si>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</si>
  <si>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</si>
  <si>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</si>
  <si>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</si>
  <si>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</si>
  <si>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</si>
  <si>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</si>
  <si>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</si>
  <si>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</si>
  <si>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</si>
  <si>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</si>
  <si>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</si>
  <si>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</si>
  <si>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</si>
  <si>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</si>
  <si>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</si>
  <si>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</si>
  <si>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</si>
  <si>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</si>
  <si>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</si>
  <si>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</si>
  <si>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</si>
  <si>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</si>
  <si>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</si>
  <si>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</si>
  <si>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</si>
  <si>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</si>
  <si>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</si>
  <si>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</si>
  <si>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</si>
  <si>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</si>
  <si>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</si>
  <si>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</si>
  <si>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</si>
  <si>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</si>
  <si>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</si>
  <si>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</si>
  <si>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</si>
  <si>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</si>
  <si>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</si>
  <si>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</si>
  <si>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</si>
  <si>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</si>
  <si>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</si>
  <si>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</si>
  <si>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</si>
  <si>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</si>
  <si>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</si>
  <si>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</si>
  <si>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</si>
  <si>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</si>
  <si>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</si>
  <si>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</si>
  <si>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</si>
  <si>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</si>
  <si>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</si>
  <si>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</si>
  <si>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</si>
  <si>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</si>
  <si>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</si>
  <si>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</si>
  <si>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</si>
  <si>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</si>
  <si>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</si>
  <si>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</si>
  <si>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</si>
  <si>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</si>
  <si>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</si>
  <si>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</si>
  <si>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</si>
  <si>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</si>
  <si>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</si>
  <si>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</si>
  <si>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</si>
  <si>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</si>
  <si>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</si>
  <si>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</si>
  <si>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</si>
  <si>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</si>
  <si>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</si>
  <si>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</si>
  <si>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</si>
  <si>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</si>
  <si>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</si>
  <si>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</si>
  <si>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</si>
  <si>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</si>
  <si>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</si>
  <si>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</si>
  <si>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</si>
  <si>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</si>
  <si>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</si>
  <si>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</si>
  <si>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</si>
  <si>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</si>
  <si>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</si>
  <si>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</si>
  <si>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</si>
  <si>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</si>
  <si>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</si>
  <si>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</si>
  <si>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</si>
  <si>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</si>
  <si>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</si>
  <si>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</si>
  <si>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</si>
  <si>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</si>
  <si>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</si>
  <si>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</si>
  <si>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</si>
  <si>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</si>
  <si>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</si>
  <si>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</si>
  <si>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</si>
  <si>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</si>
  <si>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</si>
  <si>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</si>
  <si>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</si>
  <si>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</si>
  <si>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</si>
  <si>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</si>
  <si>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</si>
  <si>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</si>
  <si>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</si>
  <si>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</si>
  <si>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</si>
  <si>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</si>
  <si>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</si>
  <si>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</si>
  <si>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</si>
  <si>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</si>
  <si>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</si>
  <si>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</si>
  <si>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</si>
  <si>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</si>
  <si>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</si>
  <si>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</si>
  <si>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</si>
  <si>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</si>
  <si>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</si>
  <si>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</si>
  <si>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</si>
  <si>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</si>
  <si>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</si>
  <si>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</si>
  <si>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</si>
  <si>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</si>
  <si>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</si>
  <si>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</si>
  <si>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</si>
  <si>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</si>
  <si>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</si>
  <si>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</si>
  <si>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</si>
  <si>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</si>
  <si>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</si>
  <si>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</si>
  <si>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</si>
  <si>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</si>
  <si>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</si>
  <si>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</si>
  <si>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</si>
  <si>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</si>
  <si>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</si>
  <si>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</si>
  <si>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</si>
  <si>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</si>
  <si>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</si>
  <si>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</si>
  <si>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</si>
  <si>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</si>
  <si>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</si>
  <si>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</si>
  <si>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</si>
  <si>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</si>
  <si>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</si>
  <si>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</si>
  <si>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</si>
  <si>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</si>
  <si>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</si>
  <si>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</si>
  <si>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</si>
  <si>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</si>
  <si>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</si>
  <si>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</si>
  <si>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</si>
  <si>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</si>
  <si>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</si>
  <si>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</si>
  <si>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</si>
  <si>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</si>
  <si>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</si>
  <si>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</si>
  <si>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</si>
  <si>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</si>
  <si>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</si>
  <si>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</si>
  <si>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</si>
  <si>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</si>
  <si>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</si>
  <si>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</si>
  <si>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</si>
  <si>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</si>
  <si>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</si>
  <si>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</si>
  <si>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</si>
  <si>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</si>
  <si>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</si>
  <si>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</si>
  <si>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</si>
  <si>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</si>
  <si>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</si>
  <si>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</si>
  <si>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</si>
  <si>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</si>
  <si>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</si>
  <si>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</si>
  <si>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</si>
  <si>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</si>
  <si>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</si>
  <si>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</si>
  <si>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</si>
  <si>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</si>
  <si>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</si>
  <si>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</si>
  <si>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</si>
  <si>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</si>
  <si>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</si>
  <si>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</si>
  <si>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</si>
  <si>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</si>
  <si>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</si>
  <si>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</si>
  <si>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</si>
  <si>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</si>
  <si>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</si>
  <si>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</si>
  <si>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</si>
  <si>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</si>
  <si>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</si>
  <si>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</si>
  <si>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</si>
  <si>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</si>
  <si>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</si>
  <si>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</si>
  <si>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</si>
  <si>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</si>
  <si>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</si>
  <si>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</si>
  <si>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</si>
  <si>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</si>
  <si>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</si>
  <si>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</si>
  <si>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</si>
  <si>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</si>
  <si>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</si>
  <si>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</si>
  <si>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</si>
  <si>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</si>
  <si>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</si>
  <si>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</si>
  <si>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</si>
  <si>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</si>
  <si>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</si>
  <si>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</si>
  <si>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</si>
  <si>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</si>
  <si>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</si>
  <si>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</si>
  <si>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</si>
  <si>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</si>
  <si>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</si>
  <si>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</si>
  <si>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</si>
  <si>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</si>
  <si>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</si>
  <si>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</si>
  <si>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</si>
  <si>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</si>
  <si>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</si>
  <si>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</si>
  <si>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</si>
  <si>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</si>
  <si>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</si>
  <si>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</si>
  <si>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</si>
  <si>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</si>
  <si>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</si>
  <si>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</si>
  <si>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</si>
  <si>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</si>
  <si>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</si>
  <si>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</si>
  <si>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</si>
  <si>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</si>
  <si>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</si>
  <si>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</si>
  <si>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</si>
  <si>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</si>
  <si>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</si>
  <si>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</si>
  <si>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</si>
  <si>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</si>
  <si>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</si>
  <si>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</si>
  <si>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</si>
  <si>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</si>
  <si>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</si>
  <si>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</si>
  <si>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</si>
  <si>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</si>
  <si>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</si>
  <si>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</si>
  <si>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</si>
  <si>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</si>
  <si>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</si>
  <si>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</si>
  <si>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</si>
  <si>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</si>
  <si>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</si>
  <si>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</si>
  <si>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</si>
  <si>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</si>
  <si>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</si>
  <si>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</si>
  <si>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</si>
  <si>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</si>
  <si>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</si>
  <si>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</si>
  <si>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</si>
  <si>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</si>
  <si>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</si>
  <si>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</si>
  <si>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</si>
  <si>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</si>
  <si>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</si>
  <si>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</si>
  <si>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</si>
  <si>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</si>
  <si>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</si>
  <si>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</si>
  <si>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</si>
  <si>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</si>
  <si>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</si>
  <si>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</si>
  <si>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</si>
  <si>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</si>
  <si>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</si>
  <si>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</si>
  <si>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</si>
  <si>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</si>
  <si>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</si>
  <si>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</si>
  <si>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</si>
  <si>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</si>
  <si>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</si>
  <si>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</si>
  <si>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</si>
  <si>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</si>
  <si>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</si>
  <si>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</si>
  <si>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</si>
  <si>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</si>
  <si>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</si>
  <si>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</si>
  <si>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</si>
  <si>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</si>
  <si>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</si>
  <si>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</si>
  <si>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</si>
  <si>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</si>
  <si>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</si>
  <si>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</si>
  <si>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</si>
  <si>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</si>
  <si>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</si>
  <si>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</si>
  <si>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</si>
  <si>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</si>
  <si>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</si>
  <si>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</si>
  <si>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</si>
  <si>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</si>
  <si>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</si>
  <si>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</si>
  <si>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</si>
  <si>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</si>
  <si>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</si>
  <si>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</si>
  <si>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</si>
  <si>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</si>
  <si>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</si>
  <si>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</si>
  <si>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</si>
  <si>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</si>
  <si>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</si>
  <si>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</si>
  <si>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</si>
  <si>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</si>
  <si>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</si>
  <si>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</si>
  <si>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</si>
  <si>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</si>
  <si>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</si>
  <si>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</si>
  <si>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</si>
  <si>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</si>
  <si>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</si>
  <si>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</si>
  <si>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</si>
  <si>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</si>
  <si>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</si>
  <si>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</si>
  <si>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</si>
  <si>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</si>
  <si>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</si>
  <si>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</si>
  <si>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</si>
  <si>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</si>
  <si>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</si>
  <si>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</si>
  <si>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</si>
  <si>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</si>
  <si>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</si>
  <si>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</si>
  <si>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</si>
  <si>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</si>
  <si>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</si>
  <si>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</si>
  <si>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</si>
  <si>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</si>
  <si>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</si>
  <si>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</si>
  <si>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</si>
  <si>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</si>
  <si>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</si>
  <si>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</si>
  <si>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</si>
  <si>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</si>
  <si>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</si>
  <si>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</si>
  <si>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</si>
  <si>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</si>
  <si>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</si>
  <si>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</si>
  <si>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</si>
  <si>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</si>
  <si>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</si>
  <si>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</si>
  <si>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</si>
  <si>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</si>
  <si>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</si>
  <si>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</si>
  <si>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</si>
  <si>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</si>
  <si>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</si>
  <si>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</si>
  <si>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</si>
  <si>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</si>
  <si>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</si>
  <si>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</si>
  <si>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</si>
  <si>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</si>
  <si>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</si>
  <si>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</si>
  <si>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</si>
  <si>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</si>
  <si>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</si>
  <si>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</si>
  <si>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</si>
  <si>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</si>
  <si>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</si>
  <si>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</si>
  <si>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</si>
  <si>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</si>
  <si>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</si>
  <si>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</si>
  <si>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</si>
  <si>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</si>
  <si>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</si>
  <si>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</si>
  <si>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</si>
  <si>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</si>
  <si>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</si>
  <si>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</si>
  <si>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</si>
  <si>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</si>
  <si>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</si>
  <si>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</si>
  <si>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</si>
  <si>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</si>
  <si>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</si>
  <si>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</si>
  <si>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</si>
  <si>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</si>
  <si>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</si>
  <si>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</si>
  <si>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</si>
  <si>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</si>
  <si>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</si>
  <si>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</si>
  <si>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</si>
  <si>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</si>
  <si>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</si>
  <si>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</si>
  <si>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</si>
  <si>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</si>
  <si>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</si>
  <si>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</si>
  <si>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</si>
  <si>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</si>
  <si>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</si>
  <si>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</si>
  <si>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</si>
  <si>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</si>
  <si>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</si>
  <si>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</si>
  <si>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</si>
  <si>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</si>
  <si>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</si>
  <si>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</si>
  <si>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</si>
  <si>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</si>
  <si>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</si>
  <si>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</si>
  <si>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</si>
  <si>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</si>
  <si>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</si>
  <si>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</si>
  <si>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</si>
  <si>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</si>
  <si>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</si>
  <si>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</si>
  <si>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</si>
  <si>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</si>
  <si>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</si>
  <si>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</si>
  <si>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</si>
  <si>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</si>
  <si>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</si>
  <si>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</si>
  <si>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</si>
  <si>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</si>
  <si>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</si>
  <si>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</si>
  <si>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</si>
  <si>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</si>
  <si>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</si>
  <si>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</si>
  <si>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</si>
  <si>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</si>
  <si>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</si>
  <si>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</si>
  <si>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</si>
  <si>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</si>
  <si>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</si>
  <si>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</si>
  <si>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</si>
  <si>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</si>
  <si>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</si>
  <si>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</si>
  <si>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</si>
  <si>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</si>
  <si>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</si>
  <si>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</si>
  <si>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</si>
  <si>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</si>
  <si>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</si>
  <si>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</si>
  <si>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</si>
  <si>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</si>
  <si>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</si>
  <si>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</si>
  <si>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</si>
  <si>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</si>
  <si>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</si>
  <si>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</si>
  <si>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</si>
  <si>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</si>
  <si>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</si>
  <si>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</si>
  <si>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</si>
  <si>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</si>
  <si>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</si>
  <si>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</si>
  <si>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</si>
  <si>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</si>
  <si>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</si>
  <si>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</si>
  <si>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</si>
  <si>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</si>
  <si>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</si>
  <si>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</si>
  <si>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</si>
  <si>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</si>
  <si>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</si>
  <si>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</si>
  <si>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</si>
  <si>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</si>
  <si>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</si>
  <si>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</si>
  <si>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</si>
  <si>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</si>
  <si>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</si>
  <si>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</si>
  <si>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</si>
  <si>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</si>
  <si>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</si>
  <si>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</si>
  <si>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</si>
  <si>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</si>
  <si>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</si>
  <si>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</si>
  <si>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</si>
  <si>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</si>
  <si>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</si>
  <si>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</si>
  <si>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</si>
  <si>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</si>
  <si>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</si>
  <si>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</si>
  <si>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</si>
  <si>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</si>
  <si>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</si>
  <si>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</si>
  <si>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</si>
  <si>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</si>
  <si>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</si>
  <si>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</si>
  <si>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</si>
  <si>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</si>
  <si>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</si>
  <si>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</si>
  <si>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</si>
  <si>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</si>
  <si>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</si>
  <si>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</si>
  <si>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</si>
  <si>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</si>
  <si>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</si>
  <si>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</si>
  <si>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</si>
  <si>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</si>
  <si>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</si>
  <si>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</si>
  <si>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</si>
  <si>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</si>
  <si>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</si>
  <si>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</si>
  <si>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</si>
  <si>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</si>
  <si>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</si>
  <si>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</si>
  <si>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</si>
  <si>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</si>
  <si>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</si>
  <si>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</si>
  <si>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</si>
  <si>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</si>
  <si>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</si>
  <si>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</si>
  <si>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</si>
  <si>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</si>
  <si>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</si>
  <si>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</si>
  <si>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</si>
  <si>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</si>
  <si>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</si>
  <si>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</si>
  <si>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</si>
  <si>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</si>
  <si>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</si>
  <si>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</si>
  <si>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</si>
  <si>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</si>
  <si>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</si>
  <si>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</si>
  <si>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</si>
  <si>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</si>
  <si>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</si>
  <si>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</si>
  <si>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</si>
  <si>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</si>
  <si>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</si>
  <si>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</si>
  <si>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</si>
  <si>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</si>
  <si>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</si>
  <si>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</si>
  <si>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</si>
  <si>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</si>
  <si>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</si>
  <si>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</si>
  <si>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</si>
  <si>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</si>
  <si>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</si>
  <si>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</si>
  <si>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</si>
  <si>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</si>
  <si>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</si>
  <si>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</si>
  <si>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</si>
  <si>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</si>
  <si>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</si>
  <si>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</si>
  <si>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</si>
  <si>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</si>
  <si>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</si>
  <si>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</si>
  <si>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</si>
  <si>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</si>
  <si>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</si>
  <si>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</si>
  <si>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</si>
  <si>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</si>
  <si>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</si>
  <si>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</si>
  <si>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</si>
  <si>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</si>
  <si>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</si>
  <si>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</si>
  <si>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</si>
  <si>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</si>
  <si>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</si>
  <si>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</si>
  <si>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</si>
  <si>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</si>
  <si>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</si>
  <si>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</si>
  <si>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</si>
  <si>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</si>
  <si>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</si>
  <si>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</si>
  <si>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</si>
  <si>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</si>
  <si>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</si>
  <si>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</si>
  <si>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</si>
  <si>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</si>
  <si>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</si>
  <si>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</si>
  <si>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</si>
  <si>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</si>
  <si>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</si>
  <si>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</si>
  <si>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</si>
  <si>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</si>
  <si>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</si>
  <si>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</si>
  <si>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</si>
  <si>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</si>
  <si>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</si>
  <si>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</si>
  <si>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</si>
  <si>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</si>
  <si>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</si>
  <si>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</si>
  <si>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</si>
  <si>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</si>
  <si>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</si>
  <si>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</si>
  <si>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</si>
  <si>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</si>
  <si>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</si>
  <si>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</si>
  <si>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</si>
  <si>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</si>
  <si>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</si>
  <si>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</si>
  <si>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</si>
  <si>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</si>
  <si>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</si>
  <si>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</si>
  <si>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</si>
  <si>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</si>
  <si>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</si>
  <si>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</si>
  <si>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</si>
  <si>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</si>
  <si>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</si>
  <si>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</si>
  <si>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</si>
  <si>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</si>
  <si>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</si>
  <si>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</si>
  <si>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</si>
  <si>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</si>
  <si>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</si>
  <si>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</si>
  <si>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</si>
  <si>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</si>
  <si>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</si>
  <si>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</si>
  <si>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</si>
  <si>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</si>
  <si>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</si>
  <si>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</si>
  <si>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</si>
  <si>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</si>
  <si>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</si>
  <si>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</si>
  <si>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</si>
  <si>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</si>
  <si>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</si>
  <si>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</si>
  <si>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</si>
  <si>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</si>
  <si>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</si>
  <si>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</si>
  <si>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</si>
  <si>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</si>
  <si>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</si>
  <si>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</si>
  <si>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</si>
  <si>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</si>
  <si>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</si>
  <si>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</si>
  <si>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</si>
  <si>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</si>
  <si>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</si>
  <si>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</si>
  <si>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</si>
  <si>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</si>
  <si>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</si>
  <si>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</si>
  <si>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</si>
  <si>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</si>
  <si>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</si>
  <si>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</si>
  <si>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</si>
  <si>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</si>
  <si>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</si>
  <si>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</si>
  <si>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</si>
  <si>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</si>
  <si>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</si>
  <si>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</si>
  <si>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</si>
  <si>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</si>
  <si>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</si>
  <si>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</si>
  <si>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</si>
  <si>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</si>
  <si>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</si>
  <si>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</si>
  <si>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</si>
  <si>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</si>
  <si>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</si>
  <si>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</si>
  <si>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</si>
  <si>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</si>
  <si>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</si>
  <si>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</si>
  <si>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</si>
  <si>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</si>
  <si>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</si>
  <si>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</si>
  <si>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</si>
  <si>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</si>
  <si>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</si>
  <si>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</si>
  <si>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</si>
  <si>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</si>
  <si>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</si>
  <si>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</si>
  <si>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</si>
  <si>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</si>
  <si>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</si>
  <si>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</si>
  <si>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</si>
  <si>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</si>
  <si>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</si>
  <si>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</si>
  <si>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</si>
  <si>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</si>
  <si>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</si>
  <si>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</si>
  <si>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</si>
  <si>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</si>
  <si>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</si>
  <si>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</si>
  <si>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</si>
  <si>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</si>
  <si>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</si>
  <si>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</si>
  <si>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</si>
  <si>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</si>
  <si>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</si>
  <si>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</si>
  <si>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</si>
  <si>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</si>
  <si>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</si>
  <si>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</si>
  <si>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</si>
  <si>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</si>
  <si>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</si>
  <si>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</si>
  <si>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</si>
  <si>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</si>
  <si>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</si>
  <si>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</si>
  <si>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</si>
  <si>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</si>
  <si>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</si>
  <si>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</si>
  <si>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</si>
  <si>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</si>
  <si>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</si>
  <si>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</si>
  <si>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</si>
  <si>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</si>
  <si>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</si>
  <si>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</si>
  <si>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</si>
  <si>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</si>
  <si>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</si>
  <si>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</si>
  <si>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</si>
  <si>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</si>
  <si>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</si>
  <si>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</si>
  <si>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</si>
  <si>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</si>
  <si>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</si>
  <si>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</si>
  <si>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</si>
  <si>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</si>
  <si>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</si>
  <si>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</si>
  <si>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</si>
  <si>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</si>
  <si>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</si>
  <si>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</si>
  <si>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</si>
  <si>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</si>
  <si>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</si>
  <si>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</si>
  <si>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</si>
  <si>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</si>
  <si>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</si>
  <si>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</si>
  <si>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</si>
  <si>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</si>
  <si>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</si>
  <si>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</si>
  <si>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</si>
  <si>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</si>
  <si>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</si>
  <si>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</si>
  <si>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</si>
  <si>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</si>
  <si>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</si>
  <si>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</si>
  <si>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</si>
  <si>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</si>
  <si>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</si>
  <si>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</si>
  <si>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</si>
  <si>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</si>
  <si>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</si>
  <si>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</si>
  <si>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</si>
  <si>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</si>
  <si>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</si>
  <si>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</si>
  <si>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</si>
  <si>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</si>
  <si>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</si>
  <si>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</si>
  <si>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</si>
  <si>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</si>
  <si>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</si>
  <si>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</si>
  <si>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</si>
  <si>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</si>
  <si>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</si>
  <si>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</si>
  <si>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元</t>
  </si>
  <si>
    <t>楼面单价</t>
  </si>
  <si>
    <t>无租约</t>
  </si>
  <si>
    <t>估价对象所在区域公共配套设施齐备情况一般</t>
    <phoneticPr fontId="4" type="noConversion"/>
  </si>
  <si>
    <t>估价对象所在区域基础设施水平——七通</t>
    <phoneticPr fontId="4" type="noConversion"/>
  </si>
  <si>
    <t>估价对象</t>
  </si>
  <si>
    <t>设定收益年期(n)</t>
  </si>
  <si>
    <t>自然人</t>
  </si>
  <si>
    <t>北京市</t>
  </si>
  <si>
    <t>售价</t>
  </si>
  <si>
    <t>收益法</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</si>
  <si>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</si>
  <si>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</si>
  <si>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</si>
  <si>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</si>
  <si>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</si>
  <si>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</si>
  <si>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</si>
  <si>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</si>
  <si>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</si>
  <si>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</si>
  <si>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</si>
  <si>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</si>
  <si>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</si>
  <si>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</si>
  <si>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</si>
  <si>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</si>
  <si>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</si>
  <si>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</si>
  <si>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</si>
  <si>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</si>
  <si>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</si>
  <si>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</si>
  <si>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</si>
  <si>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</si>
  <si>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</si>
  <si>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</si>
  <si>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</si>
  <si>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</si>
  <si>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</si>
  <si>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</si>
  <si>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</si>
  <si>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</si>
  <si>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</si>
  <si>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</si>
  <si>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</si>
  <si>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</si>
  <si>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</si>
  <si>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</si>
  <si>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</si>
  <si>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</si>
  <si>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</si>
  <si>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</si>
  <si>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</si>
  <si>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</si>
  <si>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</si>
  <si>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</si>
  <si>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居委会</t>
    <phoneticPr fontId="20" type="noConversion"/>
  </si>
  <si>
    <t>普通装修</t>
  </si>
  <si>
    <t>比较法-住宅</t>
  </si>
  <si>
    <t>六通</t>
  </si>
  <si>
    <t>估价对象周边有首创新悦都、原香小镇、万科长阳天地、九州溪雅苑等居住小区，小区规模和社区发展完善程度较好，综合评价居住社区成熟度较好</t>
  </si>
  <si>
    <t>估价对象周边有首创新悦都、原香小镇、万科长阳天地、九州溪雅苑等居住小区，小区规模和社区发展完善程度较好，综合评价居住社区成熟度较好</t>
    <phoneticPr fontId="4" type="noConversion"/>
  </si>
  <si>
    <t>估价对象紧邻城市快速路——京良路，周边有地铁房山线（篱笆房站）、有房15路、房18路、房31路、房37路等十多条公交线路，综合评价交通便捷度较好</t>
  </si>
  <si>
    <t>估价对象紧邻城市快速路——京良路，周边有地铁房山线（篱笆房站）、有房15路、房18路、房31路、房37路等十多条公交线路，综合评价交通便捷度较好</t>
    <phoneticPr fontId="4" type="noConversion"/>
  </si>
  <si>
    <t>估价对象所在区域基础设施水平——七通</t>
    <phoneticPr fontId="4" type="noConversion"/>
  </si>
  <si>
    <t>自然环境：长阳公园等；人文环境：国福东旭高尔夫练习场等，综合评价环境状况一般</t>
  </si>
  <si>
    <t>自然环境：长阳公园等；人文环境：国福东旭高尔夫练习场等，综合评价环境状况一般</t>
    <phoneticPr fontId="4" type="noConversion"/>
  </si>
  <si>
    <t>城市快速路——京良路</t>
    <phoneticPr fontId="4" type="noConversion"/>
  </si>
  <si>
    <r>
      <t>估价对象紧邻城市快速路</t>
    </r>
    <r>
      <rPr>
        <sz val="11"/>
        <rFont val="Arial"/>
        <family val="2"/>
      </rPr>
      <t>——</t>
    </r>
    <r>
      <rPr>
        <sz val="11"/>
        <rFont val="宋体"/>
        <family val="3"/>
        <charset val="134"/>
      </rPr>
      <t>京良路，周边有地铁房山线（篱笆房站）、有房</t>
    </r>
    <r>
      <rPr>
        <sz val="11"/>
        <rFont val="Arial"/>
        <family val="2"/>
      </rPr>
      <t>15</t>
    </r>
    <r>
      <rPr>
        <sz val="11"/>
        <rFont val="宋体"/>
        <family val="3"/>
        <charset val="134"/>
      </rPr>
      <t>路、房</t>
    </r>
    <r>
      <rPr>
        <sz val="11"/>
        <rFont val="Arial"/>
        <family val="2"/>
      </rPr>
      <t>18</t>
    </r>
    <r>
      <rPr>
        <sz val="11"/>
        <rFont val="宋体"/>
        <family val="3"/>
        <charset val="134"/>
      </rPr>
      <t>路、房</t>
    </r>
    <r>
      <rPr>
        <sz val="11"/>
        <rFont val="Arial"/>
        <family val="2"/>
      </rPr>
      <t>31</t>
    </r>
    <r>
      <rPr>
        <sz val="11"/>
        <rFont val="宋体"/>
        <family val="3"/>
        <charset val="134"/>
      </rPr>
      <t>路、房</t>
    </r>
    <r>
      <rPr>
        <sz val="11"/>
        <rFont val="Arial"/>
        <family val="2"/>
      </rPr>
      <t>37</t>
    </r>
    <r>
      <rPr>
        <sz val="11"/>
        <rFont val="宋体"/>
        <family val="3"/>
        <charset val="134"/>
      </rPr>
      <t>路等十多条公交线路，综合评价交通便捷度较好</t>
    </r>
  </si>
  <si>
    <t>快速</t>
  </si>
  <si>
    <t>快速</t>
    <phoneticPr fontId="4" type="noConversion"/>
  </si>
  <si>
    <t>专业</t>
  </si>
  <si>
    <t>复式</t>
    <phoneticPr fontId="20" type="noConversion"/>
  </si>
  <si>
    <t>东南</t>
  </si>
  <si>
    <r>
      <t>4/16</t>
    </r>
    <r>
      <rPr>
        <sz val="11"/>
        <rFont val="宋体"/>
        <family val="3"/>
        <charset val="134"/>
      </rPr>
      <t>（低楼层）</t>
    </r>
    <phoneticPr fontId="20" type="noConversion"/>
  </si>
  <si>
    <t>塔楼</t>
  </si>
  <si>
    <t>钢混</t>
  </si>
  <si>
    <t>平层</t>
  </si>
  <si>
    <t>住宅</t>
    <phoneticPr fontId="20" type="noConversion"/>
  </si>
  <si>
    <t>南</t>
  </si>
  <si>
    <t>东</t>
  </si>
  <si>
    <t>东</t>
    <phoneticPr fontId="4" type="noConversion"/>
  </si>
  <si>
    <t>西</t>
    <phoneticPr fontId="20" type="noConversion"/>
  </si>
  <si>
    <t>北京市房山区长阳镇昊天北大街48号（长阳金桥国际公寓）</t>
    <phoneticPr fontId="4" type="noConversion"/>
  </si>
  <si>
    <t>挂牌</t>
  </si>
  <si>
    <t>挂牌</t>
    <phoneticPr fontId="20" type="noConversion"/>
  </si>
  <si>
    <t>西</t>
  </si>
  <si>
    <r>
      <rPr>
        <sz val="11"/>
        <rFont val="宋体"/>
        <family val="3"/>
        <charset val="134"/>
      </rPr>
      <t>高楼层</t>
    </r>
    <r>
      <rPr>
        <sz val="11"/>
        <rFont val="Arial"/>
        <family val="2"/>
      </rPr>
      <t>/16</t>
    </r>
    <phoneticPr fontId="20" type="noConversion"/>
  </si>
  <si>
    <t>中楼层/17</t>
    <phoneticPr fontId="20" type="noConversion"/>
  </si>
  <si>
    <r>
      <rPr>
        <sz val="11"/>
        <rFont val="宋体"/>
        <family val="3"/>
        <charset val="134"/>
      </rPr>
      <t>高楼层</t>
    </r>
    <r>
      <rPr>
        <sz val="11"/>
        <rFont val="Arial"/>
        <family val="2"/>
      </rPr>
      <t>/16</t>
    </r>
    <phoneticPr fontId="20" type="noConversion"/>
  </si>
  <si>
    <t>中楼层/17</t>
    <phoneticPr fontId="20" type="noConversion"/>
  </si>
  <si>
    <t>精装修</t>
  </si>
  <si>
    <t>商业</t>
  </si>
  <si>
    <t>公寓式酒店</t>
    <phoneticPr fontId="7" type="noConversion"/>
  </si>
  <si>
    <t>生产用房</t>
  </si>
  <si>
    <t>收益还原</t>
  </si>
  <si>
    <t>北京市房山区长阳镇昊天北大街48号208号楼4层B座404号（长阳金桥国际公寓）</t>
    <phoneticPr fontId="4" type="noConversion"/>
  </si>
  <si>
    <t>北京市房山区长阳镇昊天北大街48号（长阳金桥国际公寓）</t>
    <phoneticPr fontId="4" type="noConversion"/>
  </si>
  <si>
    <t>公寓式酒店</t>
  </si>
  <si>
    <t>公寓式酒店</t>
    <phoneticPr fontId="20" type="noConversion"/>
  </si>
  <si>
    <r>
      <rPr>
        <sz val="11"/>
        <rFont val="宋体"/>
        <family val="3"/>
        <charset val="134"/>
      </rPr>
      <t>中楼层</t>
    </r>
    <r>
      <rPr>
        <sz val="11"/>
        <rFont val="Arial"/>
        <family val="2"/>
      </rPr>
      <t>/17</t>
    </r>
    <phoneticPr fontId="20" type="noConversion"/>
  </si>
  <si>
    <t>20-30（含）</t>
  </si>
  <si>
    <t>是</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</si>
</sst>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3"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49" fontId="92" fillId="0" borderId="19"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503477</xdr:colOff>
      <xdr:row>26</xdr:row>
      <xdr:rowOff>75634</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10790477" cy="4533334"/>
        </a:xfrm>
        <a:prstGeom prst="rect">
          <a:avLst/>
        </a:prstGeom>
      </xdr:spPr>
    </xdr:pic>
    <xdr:clientData/>
  </xdr:twoCellAnchor>
  <xdr:twoCellAnchor editAs="oneCell">
    <xdr:from>
      <xdr:col>0</xdr:col>
      <xdr:colOff>0</xdr:colOff>
      <xdr:row>27</xdr:row>
      <xdr:rowOff>0</xdr:rowOff>
    </xdr:from>
    <xdr:to>
      <xdr:col>15</xdr:col>
      <xdr:colOff>151096</xdr:colOff>
      <xdr:row>52</xdr:row>
      <xdr:rowOff>170893</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4629150"/>
          <a:ext cx="10438096" cy="4457143"/>
        </a:xfrm>
        <a:prstGeom prst="rect">
          <a:avLst/>
        </a:prstGeom>
      </xdr:spPr>
    </xdr:pic>
    <xdr:clientData/>
  </xdr:twoCellAnchor>
  <xdr:twoCellAnchor editAs="oneCell">
    <xdr:from>
      <xdr:col>0</xdr:col>
      <xdr:colOff>0</xdr:colOff>
      <xdr:row>54</xdr:row>
      <xdr:rowOff>0</xdr:rowOff>
    </xdr:from>
    <xdr:to>
      <xdr:col>12</xdr:col>
      <xdr:colOff>513258</xdr:colOff>
      <xdr:row>64</xdr:row>
      <xdr:rowOff>171214</xdr:rowOff>
    </xdr:to>
    <xdr:pic>
      <xdr:nvPicPr>
        <xdr:cNvPr id="2" name="图片 1"/>
        <xdr:cNvPicPr>
          <a:picLocks noChangeAspect="1"/>
        </xdr:cNvPicPr>
      </xdr:nvPicPr>
      <xdr:blipFill>
        <a:blip xmlns:r="http://schemas.openxmlformats.org/officeDocument/2006/relationships" r:embed="rId3"/>
        <a:stretch>
          <a:fillRect/>
        </a:stretch>
      </xdr:blipFill>
      <xdr:spPr>
        <a:xfrm>
          <a:off x="0" y="9258300"/>
          <a:ext cx="8742858" cy="1885714"/>
        </a:xfrm>
        <a:prstGeom prst="rect">
          <a:avLst/>
        </a:prstGeom>
      </xdr:spPr>
    </xdr:pic>
    <xdr:clientData/>
  </xdr:twoCellAnchor>
  <xdr:twoCellAnchor editAs="oneCell">
    <xdr:from>
      <xdr:col>0</xdr:col>
      <xdr:colOff>0</xdr:colOff>
      <xdr:row>65</xdr:row>
      <xdr:rowOff>0</xdr:rowOff>
    </xdr:from>
    <xdr:to>
      <xdr:col>8</xdr:col>
      <xdr:colOff>446934</xdr:colOff>
      <xdr:row>91</xdr:row>
      <xdr:rowOff>8967</xdr:rowOff>
    </xdr:to>
    <xdr:pic>
      <xdr:nvPicPr>
        <xdr:cNvPr id="3" name="图片 2"/>
        <xdr:cNvPicPr>
          <a:picLocks noChangeAspect="1"/>
        </xdr:cNvPicPr>
      </xdr:nvPicPr>
      <xdr:blipFill>
        <a:blip xmlns:r="http://schemas.openxmlformats.org/officeDocument/2006/relationships" r:embed="rId4"/>
        <a:stretch>
          <a:fillRect/>
        </a:stretch>
      </xdr:blipFill>
      <xdr:spPr>
        <a:xfrm>
          <a:off x="0" y="11144250"/>
          <a:ext cx="5933334" cy="4466667"/>
        </a:xfrm>
        <a:prstGeom prst="rect">
          <a:avLst/>
        </a:prstGeom>
      </xdr:spPr>
    </xdr:pic>
    <xdr:clientData/>
  </xdr:twoCellAnchor>
  <xdr:twoCellAnchor editAs="oneCell">
    <xdr:from>
      <xdr:col>8</xdr:col>
      <xdr:colOff>533400</xdr:colOff>
      <xdr:row>65</xdr:row>
      <xdr:rowOff>57150</xdr:rowOff>
    </xdr:from>
    <xdr:to>
      <xdr:col>18</xdr:col>
      <xdr:colOff>665877</xdr:colOff>
      <xdr:row>75</xdr:row>
      <xdr:rowOff>104555</xdr:rowOff>
    </xdr:to>
    <xdr:pic>
      <xdr:nvPicPr>
        <xdr:cNvPr id="4" name="图片 3"/>
        <xdr:cNvPicPr>
          <a:picLocks noChangeAspect="1"/>
        </xdr:cNvPicPr>
      </xdr:nvPicPr>
      <xdr:blipFill>
        <a:blip xmlns:r="http://schemas.openxmlformats.org/officeDocument/2006/relationships" r:embed="rId5"/>
        <a:stretch>
          <a:fillRect/>
        </a:stretch>
      </xdr:blipFill>
      <xdr:spPr>
        <a:xfrm>
          <a:off x="6019800" y="11201400"/>
          <a:ext cx="6990477" cy="1761905"/>
        </a:xfrm>
        <a:prstGeom prst="rect">
          <a:avLst/>
        </a:prstGeom>
      </xdr:spPr>
    </xdr:pic>
    <xdr:clientData/>
  </xdr:twoCellAnchor>
  <xdr:twoCellAnchor editAs="oneCell">
    <xdr:from>
      <xdr:col>9</xdr:col>
      <xdr:colOff>0</xdr:colOff>
      <xdr:row>76</xdr:row>
      <xdr:rowOff>0</xdr:rowOff>
    </xdr:from>
    <xdr:to>
      <xdr:col>19</xdr:col>
      <xdr:colOff>94381</xdr:colOff>
      <xdr:row>92</xdr:row>
      <xdr:rowOff>66324</xdr:rowOff>
    </xdr:to>
    <xdr:pic>
      <xdr:nvPicPr>
        <xdr:cNvPr id="5" name="图片 4"/>
        <xdr:cNvPicPr>
          <a:picLocks noChangeAspect="1"/>
        </xdr:cNvPicPr>
      </xdr:nvPicPr>
      <xdr:blipFill>
        <a:blip xmlns:r="http://schemas.openxmlformats.org/officeDocument/2006/relationships" r:embed="rId6"/>
        <a:stretch>
          <a:fillRect/>
        </a:stretch>
      </xdr:blipFill>
      <xdr:spPr>
        <a:xfrm>
          <a:off x="6172200" y="13030200"/>
          <a:ext cx="6952381" cy="2809524"/>
        </a:xfrm>
        <a:prstGeom prst="rect">
          <a:avLst/>
        </a:prstGeom>
      </xdr:spPr>
    </xdr:pic>
    <xdr:clientData/>
  </xdr:twoCellAnchor>
  <xdr:twoCellAnchor editAs="oneCell">
    <xdr:from>
      <xdr:col>0</xdr:col>
      <xdr:colOff>0</xdr:colOff>
      <xdr:row>94</xdr:row>
      <xdr:rowOff>0</xdr:rowOff>
    </xdr:from>
    <xdr:to>
      <xdr:col>12</xdr:col>
      <xdr:colOff>341829</xdr:colOff>
      <xdr:row>104</xdr:row>
      <xdr:rowOff>104548</xdr:rowOff>
    </xdr:to>
    <xdr:pic>
      <xdr:nvPicPr>
        <xdr:cNvPr id="6" name="图片 5"/>
        <xdr:cNvPicPr>
          <a:picLocks noChangeAspect="1"/>
        </xdr:cNvPicPr>
      </xdr:nvPicPr>
      <xdr:blipFill>
        <a:blip xmlns:r="http://schemas.openxmlformats.org/officeDocument/2006/relationships" r:embed="rId7"/>
        <a:stretch>
          <a:fillRect/>
        </a:stretch>
      </xdr:blipFill>
      <xdr:spPr>
        <a:xfrm>
          <a:off x="0" y="16116300"/>
          <a:ext cx="8571429" cy="1819048"/>
        </a:xfrm>
        <a:prstGeom prst="rect">
          <a:avLst/>
        </a:prstGeom>
      </xdr:spPr>
    </xdr:pic>
    <xdr:clientData/>
  </xdr:twoCellAnchor>
  <xdr:twoCellAnchor editAs="oneCell">
    <xdr:from>
      <xdr:col>0</xdr:col>
      <xdr:colOff>0</xdr:colOff>
      <xdr:row>105</xdr:row>
      <xdr:rowOff>0</xdr:rowOff>
    </xdr:from>
    <xdr:to>
      <xdr:col>8</xdr:col>
      <xdr:colOff>580267</xdr:colOff>
      <xdr:row>134</xdr:row>
      <xdr:rowOff>46998</xdr:rowOff>
    </xdr:to>
    <xdr:pic>
      <xdr:nvPicPr>
        <xdr:cNvPr id="7" name="图片 6"/>
        <xdr:cNvPicPr>
          <a:picLocks noChangeAspect="1"/>
        </xdr:cNvPicPr>
      </xdr:nvPicPr>
      <xdr:blipFill>
        <a:blip xmlns:r="http://schemas.openxmlformats.org/officeDocument/2006/relationships" r:embed="rId8"/>
        <a:stretch>
          <a:fillRect/>
        </a:stretch>
      </xdr:blipFill>
      <xdr:spPr>
        <a:xfrm>
          <a:off x="0" y="18002250"/>
          <a:ext cx="6066667" cy="5019048"/>
        </a:xfrm>
        <a:prstGeom prst="rect">
          <a:avLst/>
        </a:prstGeom>
      </xdr:spPr>
    </xdr:pic>
    <xdr:clientData/>
  </xdr:twoCellAnchor>
  <xdr:twoCellAnchor editAs="oneCell">
    <xdr:from>
      <xdr:col>9</xdr:col>
      <xdr:colOff>0</xdr:colOff>
      <xdr:row>105</xdr:row>
      <xdr:rowOff>0</xdr:rowOff>
    </xdr:from>
    <xdr:to>
      <xdr:col>18</xdr:col>
      <xdr:colOff>323039</xdr:colOff>
      <xdr:row>114</xdr:row>
      <xdr:rowOff>28379</xdr:rowOff>
    </xdr:to>
    <xdr:pic>
      <xdr:nvPicPr>
        <xdr:cNvPr id="8" name="图片 7"/>
        <xdr:cNvPicPr>
          <a:picLocks noChangeAspect="1"/>
        </xdr:cNvPicPr>
      </xdr:nvPicPr>
      <xdr:blipFill>
        <a:blip xmlns:r="http://schemas.openxmlformats.org/officeDocument/2006/relationships" r:embed="rId9"/>
        <a:stretch>
          <a:fillRect/>
        </a:stretch>
      </xdr:blipFill>
      <xdr:spPr>
        <a:xfrm>
          <a:off x="6172200" y="18002250"/>
          <a:ext cx="6495239" cy="1571429"/>
        </a:xfrm>
        <a:prstGeom prst="rect">
          <a:avLst/>
        </a:prstGeom>
      </xdr:spPr>
    </xdr:pic>
    <xdr:clientData/>
  </xdr:twoCellAnchor>
  <xdr:twoCellAnchor editAs="oneCell">
    <xdr:from>
      <xdr:col>0</xdr:col>
      <xdr:colOff>0</xdr:colOff>
      <xdr:row>135</xdr:row>
      <xdr:rowOff>0</xdr:rowOff>
    </xdr:from>
    <xdr:to>
      <xdr:col>12</xdr:col>
      <xdr:colOff>418020</xdr:colOff>
      <xdr:row>146</xdr:row>
      <xdr:rowOff>142622</xdr:rowOff>
    </xdr:to>
    <xdr:pic>
      <xdr:nvPicPr>
        <xdr:cNvPr id="9" name="图片 8"/>
        <xdr:cNvPicPr>
          <a:picLocks noChangeAspect="1"/>
        </xdr:cNvPicPr>
      </xdr:nvPicPr>
      <xdr:blipFill>
        <a:blip xmlns:r="http://schemas.openxmlformats.org/officeDocument/2006/relationships" r:embed="rId10"/>
        <a:stretch>
          <a:fillRect/>
        </a:stretch>
      </xdr:blipFill>
      <xdr:spPr>
        <a:xfrm>
          <a:off x="0" y="23145750"/>
          <a:ext cx="8647620" cy="2028572"/>
        </a:xfrm>
        <a:prstGeom prst="rect">
          <a:avLst/>
        </a:prstGeom>
      </xdr:spPr>
    </xdr:pic>
    <xdr:clientData/>
  </xdr:twoCellAnchor>
  <xdr:twoCellAnchor editAs="oneCell">
    <xdr:from>
      <xdr:col>0</xdr:col>
      <xdr:colOff>0</xdr:colOff>
      <xdr:row>148</xdr:row>
      <xdr:rowOff>0</xdr:rowOff>
    </xdr:from>
    <xdr:to>
      <xdr:col>8</xdr:col>
      <xdr:colOff>542172</xdr:colOff>
      <xdr:row>176</xdr:row>
      <xdr:rowOff>66067</xdr:rowOff>
    </xdr:to>
    <xdr:pic>
      <xdr:nvPicPr>
        <xdr:cNvPr id="10" name="图片 9"/>
        <xdr:cNvPicPr>
          <a:picLocks noChangeAspect="1"/>
        </xdr:cNvPicPr>
      </xdr:nvPicPr>
      <xdr:blipFill>
        <a:blip xmlns:r="http://schemas.openxmlformats.org/officeDocument/2006/relationships" r:embed="rId11"/>
        <a:stretch>
          <a:fillRect/>
        </a:stretch>
      </xdr:blipFill>
      <xdr:spPr>
        <a:xfrm>
          <a:off x="0" y="25374600"/>
          <a:ext cx="6028572" cy="4866667"/>
        </a:xfrm>
        <a:prstGeom prst="rect">
          <a:avLst/>
        </a:prstGeom>
      </xdr:spPr>
    </xdr:pic>
    <xdr:clientData/>
  </xdr:twoCellAnchor>
  <xdr:twoCellAnchor editAs="oneCell">
    <xdr:from>
      <xdr:col>9</xdr:col>
      <xdr:colOff>0</xdr:colOff>
      <xdr:row>149</xdr:row>
      <xdr:rowOff>0</xdr:rowOff>
    </xdr:from>
    <xdr:to>
      <xdr:col>18</xdr:col>
      <xdr:colOff>237324</xdr:colOff>
      <xdr:row>157</xdr:row>
      <xdr:rowOff>95067</xdr:rowOff>
    </xdr:to>
    <xdr:pic>
      <xdr:nvPicPr>
        <xdr:cNvPr id="11" name="图片 10"/>
        <xdr:cNvPicPr>
          <a:picLocks noChangeAspect="1"/>
        </xdr:cNvPicPr>
      </xdr:nvPicPr>
      <xdr:blipFill>
        <a:blip xmlns:r="http://schemas.openxmlformats.org/officeDocument/2006/relationships" r:embed="rId12"/>
        <a:stretch>
          <a:fillRect/>
        </a:stretch>
      </xdr:blipFill>
      <xdr:spPr>
        <a:xfrm>
          <a:off x="6172200" y="25546050"/>
          <a:ext cx="6409524" cy="14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估价对象为北京市房地产，为所有。根据《不动产权证书》[]，估价对象建筑面积为59.65平方米，（分摊）出让国有建设用地使用权面积为平方米。估价对象用途为。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2018年6月26日（评估专业人员实地查勘之日）</v>
      </c>
    </row>
    <row r="10" spans="1:2">
      <c r="A10" s="1702" t="s">
        <v>1116</v>
      </c>
      <c r="B10" s="1689" t="str">
        <f>'预评函-1'!A13</f>
        <v>本次估价的“房地产价值”是指在正常市场情况下，在价值时点2018年6月26日，估价对象规划用途为，假定未设立法定优先受偿款下的房地产市场价值。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59.65</v>
      </c>
    </row>
    <row r="19" spans="1:2">
      <c r="A19" s="1702" t="s">
        <v>1125</v>
      </c>
      <c r="B19" s="1689">
        <f ca="1">'预评函-2（1）'!D7</f>
        <v>927617</v>
      </c>
    </row>
    <row r="20" spans="1:2">
      <c r="A20" s="1702" t="s">
        <v>1163</v>
      </c>
      <c r="B20" s="1689" t="str">
        <f>'预评函-2（1）'!C7</f>
        <v>总价（元）</v>
      </c>
    </row>
    <row r="21" spans="1:2">
      <c r="A21" s="1702" t="s">
        <v>1126</v>
      </c>
      <c r="B21" s="1689">
        <f ca="1">'预评函-2（1）'!D9</f>
        <v>15551</v>
      </c>
    </row>
    <row r="22" spans="1:2">
      <c r="A22" s="1702" t="s">
        <v>1127</v>
      </c>
      <c r="B22" s="1689" t="str">
        <f ca="1">'预评函-2（1）'!D8</f>
        <v>玖拾贰万柒仟陆佰壹拾柒元整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927617</v>
      </c>
    </row>
    <row r="30" spans="1:2">
      <c r="A30" s="1702" t="s">
        <v>1133</v>
      </c>
      <c r="B30" s="1689" t="str">
        <f ca="1">'预评函-2（1）'!D16</f>
        <v>玖拾贰万柒仟陆佰壹拾柒元整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495334</v>
      </c>
    </row>
    <row r="38" spans="1:2">
      <c r="A38" s="1702" t="s">
        <v>1141</v>
      </c>
      <c r="B38" s="1689">
        <f ca="1">'预评函-2（2）'!E4</f>
        <v>8304</v>
      </c>
    </row>
    <row r="39" spans="1:2">
      <c r="A39" s="1702" t="s">
        <v>1142</v>
      </c>
      <c r="B39" s="1689" t="str">
        <f ca="1">'预评函-2（2）'!D5</f>
        <v>肆拾玖万伍仟叁佰叁拾肆元整</v>
      </c>
    </row>
    <row r="40" spans="1:2">
      <c r="A40" s="1702" t="s">
        <v>1143</v>
      </c>
      <c r="B40" s="1689">
        <f ca="1">'预评函-2（2）'!F4</f>
        <v>432284</v>
      </c>
    </row>
    <row r="41" spans="1:2">
      <c r="A41" s="1702" t="s">
        <v>1144</v>
      </c>
      <c r="B41" s="1689">
        <f ca="1">'预评函-2（2）'!G4</f>
        <v>7247</v>
      </c>
    </row>
    <row r="42" spans="1:2" s="1699" customFormat="1" ht="15.75" thickBot="1">
      <c r="A42" s="1703" t="s">
        <v>1145</v>
      </c>
      <c r="B42" s="1691" t="str">
        <f ca="1">'预评函-2（2）'!F5</f>
        <v>肆拾叁万贰仟贰佰捌拾肆元整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15551</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43277</v>
      </c>
      <c r="C2" s="1999" t="s">
        <v>1547</v>
      </c>
      <c r="D2" s="1088">
        <v>43277</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2826</v>
      </c>
      <c r="C6" s="2015"/>
      <c r="D6" s="2016" t="s">
        <v>1556</v>
      </c>
      <c r="E6" s="1022"/>
      <c r="F6" s="1021"/>
      <c r="G6" s="1074"/>
      <c r="I6" s="1070" t="str">
        <f>IF(COUNTIF(B5,"*上海银行*"),"上海银行","")</f>
        <v/>
      </c>
    </row>
    <row r="7" spans="1:10" ht="13.5" thickBot="1">
      <c r="A7" s="2000" t="s">
        <v>1557</v>
      </c>
      <c r="B7" s="2017" t="s">
        <v>2825</v>
      </c>
      <c r="C7" s="2018" t="str">
        <f>IF(B7="自然人","姓名","名称")</f>
        <v>姓名</v>
      </c>
      <c r="D7" s="2019"/>
      <c r="E7" s="1068"/>
      <c r="F7" s="1067"/>
      <c r="G7" s="1684"/>
    </row>
    <row r="8" spans="1:10" ht="13.5" thickTop="1">
      <c r="A8" s="2818" t="s">
        <v>1558</v>
      </c>
      <c r="B8" s="2020" t="s">
        <v>1559</v>
      </c>
      <c r="C8" s="2830"/>
      <c r="D8" s="2831"/>
      <c r="E8" s="2021" t="s">
        <v>1560</v>
      </c>
      <c r="F8" s="2022" t="s">
        <v>1561</v>
      </c>
      <c r="G8" s="690">
        <f>C6</f>
        <v>0</v>
      </c>
    </row>
    <row r="9" spans="1:10">
      <c r="A9" s="2818"/>
      <c r="B9" s="344" t="s">
        <v>1562</v>
      </c>
      <c r="C9" s="2734" t="s">
        <v>2912</v>
      </c>
      <c r="D9" s="2023"/>
      <c r="E9" s="1010" t="s">
        <v>1563</v>
      </c>
      <c r="F9" s="996"/>
      <c r="G9" s="1012"/>
    </row>
    <row r="10" spans="1:10" ht="13.5" thickBot="1">
      <c r="A10" s="2818"/>
      <c r="B10" s="344" t="s">
        <v>1564</v>
      </c>
      <c r="C10" s="2832"/>
      <c r="D10" s="2833"/>
      <c r="E10" s="2024" t="s">
        <v>1565</v>
      </c>
      <c r="F10" s="1013"/>
      <c r="G10" s="1014"/>
    </row>
    <row r="11" spans="1:10" ht="13.5" thickBot="1">
      <c r="A11" s="2818"/>
      <c r="B11" s="2025" t="s">
        <v>1566</v>
      </c>
      <c r="C11" s="2834"/>
      <c r="D11" s="2835"/>
      <c r="E11" s="1022"/>
      <c r="F11" s="1021"/>
      <c r="G11" s="1074"/>
    </row>
    <row r="12" spans="1:10" ht="24.75" thickBot="1">
      <c r="A12" s="2821" t="s">
        <v>1567</v>
      </c>
      <c r="B12" s="2026" t="s">
        <v>1568</v>
      </c>
      <c r="C12" s="1016">
        <v>59.65</v>
      </c>
      <c r="D12" s="2026" t="s">
        <v>1569</v>
      </c>
      <c r="E12" s="2027" t="s">
        <v>1570</v>
      </c>
      <c r="F12" s="2028" t="s">
        <v>1571</v>
      </c>
      <c r="G12" s="1074"/>
    </row>
    <row r="13" spans="1:10" ht="21" customHeight="1" thickBot="1">
      <c r="A13" s="2822"/>
      <c r="B13" s="2029" t="s">
        <v>1572</v>
      </c>
      <c r="C13" s="1017"/>
      <c r="D13" s="2029" t="s">
        <v>1573</v>
      </c>
      <c r="E13" s="2030" t="s">
        <v>1570</v>
      </c>
      <c r="F13" s="1021"/>
      <c r="G13" s="1074"/>
      <c r="I13" s="2808"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8"/>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8"/>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6" t="s">
        <v>1581</v>
      </c>
      <c r="C17" s="2837"/>
      <c r="D17" s="2838" t="s">
        <v>1582</v>
      </c>
      <c r="E17" s="2839"/>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4" t="s">
        <v>1598</v>
      </c>
      <c r="D27" s="2825"/>
      <c r="E27" s="1004"/>
      <c r="F27" s="1011" t="s">
        <v>1598</v>
      </c>
      <c r="G27" s="1004"/>
      <c r="I27" s="1071"/>
      <c r="K27" s="1071"/>
    </row>
    <row r="28" spans="1:15">
      <c r="A28" s="1008" t="s">
        <v>1599</v>
      </c>
      <c r="B28" s="978"/>
      <c r="C28" s="2826" t="s">
        <v>1600</v>
      </c>
      <c r="D28" s="2827"/>
      <c r="E28" s="978"/>
      <c r="F28" s="1894" t="s">
        <v>1600</v>
      </c>
      <c r="G28" s="978"/>
      <c r="I28" s="1071"/>
      <c r="K28" s="1071"/>
    </row>
    <row r="29" spans="1:15">
      <c r="A29" s="1008" t="s">
        <v>1601</v>
      </c>
      <c r="B29" s="978"/>
      <c r="C29" s="2826" t="s">
        <v>1601</v>
      </c>
      <c r="D29" s="2827"/>
      <c r="E29" s="978"/>
      <c r="F29" s="1894" t="s">
        <v>1602</v>
      </c>
      <c r="G29" s="978"/>
      <c r="I29" s="1071"/>
      <c r="K29" s="1071"/>
    </row>
    <row r="30" spans="1:15">
      <c r="A30" s="1008" t="s">
        <v>1603</v>
      </c>
      <c r="B30" s="978"/>
      <c r="C30" s="2815" t="s">
        <v>1604</v>
      </c>
      <c r="D30" s="2068"/>
      <c r="E30" s="1023" t="str">
        <f>E31&amp;" "&amp;E32&amp;" "&amp;E33&amp;" "&amp;E34</f>
        <v xml:space="preserve">   </v>
      </c>
      <c r="F30" s="1894" t="s">
        <v>1605</v>
      </c>
      <c r="G30" s="978"/>
    </row>
    <row r="31" spans="1:15">
      <c r="A31" s="1008" t="s">
        <v>1606</v>
      </c>
      <c r="B31" s="978"/>
      <c r="C31" s="2816"/>
      <c r="D31" s="1893" t="s">
        <v>1607</v>
      </c>
      <c r="E31" s="978"/>
      <c r="F31" s="1894" t="s">
        <v>1608</v>
      </c>
      <c r="G31" s="978"/>
    </row>
    <row r="32" spans="1:15" ht="24.75" thickBot="1">
      <c r="A32" s="1009" t="s">
        <v>1609</v>
      </c>
      <c r="B32" s="1005"/>
      <c r="C32" s="2816"/>
      <c r="D32" s="1893" t="s">
        <v>1610</v>
      </c>
      <c r="E32" s="978"/>
      <c r="F32" s="1894" t="s">
        <v>1611</v>
      </c>
      <c r="G32" s="978"/>
    </row>
    <row r="33" spans="1:7">
      <c r="A33" s="1007" t="s">
        <v>1612</v>
      </c>
      <c r="B33" s="1004"/>
      <c r="C33" s="2816"/>
      <c r="D33" s="1893" t="s">
        <v>1613</v>
      </c>
      <c r="E33" s="978"/>
      <c r="F33" s="1894" t="s">
        <v>1614</v>
      </c>
      <c r="G33" s="978"/>
    </row>
    <row r="34" spans="1:7" ht="13.5" thickBot="1">
      <c r="A34" s="1008" t="s">
        <v>1615</v>
      </c>
      <c r="B34" s="978"/>
      <c r="C34" s="2817"/>
      <c r="D34" s="1893" t="s">
        <v>1616</v>
      </c>
      <c r="E34" s="978"/>
      <c r="F34" s="1895" t="s">
        <v>1617</v>
      </c>
      <c r="G34" s="1006"/>
    </row>
    <row r="35" spans="1:7">
      <c r="A35" s="1008" t="s">
        <v>1568</v>
      </c>
      <c r="B35" s="978"/>
      <c r="C35" s="2826" t="s">
        <v>1618</v>
      </c>
      <c r="D35" s="2827"/>
      <c r="E35" s="978"/>
      <c r="F35" s="1019" t="s">
        <v>1619</v>
      </c>
      <c r="G35" s="1004"/>
    </row>
    <row r="36" spans="1:7" ht="13.5" thickBot="1">
      <c r="A36" s="1008" t="s">
        <v>1620</v>
      </c>
      <c r="B36" s="978"/>
      <c r="C36" s="2828" t="s">
        <v>1621</v>
      </c>
      <c r="D36" s="2829"/>
      <c r="E36" s="1005"/>
      <c r="F36" s="1891" t="s">
        <v>1622</v>
      </c>
      <c r="G36" s="978"/>
    </row>
    <row r="37" spans="1:7" ht="13.5" thickBot="1">
      <c r="A37" s="1008" t="s">
        <v>1623</v>
      </c>
      <c r="B37" s="978"/>
      <c r="C37" s="2813" t="s">
        <v>1624</v>
      </c>
      <c r="D37" s="2069" t="s">
        <v>1608</v>
      </c>
      <c r="E37" s="1004"/>
      <c r="F37" s="1895" t="s">
        <v>1625</v>
      </c>
      <c r="G37" s="1005"/>
    </row>
    <row r="38" spans="1:7">
      <c r="A38" s="1008" t="s">
        <v>1626</v>
      </c>
      <c r="B38" s="978"/>
      <c r="C38" s="2819"/>
      <c r="D38" s="1893" t="s">
        <v>1615</v>
      </c>
      <c r="E38" s="978"/>
      <c r="F38" s="1011" t="s">
        <v>1627</v>
      </c>
      <c r="G38" s="1004"/>
    </row>
    <row r="39" spans="1:7">
      <c r="A39" s="1008" t="s">
        <v>1628</v>
      </c>
      <c r="B39" s="978"/>
      <c r="C39" s="2819" t="s">
        <v>1629</v>
      </c>
      <c r="D39" s="1893" t="s">
        <v>1568</v>
      </c>
      <c r="E39" s="978"/>
      <c r="F39" s="1894" t="s">
        <v>1630</v>
      </c>
      <c r="G39" s="978"/>
    </row>
    <row r="40" spans="1:7" ht="24.75" customHeight="1" thickBot="1">
      <c r="A40" s="1009" t="s">
        <v>1631</v>
      </c>
      <c r="B40" s="1005"/>
      <c r="C40" s="2820"/>
      <c r="D40" s="1896" t="s">
        <v>1572</v>
      </c>
      <c r="E40" s="1005"/>
      <c r="F40" s="1895" t="s">
        <v>1632</v>
      </c>
      <c r="G40" s="1005"/>
    </row>
    <row r="41" spans="1:7">
      <c r="A41" s="1010" t="s">
        <v>1633</v>
      </c>
      <c r="B41" s="1060"/>
      <c r="C41" s="2809" t="s">
        <v>1633</v>
      </c>
      <c r="D41" s="2810"/>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11" t="s">
        <v>1636</v>
      </c>
      <c r="D48" s="2812"/>
      <c r="E48" s="1055"/>
      <c r="F48" s="1895" t="s">
        <v>1637</v>
      </c>
      <c r="G48" s="1005"/>
    </row>
    <row r="49" spans="1:15">
      <c r="A49" s="1008" t="s">
        <v>1638</v>
      </c>
      <c r="B49" s="1054"/>
      <c r="C49" s="2813" t="s">
        <v>1639</v>
      </c>
      <c r="D49" s="2814"/>
      <c r="E49" s="1056"/>
      <c r="F49" s="1084"/>
      <c r="G49" s="1085"/>
    </row>
    <row r="50" spans="1:15" ht="13.5" thickBot="1">
      <c r="A50" s="1008" t="s">
        <v>1640</v>
      </c>
      <c r="B50" s="1054"/>
      <c r="C50" s="2820" t="s">
        <v>1641</v>
      </c>
      <c r="D50" s="2823"/>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27" sqref="D27"/>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43277</v>
      </c>
      <c r="C2" s="1855"/>
      <c r="D2" s="2842"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2818</v>
      </c>
      <c r="C3" s="1855"/>
      <c r="D3" s="2843"/>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2819</v>
      </c>
      <c r="C4" s="1855"/>
      <c r="D4" s="284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59.65</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2911</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40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27.5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0.83399999999999996</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2200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131230</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2007</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2820</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2.5000000000000001E-2</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0.1</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27.5</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75" thickBot="1">
      <c r="A3" s="395" t="s">
        <v>1740</v>
      </c>
      <c r="B3" s="2144" t="s">
        <v>1741</v>
      </c>
      <c r="C3" s="2735" t="s">
        <v>2880</v>
      </c>
      <c r="D3" s="2145"/>
      <c r="E3" s="411" t="s">
        <v>1740</v>
      </c>
      <c r="F3" s="2146" t="s">
        <v>1742</v>
      </c>
      <c r="G3" s="2147" t="s">
        <v>1743</v>
      </c>
      <c r="H3" s="2142"/>
      <c r="I3" s="2142"/>
      <c r="J3" s="2142"/>
      <c r="K3" s="2142"/>
      <c r="L3" s="2142"/>
      <c r="M3" s="2142"/>
      <c r="N3" s="2142"/>
      <c r="O3" s="2142"/>
      <c r="P3" s="2142"/>
      <c r="Q3" s="2142"/>
      <c r="R3" s="2142"/>
    </row>
    <row r="4" spans="1:29" ht="81">
      <c r="A4" s="411"/>
      <c r="B4" s="1887" t="s">
        <v>1744</v>
      </c>
      <c r="C4" s="2735" t="s">
        <v>2880</v>
      </c>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2882</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2821</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54">
      <c r="A9" s="411"/>
      <c r="B9" s="1887" t="s">
        <v>1755</v>
      </c>
      <c r="C9" s="2737" t="s">
        <v>2885</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2886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估价对象周边有首创新悦都、原香小镇、万科长阳天地、九州溪雅苑等居住小区，小区规模和社区发展完善程度较好，综合评价居住社区成熟度较好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t="str">
        <f>C4</f>
        <v>估价对象周边有首创新悦都、原香小镇、万科长阳天地、九州溪雅苑等居住小区，小区规模和社区发展完善程度较好，综合评价居住社区成熟度较好</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估价对象紧邻城市快速路——京良路，周边有地铁房山线（篱笆房站）、有房15路、房18路、房31路、房37路等十多条公交线路，综合评价交通便捷度较好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57">
      <c r="A20" s="629"/>
      <c r="B20" s="2181" t="s">
        <v>1765</v>
      </c>
      <c r="C20" s="2179" t="str">
        <f>C9</f>
        <v>自然环境：长阳公园等；人文环境：国福东旭高尔夫练习场等，综合评价环境状况一般</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城市快速路——京良路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7" workbookViewId="0">
      <selection activeCell="E26" sqref="E26"/>
    </sheetView>
  </sheetViews>
  <sheetFormatPr defaultColWidth="14.625" defaultRowHeight="13.5"/>
  <cols>
    <col min="1" max="1" width="24.375" customWidth="1"/>
  </cols>
  <sheetData>
    <row r="1" spans="1:9" ht="16.5">
      <c r="A1" s="1830" t="s">
        <v>1225</v>
      </c>
      <c r="B1" s="1830">
        <f>SUM(B14:B23)</f>
        <v>59.65</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43277</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92.761700000000005</v>
      </c>
      <c r="C5" s="1830">
        <f ca="1">ROUND(B5*10000/$B$1,0)</f>
        <v>15551</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59.65</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92.761700000000005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20" sqref="D20"/>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10" t="str">
        <f>项目基本情况!B1</f>
        <v>北京市预评估</v>
      </c>
      <c r="B2" s="2910"/>
      <c r="C2" s="2910"/>
      <c r="D2" s="2910"/>
      <c r="E2" s="2910"/>
      <c r="F2" s="2910"/>
      <c r="G2" s="2910"/>
      <c r="H2" s="2910"/>
      <c r="I2" s="2910"/>
    </row>
    <row r="3" spans="1:12" ht="12.75">
      <c r="A3" s="2913" t="s">
        <v>1771</v>
      </c>
      <c r="B3" s="2914"/>
      <c r="C3" s="2914"/>
      <c r="D3" s="2914"/>
      <c r="E3" s="2914"/>
      <c r="F3" s="2914"/>
      <c r="G3" s="2914"/>
      <c r="H3" s="2914"/>
      <c r="I3" s="2914"/>
    </row>
    <row r="4" spans="1:12" ht="14.25">
      <c r="A4" s="2197" t="s">
        <v>1772</v>
      </c>
      <c r="B4" s="2198" t="s">
        <v>1773</v>
      </c>
      <c r="C4" s="2199" t="s">
        <v>2877</v>
      </c>
      <c r="D4" s="2199" t="s">
        <v>2828</v>
      </c>
      <c r="E4" s="2894" t="s">
        <v>1774</v>
      </c>
      <c r="F4" s="2895"/>
      <c r="G4" s="2895"/>
      <c r="H4" s="2895"/>
      <c r="I4" s="290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87" t="s">
        <v>1775</v>
      </c>
      <c r="B5" s="2849">
        <v>25</v>
      </c>
      <c r="C5" s="2898">
        <v>80</v>
      </c>
      <c r="D5" s="2912">
        <f>100-C5</f>
        <v>20</v>
      </c>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1062903</v>
      </c>
      <c r="D19" s="60">
        <f ca="1">SUMIF(INDIRECT("'"&amp;D4&amp;"'"&amp;"!A:A"),结果表!B19,INDIRECT("'"&amp;D4&amp;"'"&amp;"!B:B"))</f>
        <v>386383</v>
      </c>
      <c r="E19" s="2206" t="s">
        <v>1796</v>
      </c>
      <c r="F19" s="2207" t="s">
        <v>1795</v>
      </c>
      <c r="G19" s="61">
        <f ca="1">ROUND(C19*$C$18+D19*$D$18,0)</f>
        <v>927599</v>
      </c>
      <c r="H19" s="2208" t="str">
        <f>'数据-取费表'!B3</f>
        <v>元</v>
      </c>
      <c r="I19" s="2195"/>
    </row>
    <row r="20" spans="1:35" ht="15">
      <c r="A20" s="2209"/>
      <c r="B20" s="2210" t="s">
        <v>1797</v>
      </c>
      <c r="C20" s="62">
        <f ca="1">SUMIF(INDIRECT("'"&amp;C4&amp;"'"&amp;"!A:A"),结果表!B20,INDIRECT("'"&amp;C4&amp;"'"&amp;"!B:B"))</f>
        <v>17819</v>
      </c>
      <c r="D20" s="63">
        <f ca="1">SUMIF(INDIRECT("'"&amp;D4&amp;"'"&amp;"!A:A"),结果表!B20,INDIRECT("'"&amp;D4&amp;"'"&amp;"!B:B"))</f>
        <v>6478</v>
      </c>
      <c r="E20" s="2209"/>
      <c r="F20" s="2210" t="s">
        <v>1797</v>
      </c>
      <c r="G20" s="64">
        <f ca="1">ROUND(C20*$C$18+D20*$D$18,0)</f>
        <v>15551</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1.7509051899281283</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15551</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8304</v>
      </c>
      <c r="D34" s="1091">
        <f ca="1">IF(D33="自定义",ROUND(C34/C32,3),1-D35)</f>
        <v>0.53400000000000003</v>
      </c>
      <c r="E34" s="2233" t="s">
        <v>1810</v>
      </c>
      <c r="F34" s="1828">
        <v>2000</v>
      </c>
      <c r="G34" s="2195"/>
      <c r="H34" s="2195"/>
      <c r="I34" s="2195"/>
    </row>
    <row r="35" spans="1:16" ht="15.75" thickBot="1">
      <c r="A35" s="2234"/>
      <c r="B35" s="2235" t="s">
        <v>1811</v>
      </c>
      <c r="C35" s="73">
        <f ca="1">IF(D33="自定义",F35,ROUND(C32*D35,0))</f>
        <v>7247</v>
      </c>
      <c r="D35" s="1090">
        <f ca="1">IF(D33="自定义",ROUND(C35/C32,3),IF(D33="成本法成本比率",成本法!C56,IF(D33="收益法收益比率",收益法!J38,收益法!J41)))</f>
        <v>0.46600000000000003</v>
      </c>
      <c r="E35" s="2236" t="s">
        <v>1812</v>
      </c>
      <c r="F35" s="79">
        <v>4460</v>
      </c>
      <c r="G35" s="2195"/>
      <c r="H35" s="2195"/>
      <c r="I35" s="2195"/>
    </row>
    <row r="36" spans="1:16" ht="15.75" thickBot="1">
      <c r="A36" s="2900" t="s">
        <v>1813</v>
      </c>
      <c r="B36" s="2237" t="s">
        <v>1814</v>
      </c>
      <c r="C36" s="69">
        <v>0</v>
      </c>
      <c r="D36" s="2238"/>
      <c r="E36" s="2239"/>
      <c r="F36" s="2239"/>
      <c r="G36" s="2195"/>
      <c r="H36" s="2195"/>
      <c r="I36" s="2195"/>
    </row>
    <row r="37" spans="1:16" ht="15.75" thickBot="1">
      <c r="A37" s="2901"/>
      <c r="B37" s="2240" t="s">
        <v>1815</v>
      </c>
      <c r="C37" s="71">
        <v>0</v>
      </c>
      <c r="D37" s="2205"/>
      <c r="E37" s="2205"/>
      <c r="F37" s="2239"/>
      <c r="G37" s="2205"/>
      <c r="H37" s="2205"/>
      <c r="I37" s="2205"/>
    </row>
    <row r="38" spans="1:16" ht="15.75" thickBot="1">
      <c r="A38" s="2902"/>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06" t="s">
        <v>1824</v>
      </c>
      <c r="B45" s="2907"/>
      <c r="C45" s="2908"/>
      <c r="D45" s="80">
        <f ca="1">ROUND(I102*F45,0)</f>
        <v>927617</v>
      </c>
      <c r="E45" s="81" t="s">
        <v>1825</v>
      </c>
      <c r="F45" s="82">
        <v>1</v>
      </c>
      <c r="G45" s="83" t="s">
        <v>1826</v>
      </c>
      <c r="H45" s="2195"/>
      <c r="I45" s="2195"/>
      <c r="J45" s="2968" t="s">
        <v>1827</v>
      </c>
      <c r="K45" s="2968"/>
      <c r="L45" s="2968"/>
      <c r="M45" s="2968"/>
      <c r="N45" s="2968"/>
      <c r="O45" s="2968"/>
      <c r="P45" s="1845"/>
    </row>
    <row r="46" spans="1:16" ht="14.25" customHeight="1">
      <c r="A46" s="2891" t="s">
        <v>1828</v>
      </c>
      <c r="B46" s="2892"/>
      <c r="C46" s="2892"/>
      <c r="D46" s="2892"/>
      <c r="E46" s="2892"/>
      <c r="F46" s="2892"/>
      <c r="G46" s="2893"/>
      <c r="H46" s="2257"/>
      <c r="I46" s="1144"/>
      <c r="J46" s="1883">
        <v>1</v>
      </c>
      <c r="K46" s="2968" t="s">
        <v>1829</v>
      </c>
      <c r="L46" s="2968"/>
      <c r="M46" s="2969" t="str">
        <f>项目基本情况!B1</f>
        <v>北京市预评估</v>
      </c>
      <c r="N46" s="2969"/>
      <c r="O46" s="2969"/>
      <c r="P46" s="1845"/>
    </row>
    <row r="47" spans="1:16" ht="12" customHeight="1">
      <c r="A47" s="85" t="s">
        <v>1830</v>
      </c>
      <c r="B47" s="86"/>
      <c r="C47" s="87"/>
      <c r="D47" s="88" t="s">
        <v>1831</v>
      </c>
      <c r="E47" s="14" t="s">
        <v>1832</v>
      </c>
      <c r="F47" s="89" t="s">
        <v>1833</v>
      </c>
      <c r="G47" s="90" t="s">
        <v>1834</v>
      </c>
      <c r="H47" s="2257"/>
      <c r="I47" s="1144"/>
      <c r="J47" s="1883">
        <v>2</v>
      </c>
      <c r="K47" s="2968" t="s">
        <v>1835</v>
      </c>
      <c r="L47" s="2968"/>
      <c r="M47" s="2970">
        <f>'数据-取费表'!B2</f>
        <v>43277</v>
      </c>
      <c r="N47" s="2970"/>
      <c r="O47" s="2970"/>
      <c r="P47" s="1845"/>
    </row>
    <row r="48" spans="1:16" ht="25.5">
      <c r="A48" s="2903" t="s">
        <v>1836</v>
      </c>
      <c r="B48" s="2904"/>
      <c r="C48" s="2904"/>
      <c r="D48" s="56">
        <f ca="1">IF(H48="情况1",0,IF(H48="情况2",D52,IF(H48="情况3",D53,IF(H48="情况4",D54))))</f>
        <v>48589</v>
      </c>
      <c r="E48" s="1893" t="str">
        <f>IF(H48="情况4","(销售额-原购置价)×税（费）率","销售额×税（费）率")</f>
        <v>销售额×税（费）率</v>
      </c>
      <c r="F48" s="91">
        <f>IF(H48="情况1","免征",'数据-取费表'!E29)</f>
        <v>5.5000000000000007E-2</v>
      </c>
      <c r="G48" s="2258" t="s">
        <v>1837</v>
      </c>
      <c r="H48" s="2259" t="s">
        <v>1838</v>
      </c>
      <c r="I48" s="2257"/>
      <c r="J48" s="1883">
        <v>3</v>
      </c>
      <c r="K48" s="2968" t="s">
        <v>1839</v>
      </c>
      <c r="L48" s="2968"/>
      <c r="M48" s="2969">
        <f ca="1">I102</f>
        <v>927617</v>
      </c>
      <c r="N48" s="2969"/>
      <c r="O48" s="2969"/>
      <c r="P48" s="1845"/>
    </row>
    <row r="49" spans="1:16" ht="25.5" customHeight="1">
      <c r="A49" s="92" t="s">
        <v>1840</v>
      </c>
      <c r="B49" s="2896" t="s">
        <v>1841</v>
      </c>
      <c r="C49" s="2896"/>
      <c r="D49" s="93">
        <v>0</v>
      </c>
      <c r="E49" s="13" t="s">
        <v>1842</v>
      </c>
      <c r="F49" s="18" t="s">
        <v>48</v>
      </c>
      <c r="G49" s="2961"/>
      <c r="H49" s="2195"/>
      <c r="I49" s="2260"/>
      <c r="J49" s="1883">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45"/>
    </row>
    <row r="50" spans="1:16" ht="25.5" customHeight="1">
      <c r="A50" s="94"/>
      <c r="B50" s="2896" t="s">
        <v>1843</v>
      </c>
      <c r="C50" s="2896"/>
      <c r="D50" s="95"/>
      <c r="E50" s="21"/>
      <c r="F50" s="96"/>
      <c r="G50" s="2962"/>
      <c r="H50" s="2195"/>
      <c r="I50" s="2260"/>
      <c r="J50" s="2968" t="s">
        <v>1844</v>
      </c>
      <c r="K50" s="2968"/>
      <c r="L50" s="2968"/>
      <c r="M50" s="2968"/>
      <c r="N50" s="2968"/>
      <c r="O50" s="2968"/>
      <c r="P50" s="1845"/>
    </row>
    <row r="51" spans="1:16" ht="12" customHeight="1">
      <c r="A51" s="97"/>
      <c r="B51" s="2896" t="s">
        <v>1845</v>
      </c>
      <c r="C51" s="2896"/>
      <c r="D51" s="98"/>
      <c r="E51" s="20"/>
      <c r="F51" s="96"/>
      <c r="G51" s="2963"/>
      <c r="H51" s="2195"/>
      <c r="I51" s="2260"/>
      <c r="J51" s="2261" t="s">
        <v>1846</v>
      </c>
      <c r="K51" s="2968" t="s">
        <v>1847</v>
      </c>
      <c r="L51" s="2968"/>
      <c r="M51" s="2261" t="s">
        <v>1848</v>
      </c>
      <c r="N51" s="2261" t="s">
        <v>1849</v>
      </c>
      <c r="O51" s="2261" t="s">
        <v>1850</v>
      </c>
      <c r="P51" s="1845"/>
    </row>
    <row r="52" spans="1:16" ht="24" customHeight="1">
      <c r="A52" s="99" t="s">
        <v>1851</v>
      </c>
      <c r="B52" s="2896" t="s">
        <v>1852</v>
      </c>
      <c r="C52" s="2896"/>
      <c r="D52" s="98">
        <f ca="1">ROUND(D45*'数据-取费表'!E29/(1+'数据-取费表'!F30),0)</f>
        <v>48589</v>
      </c>
      <c r="E52" s="10" t="s">
        <v>1853</v>
      </c>
      <c r="F52" s="100">
        <f>'数据-取费表'!E29</f>
        <v>5.5000000000000007E-2</v>
      </c>
      <c r="G52" s="2262"/>
      <c r="H52" s="2195"/>
      <c r="I52" s="2260"/>
      <c r="J52" s="1883">
        <v>1</v>
      </c>
      <c r="K52" s="2928" t="s">
        <v>1854</v>
      </c>
      <c r="L52" s="2928"/>
      <c r="M52" s="778">
        <f ca="1">D48</f>
        <v>48589</v>
      </c>
      <c r="N52" s="1883" t="str">
        <f>E48</f>
        <v>销售额×税（费）率</v>
      </c>
      <c r="O52" s="779">
        <f>F48</f>
        <v>5.5000000000000007E-2</v>
      </c>
      <c r="P52" s="1845"/>
    </row>
    <row r="53" spans="1:16" ht="12" customHeight="1">
      <c r="A53" s="99" t="s">
        <v>1855</v>
      </c>
      <c r="B53" s="2897" t="s">
        <v>1856</v>
      </c>
      <c r="C53" s="2827"/>
      <c r="D53" s="98">
        <f ca="1">ROUND(D45*'数据-取费表'!E29/(1+'数据-取费表'!F30),0)</f>
        <v>48589</v>
      </c>
      <c r="E53" s="10" t="s">
        <v>1853</v>
      </c>
      <c r="F53" s="100">
        <f>'数据-取费表'!E29</f>
        <v>5.5000000000000007E-2</v>
      </c>
      <c r="G53" s="2262"/>
      <c r="H53" s="2195"/>
      <c r="I53" s="2260"/>
      <c r="J53" s="1883">
        <v>2</v>
      </c>
      <c r="K53" s="2928" t="s">
        <v>1857</v>
      </c>
      <c r="L53" s="2928"/>
      <c r="M53" s="778">
        <f t="shared" ref="M53:O54" ca="1" si="1">D55</f>
        <v>464</v>
      </c>
      <c r="N53" s="1883" t="str">
        <f t="shared" si="1"/>
        <v>销售额×税（费）率</v>
      </c>
      <c r="O53" s="779">
        <f t="shared" si="1"/>
        <v>5.0000000000000001E-4</v>
      </c>
      <c r="P53" s="1845"/>
    </row>
    <row r="54" spans="1:16" ht="12" customHeight="1">
      <c r="A54" s="99" t="s">
        <v>1858</v>
      </c>
      <c r="B54" s="2897" t="s">
        <v>1859</v>
      </c>
      <c r="C54" s="2827"/>
      <c r="D54" s="98">
        <f ca="1">C68</f>
        <v>48589</v>
      </c>
      <c r="E54" s="20" t="s">
        <v>1860</v>
      </c>
      <c r="F54" s="100">
        <f>'数据-取费表'!E29</f>
        <v>5.5000000000000007E-2</v>
      </c>
      <c r="G54" s="2262"/>
      <c r="H54" s="2263"/>
      <c r="I54" s="2260"/>
      <c r="J54" s="1883">
        <v>3</v>
      </c>
      <c r="K54" s="2928" t="s">
        <v>1861</v>
      </c>
      <c r="L54" s="2928"/>
      <c r="M54" s="778">
        <f t="shared" ca="1" si="1"/>
        <v>525871</v>
      </c>
      <c r="N54" s="1883" t="str">
        <f t="shared" si="1"/>
        <v>增值额×税（费）率</v>
      </c>
      <c r="O54" s="780" t="str">
        <f t="shared" si="1"/>
        <v>——</v>
      </c>
      <c r="P54" s="1845"/>
    </row>
    <row r="55" spans="1:16" ht="24" customHeight="1">
      <c r="A55" s="2819" t="s">
        <v>1862</v>
      </c>
      <c r="B55" s="2904"/>
      <c r="C55" s="2904"/>
      <c r="D55" s="101">
        <f ca="1">IF(H55="个人住宅",0,ROUND(D45*I55,0))</f>
        <v>464</v>
      </c>
      <c r="E55" s="10" t="s">
        <v>1863</v>
      </c>
      <c r="F55" s="100">
        <f>IF(H55="正常",I55,"免征")</f>
        <v>5.0000000000000001E-4</v>
      </c>
      <c r="G55" s="2262"/>
      <c r="H55" s="2259" t="s">
        <v>1864</v>
      </c>
      <c r="I55" s="102">
        <f>'数据-取费表'!E37</f>
        <v>5.0000000000000001E-4</v>
      </c>
      <c r="J55" s="1883">
        <f>IF(H59="非个人房产","",4)</f>
        <v>4</v>
      </c>
      <c r="K55" s="2928" t="str">
        <f>IF(H59="非个人房产","——","个人所得税")</f>
        <v>个人所得税</v>
      </c>
      <c r="L55" s="2928"/>
      <c r="M55" s="781">
        <f ca="1">D59</f>
        <v>9276</v>
      </c>
      <c r="N55" s="1886" t="str">
        <f>E59</f>
        <v>销售额×税（费）率</v>
      </c>
      <c r="O55" s="782">
        <f>F59</f>
        <v>0.01</v>
      </c>
      <c r="P55" s="1845"/>
    </row>
    <row r="56" spans="1:16" ht="24.75">
      <c r="A56" s="2819" t="s">
        <v>1865</v>
      </c>
      <c r="B56" s="2904"/>
      <c r="C56" s="2904"/>
      <c r="D56" s="101">
        <f ca="1">IF(H56="个人住宅",D57,D58)</f>
        <v>525871</v>
      </c>
      <c r="E56" s="10" t="s">
        <v>1866</v>
      </c>
      <c r="F56" s="100" t="str">
        <f>IF(H56="正常",F58,"免征")</f>
        <v>——</v>
      </c>
      <c r="G56" s="2264" t="s">
        <v>1867</v>
      </c>
      <c r="H56" s="2265" t="s">
        <v>1864</v>
      </c>
      <c r="I56" s="1022"/>
      <c r="J56" s="1883" t="str">
        <f>IF(项目基本情况!I6="上海银行",IF(J55="",4,J55+1),"")</f>
        <v/>
      </c>
      <c r="K56" s="2946" t="str">
        <f>IF(项目基本情况!I6="上海银行","其他处置费用","")</f>
        <v/>
      </c>
      <c r="L56" s="2947"/>
      <c r="M56" s="778" t="str">
        <f>IF(项目基本情况!I6="上海银行",M69,"")</f>
        <v/>
      </c>
      <c r="N56" s="2959" t="str">
        <f>IF(项目基本情况!I6="上海银行","包含处置中涉及的律师、诉讼、拍卖、评估等费用","")</f>
        <v/>
      </c>
      <c r="O56" s="2960"/>
      <c r="P56" s="1845"/>
    </row>
    <row r="57" spans="1:16" ht="12.75">
      <c r="A57" s="99" t="s">
        <v>1840</v>
      </c>
      <c r="B57" s="2894" t="s">
        <v>1868</v>
      </c>
      <c r="C57" s="2905"/>
      <c r="D57" s="103">
        <v>0</v>
      </c>
      <c r="E57" s="13" t="s">
        <v>1842</v>
      </c>
      <c r="F57" s="70"/>
      <c r="G57" s="2262"/>
      <c r="H57" s="1022"/>
      <c r="I57" s="1022"/>
      <c r="J57" s="2928">
        <f>IF(AND(J55="",J56=""),4,IF(项目基本情况!I6="上海银行",J56+1,J55+1))</f>
        <v>5</v>
      </c>
      <c r="K57" s="2928" t="s">
        <v>1869</v>
      </c>
      <c r="L57" s="2266" t="s">
        <v>1870</v>
      </c>
      <c r="M57" s="783"/>
      <c r="N57" s="784">
        <f ca="1">SUMIF(M52:M56,"&lt;9e307")</f>
        <v>584200</v>
      </c>
      <c r="O57" s="2267"/>
      <c r="P57" s="1841" t="e">
        <f ca="1">N57/M49</f>
        <v>#VALUE!</v>
      </c>
    </row>
    <row r="58" spans="1:16" ht="24.75">
      <c r="A58" s="99" t="s">
        <v>1851</v>
      </c>
      <c r="B58" s="2894" t="s">
        <v>1871</v>
      </c>
      <c r="C58" s="2895"/>
      <c r="D58" s="101">
        <f ca="1">IF(H58="转让取得",C81,C97)</f>
        <v>525871</v>
      </c>
      <c r="E58" s="10" t="s">
        <v>1866</v>
      </c>
      <c r="F58" s="14" t="s">
        <v>48</v>
      </c>
      <c r="G58" s="2262"/>
      <c r="H58" s="2265" t="s">
        <v>1872</v>
      </c>
      <c r="I58" s="1022"/>
      <c r="J58" s="2928"/>
      <c r="K58" s="2928"/>
      <c r="L58" s="2266" t="s">
        <v>1873</v>
      </c>
      <c r="M58" s="785"/>
      <c r="N58" s="2268" t="str">
        <f ca="1">IF(H19="元",NUMBERSTRING(INT(N57),2)&amp;"元整",NUMBERSTRING(INT(N57*10000),2)&amp;"元整")</f>
        <v>伍拾捌万肆仟贰佰元整</v>
      </c>
      <c r="O58" s="2269"/>
      <c r="P58" s="1845"/>
    </row>
    <row r="59" spans="1:16" ht="26.25" thickBot="1">
      <c r="A59" s="2820" t="s">
        <v>1874</v>
      </c>
      <c r="B59" s="2823"/>
      <c r="C59" s="2823"/>
      <c r="D59" s="104">
        <f ca="1">IF(H59="非个人房产","——",IF(H59="个人住宅",0,ROUND(D45*I59,0)))</f>
        <v>9276</v>
      </c>
      <c r="E59" s="105" t="str">
        <f>IF(H59="非个人房产","——","销售额×税（费）率")</f>
        <v>销售额×税（费）率</v>
      </c>
      <c r="F59" s="106">
        <f>IF(H59="非个人房产","——",IF(H59="个人住宅","免征",I59))</f>
        <v>0.01</v>
      </c>
      <c r="G59" s="2270" t="s">
        <v>1867</v>
      </c>
      <c r="H59" s="2265" t="s">
        <v>1875</v>
      </c>
      <c r="I59" s="107">
        <v>0.01</v>
      </c>
      <c r="J59" s="2926">
        <f>J57+1</f>
        <v>6</v>
      </c>
      <c r="K59" s="292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27"/>
      <c r="K60" s="2928"/>
      <c r="L60" s="2266" t="s">
        <v>1873</v>
      </c>
      <c r="M60" s="785"/>
      <c r="N60" s="2268" t="e">
        <f ca="1">IF(H19="元",NUMBERSTRING(INT(N59),2)&amp;"元整",NUMBERSTRING(INT(N59*10000),2)&amp;"元整")</f>
        <v>#VALUE!</v>
      </c>
      <c r="O60" s="2269"/>
      <c r="P60" s="1845"/>
    </row>
    <row r="61" spans="1:16" ht="13.5" thickBot="1">
      <c r="A61" s="2909" t="s">
        <v>1877</v>
      </c>
      <c r="B61" s="2909"/>
      <c r="C61" s="2909"/>
      <c r="D61" s="2909"/>
      <c r="E61" s="2909"/>
      <c r="F61" s="1022"/>
      <c r="G61" s="1022"/>
      <c r="H61" s="2248"/>
      <c r="I61" s="2195"/>
      <c r="J61" s="1883">
        <f>J59+1</f>
        <v>7</v>
      </c>
      <c r="K61" s="2928" t="s">
        <v>1878</v>
      </c>
      <c r="L61" s="2928"/>
      <c r="M61" s="788"/>
      <c r="N61" s="789" t="e">
        <f ca="1">IF(H19="元",ROUND(N59/项目基本情况!C12,0),ROUND(N59*10000/项目基本情况!C12,0))</f>
        <v>#VALUE!</v>
      </c>
      <c r="O61" s="2272"/>
      <c r="P61" s="1845"/>
    </row>
    <row r="62" spans="1:16" ht="12.75">
      <c r="A62" s="2916" t="s">
        <v>1879</v>
      </c>
      <c r="B62" s="291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883445</v>
      </c>
      <c r="D63" s="112"/>
      <c r="E63" s="113"/>
      <c r="F63" s="1022"/>
      <c r="G63" s="1022"/>
      <c r="H63" s="2248"/>
      <c r="I63" s="2195"/>
      <c r="J63" s="294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927617</v>
      </c>
      <c r="D64" s="117" t="s">
        <v>41</v>
      </c>
      <c r="E64" s="118"/>
      <c r="F64" s="1022"/>
      <c r="G64" s="1022"/>
      <c r="H64" s="2248"/>
      <c r="I64" s="2195"/>
      <c r="J64" s="294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4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48"/>
      <c r="K66" s="2273" t="s">
        <v>1892</v>
      </c>
      <c r="L66" s="1844" t="e">
        <f>M49*0.5%</f>
        <v>#VALUE!</v>
      </c>
      <c r="M66" s="14" t="e">
        <f>IF(L66&gt;0.5,0.5,ROUND(L66,0))</f>
        <v>#VALUE!</v>
      </c>
      <c r="N66" s="1845" t="s">
        <v>1893</v>
      </c>
      <c r="O66" s="1845"/>
      <c r="P66" s="1845"/>
    </row>
    <row r="67" spans="1:35" ht="12.75">
      <c r="A67" s="120" t="s">
        <v>42</v>
      </c>
      <c r="B67" s="121" t="s">
        <v>1894</v>
      </c>
      <c r="C67" s="124">
        <f ca="1">C63-C66</f>
        <v>883445</v>
      </c>
      <c r="D67" s="117" t="s">
        <v>41</v>
      </c>
      <c r="E67" s="118"/>
      <c r="F67" s="1022"/>
      <c r="G67" s="1022"/>
      <c r="H67" s="2248"/>
      <c r="I67" s="2195"/>
      <c r="J67" s="294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48589</v>
      </c>
      <c r="D68" s="128">
        <f>'数据-取费表'!E29</f>
        <v>5.5000000000000007E-2</v>
      </c>
      <c r="E68" s="129"/>
      <c r="F68" s="1022"/>
      <c r="G68" s="1022"/>
      <c r="H68" s="2248"/>
      <c r="I68" s="2195"/>
      <c r="J68" s="294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4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20" t="s">
        <v>1899</v>
      </c>
      <c r="B70" s="2921"/>
      <c r="C70" s="2921"/>
      <c r="D70" s="2921"/>
      <c r="E70" s="2921"/>
      <c r="F70" s="2921"/>
      <c r="G70" s="2921"/>
      <c r="H70" s="2921"/>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16" t="s">
        <v>1879</v>
      </c>
      <c r="B71" s="291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883445</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4417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897" t="s">
        <v>1909</v>
      </c>
      <c r="F76" s="2896"/>
      <c r="G76" s="2896"/>
      <c r="H76" s="2911"/>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4417</v>
      </c>
      <c r="D78" s="145">
        <f>'数据-取费表'!E31</f>
        <v>5.000000000000001E-3</v>
      </c>
      <c r="E78" s="2888" t="s">
        <v>1914</v>
      </c>
      <c r="F78" s="2889"/>
      <c r="G78" s="2889"/>
      <c r="H78" s="2890"/>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879028</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199.01018791034639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525871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20" t="s">
        <v>1918</v>
      </c>
      <c r="B83" s="2921"/>
      <c r="C83" s="2921"/>
      <c r="D83" s="2921"/>
      <c r="E83" s="2921"/>
      <c r="F83" s="2921"/>
      <c r="G83" s="2921"/>
      <c r="H83" s="2921"/>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16" t="s">
        <v>1879</v>
      </c>
      <c r="B84" s="291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883445</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4417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88" t="s">
        <v>1926</v>
      </c>
      <c r="F91" s="2889"/>
      <c r="G91" s="2889"/>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88" t="s">
        <v>1929</v>
      </c>
      <c r="F92" s="2889"/>
      <c r="G92" s="2889"/>
      <c r="H92" s="2890"/>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4417</v>
      </c>
      <c r="D93" s="145">
        <f>'数据-取费表'!E31</f>
        <v>5.000000000000001E-3</v>
      </c>
      <c r="E93" s="2888" t="s">
        <v>1914</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88" t="s">
        <v>1931</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879028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199.01018791034639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525871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43" t="s">
        <v>1933</v>
      </c>
      <c r="B99" s="2944"/>
      <c r="C99" s="2944"/>
      <c r="D99" s="2945"/>
      <c r="E99" s="2195"/>
      <c r="F99" s="2954" t="s">
        <v>1934</v>
      </c>
      <c r="G99" s="2955"/>
      <c r="H99" s="2955"/>
      <c r="I99" s="2956"/>
    </row>
    <row r="100" spans="1:35" ht="15.75">
      <c r="A100" s="2957" t="s">
        <v>1935</v>
      </c>
      <c r="B100" s="2958"/>
      <c r="C100" s="720" t="str">
        <f>C4</f>
        <v>比较法-住宅</v>
      </c>
      <c r="D100" s="721" t="str">
        <f>D4</f>
        <v>收益法</v>
      </c>
      <c r="E100" s="2195"/>
      <c r="F100" s="2853" t="s">
        <v>1936</v>
      </c>
      <c r="G100" s="2854"/>
      <c r="H100" s="2853" t="s">
        <v>1937</v>
      </c>
      <c r="I100" s="2852"/>
    </row>
    <row r="101" spans="1:35" ht="15.75">
      <c r="A101" s="2935" t="s">
        <v>1938</v>
      </c>
      <c r="B101" s="2290" t="str">
        <f>IF(H19="元","总价（元）","总价（万元）")</f>
        <v>总价（元）</v>
      </c>
      <c r="C101" s="720">
        <f ca="1">C19</f>
        <v>1062903</v>
      </c>
      <c r="D101" s="721">
        <f ca="1">D19</f>
        <v>386383</v>
      </c>
      <c r="E101" s="2195"/>
      <c r="F101" s="2853" t="str">
        <f>项目基本情况!I1</f>
        <v>北京市房地产</v>
      </c>
      <c r="G101" s="2854"/>
      <c r="H101" s="2851">
        <f>项目基本情况!C12</f>
        <v>59.65</v>
      </c>
      <c r="I101" s="2852"/>
    </row>
    <row r="102" spans="1:35" ht="15.75">
      <c r="A102" s="2935"/>
      <c r="B102" s="2290" t="s">
        <v>1939</v>
      </c>
      <c r="C102" s="722">
        <f ca="1">C20</f>
        <v>17819</v>
      </c>
      <c r="D102" s="723">
        <f ca="1">D20</f>
        <v>6478</v>
      </c>
      <c r="E102" s="2195"/>
      <c r="F102" s="2880" t="s">
        <v>1940</v>
      </c>
      <c r="G102" s="2881"/>
      <c r="H102" s="2291" t="str">
        <f>C106</f>
        <v>总价（元）</v>
      </c>
      <c r="I102" s="1862">
        <f ca="1">H121</f>
        <v>927617</v>
      </c>
    </row>
    <row r="103" spans="1:35" ht="15">
      <c r="A103" s="2935" t="s">
        <v>1941</v>
      </c>
      <c r="B103" s="2292" t="str">
        <f>B101</f>
        <v>总价（元）</v>
      </c>
      <c r="C103" s="724">
        <f ca="1">H121</f>
        <v>927617</v>
      </c>
      <c r="D103" s="725"/>
      <c r="E103" s="2195"/>
      <c r="F103" s="2880"/>
      <c r="G103" s="2881"/>
      <c r="H103" s="2291" t="s">
        <v>1939</v>
      </c>
      <c r="I103" s="1050">
        <f ca="1">I121</f>
        <v>15551</v>
      </c>
    </row>
    <row r="104" spans="1:35" ht="16.5" thickBot="1">
      <c r="A104" s="2936"/>
      <c r="B104" s="2293" t="s">
        <v>1939</v>
      </c>
      <c r="C104" s="726">
        <f ca="1">I121</f>
        <v>15551</v>
      </c>
      <c r="D104" s="727"/>
      <c r="E104" s="2195"/>
      <c r="F104" s="2952"/>
      <c r="G104" s="2953"/>
      <c r="H104" s="2937"/>
      <c r="I104" s="2938"/>
    </row>
    <row r="105" spans="1:35" ht="15.75">
      <c r="A105" s="2943" t="s">
        <v>1942</v>
      </c>
      <c r="B105" s="2944"/>
      <c r="C105" s="2944"/>
      <c r="D105" s="2945"/>
      <c r="E105" s="2195"/>
      <c r="F105" s="2941" t="s">
        <v>1943</v>
      </c>
      <c r="G105" s="2942"/>
      <c r="H105" s="2294" t="str">
        <f>C108</f>
        <v>总额（元）</v>
      </c>
      <c r="I105" s="1862">
        <f>SUMIF(I106:I108,"&lt;9E307")</f>
        <v>0</v>
      </c>
    </row>
    <row r="106" spans="1:35" ht="15">
      <c r="A106" s="2867" t="s">
        <v>1944</v>
      </c>
      <c r="B106" s="2868"/>
      <c r="C106" s="2291" t="str">
        <f>B101</f>
        <v>总价（元）</v>
      </c>
      <c r="D106" s="1051">
        <f ca="1">H121</f>
        <v>927617</v>
      </c>
      <c r="E106" s="2195"/>
      <c r="F106" s="2869" t="s">
        <v>1945</v>
      </c>
      <c r="G106" s="2870"/>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867"/>
      <c r="B107" s="2868"/>
      <c r="C107" s="2291" t="s">
        <v>1939</v>
      </c>
      <c r="D107" s="1052">
        <f ca="1">I121</f>
        <v>15551</v>
      </c>
      <c r="E107" s="2195"/>
      <c r="F107" s="2869" t="s">
        <v>1946</v>
      </c>
      <c r="G107" s="2870"/>
      <c r="H107" s="2294" t="str">
        <f>C110</f>
        <v>总额（元）</v>
      </c>
      <c r="I107" s="1050">
        <f>C37</f>
        <v>0</v>
      </c>
      <c r="K107" s="2295"/>
    </row>
    <row r="108" spans="1:35" ht="15">
      <c r="A108" s="2874" t="s">
        <v>1947</v>
      </c>
      <c r="B108" s="2875"/>
      <c r="C108" s="2294" t="str">
        <f>IF(H19="元","总额（元）","总额（万元）")</f>
        <v>总额（元）</v>
      </c>
      <c r="D108" s="1051">
        <f>IF(D36="正常操作",I106+I107+I108,I107+I108)</f>
        <v>0</v>
      </c>
      <c r="E108" s="2195"/>
      <c r="F108" s="2869" t="s">
        <v>1948</v>
      </c>
      <c r="G108" s="2870"/>
      <c r="H108" s="2294" t="str">
        <f>C111</f>
        <v>总额（元）</v>
      </c>
      <c r="I108" s="1050">
        <f>C38</f>
        <v>0</v>
      </c>
    </row>
    <row r="109" spans="1:35" ht="15.75">
      <c r="A109" s="2869" t="s">
        <v>1945</v>
      </c>
      <c r="B109" s="2870"/>
      <c r="C109" s="2294" t="str">
        <f>C108</f>
        <v>总额（元）</v>
      </c>
      <c r="D109" s="637">
        <f>IF(D36="同一抵押权人同一抵押物续贷",C36&amp;"（未扣减，详见特别提示）",C36)</f>
        <v>0</v>
      </c>
      <c r="E109" s="2195"/>
      <c r="F109" s="2952"/>
      <c r="G109" s="2953"/>
      <c r="H109" s="2939"/>
      <c r="I109" s="2940"/>
    </row>
    <row r="110" spans="1:35" ht="28.5" customHeight="1">
      <c r="A110" s="2869" t="s">
        <v>1946</v>
      </c>
      <c r="B110" s="2870"/>
      <c r="C110" s="2294" t="str">
        <f>C108</f>
        <v>总额（元）</v>
      </c>
      <c r="D110" s="637">
        <f>C37</f>
        <v>0</v>
      </c>
      <c r="E110" s="2195"/>
      <c r="F110" s="2855" t="str">
        <f>IF(项目基本情况!F5="已注销","——","3.房地产抵押价值")</f>
        <v>3.房地产抵押价值</v>
      </c>
      <c r="G110" s="2856"/>
      <c r="H110" s="2296" t="str">
        <f>C112</f>
        <v>总价（元）</v>
      </c>
      <c r="I110" s="1863">
        <f ca="1">IF(F110="——","——",I102-I105)</f>
        <v>927617</v>
      </c>
    </row>
    <row r="111" spans="1:35" ht="15">
      <c r="A111" s="2869" t="s">
        <v>1948</v>
      </c>
      <c r="B111" s="2870"/>
      <c r="C111" s="2294" t="str">
        <f>C108</f>
        <v>总额（元）</v>
      </c>
      <c r="D111" s="637">
        <f>C38</f>
        <v>0</v>
      </c>
      <c r="E111" s="2195"/>
      <c r="F111" s="2971"/>
      <c r="G111" s="2972"/>
      <c r="H111" s="2291" t="s">
        <v>1939</v>
      </c>
      <c r="I111" s="2297">
        <f ca="1">D113</f>
        <v>15551</v>
      </c>
    </row>
    <row r="112" spans="1:35" ht="26.25" customHeight="1">
      <c r="A112" s="2867" t="str">
        <f>IF(项目基本情况!F5="已注销","——","3.房地产抵押价值")</f>
        <v>3.房地产抵押价值</v>
      </c>
      <c r="B112" s="2868"/>
      <c r="C112" s="2291" t="str">
        <f>B101</f>
        <v>总价（元）</v>
      </c>
      <c r="D112" s="1051">
        <f ca="1">IF(A112="——","——",D106-D108)</f>
        <v>927617</v>
      </c>
      <c r="E112" s="2195"/>
      <c r="F112" s="2855" t="str">
        <f>IF(项目基本情况!F5="已注销及未注销","4.抵押担保权已注销时的房地产抵押价值",IF(项目基本情况!F5="已注销","3.抵押担保权已注销时的房地产抵押价值","——"))</f>
        <v>——</v>
      </c>
      <c r="G112" s="2856"/>
      <c r="H112" s="2296" t="str">
        <f>C114</f>
        <v>总价（元）</v>
      </c>
      <c r="I112" s="1863" t="str">
        <f>IF(F112="——","——",I102-I107-I108)</f>
        <v>——</v>
      </c>
    </row>
    <row r="113" spans="1:15" ht="15">
      <c r="A113" s="2867"/>
      <c r="B113" s="2868"/>
      <c r="C113" s="2291" t="s">
        <v>1939</v>
      </c>
      <c r="D113" s="1052">
        <f ca="1">ROUND(IF(D112=D106,D107,IF(H19="元",D112/项目基本情况!C12,D112*10000/项目基本情况!C12)),0)</f>
        <v>15551</v>
      </c>
      <c r="E113" s="2195"/>
      <c r="F113" s="2971"/>
      <c r="G113" s="2972"/>
      <c r="H113" s="2291" t="s">
        <v>1939</v>
      </c>
      <c r="I113" s="2298" t="str">
        <f>D115</f>
        <v>——</v>
      </c>
    </row>
    <row r="114" spans="1:15" ht="15.75">
      <c r="A114" s="2867" t="str">
        <f>IF(项目基本情况!F5="已注销及未注销","4.抵押担保权已注销时的房地产抵押价值",IF(项目基本情况!F5="已注销","3.抵押担保权已注销时的房地产抵押价值","——"))</f>
        <v>——</v>
      </c>
      <c r="B114" s="2868"/>
      <c r="C114" s="2291" t="str">
        <f>B101</f>
        <v>总价（元）</v>
      </c>
      <c r="D114" s="1051" t="str">
        <f>IF(A114="——","——",D106-D110-D111)</f>
        <v>——</v>
      </c>
      <c r="E114" s="2195"/>
      <c r="F114" s="2855" t="str">
        <f>IF(项目基本情况!G5="抵押净值",IF(OR(项目基本情况!F5="已注销",项目基本情况!F5="房地产抵押价值"),"4.抵押净值","5.抵押净值"),"——")</f>
        <v>——</v>
      </c>
      <c r="G114" s="2856"/>
      <c r="H114" s="2291" t="str">
        <f>C116</f>
        <v>总价（元）</v>
      </c>
      <c r="I114" s="1862" t="str">
        <f>IF(F114="——","——",N59)</f>
        <v>——</v>
      </c>
    </row>
    <row r="115" spans="1:15" ht="15.75" thickBot="1">
      <c r="A115" s="2867"/>
      <c r="B115" s="2868"/>
      <c r="C115" s="2291" t="s">
        <v>1939</v>
      </c>
      <c r="D115" s="1052" t="str">
        <f>IF(A114="——","——",ROUND(IF(D114=D106,D107,IF(H19="元",D114/项目基本情况!C12,D114*10000/项目基本情况!C12)),0))</f>
        <v>——</v>
      </c>
      <c r="E115" s="2195"/>
      <c r="F115" s="2857"/>
      <c r="G115" s="2858"/>
      <c r="H115" s="2299" t="s">
        <v>1939</v>
      </c>
      <c r="I115" s="1864" t="str">
        <f ca="1">D117</f>
        <v>——</v>
      </c>
    </row>
    <row r="116" spans="1:15" ht="15.75">
      <c r="A116" s="2867" t="str">
        <f>IF(项目基本情况!G5="抵押净值",IF(OR(项目基本情况!F5="已注销",项目基本情况!F5="房地产抵押价值"),"4.抵押净值","5.抵押净值"),"——")</f>
        <v>——</v>
      </c>
      <c r="B116" s="2868"/>
      <c r="C116" s="2291" t="str">
        <f>B101</f>
        <v>总价（元）</v>
      </c>
      <c r="D116" s="1051" t="str">
        <f>IF(A116="——","——",N59)</f>
        <v>——</v>
      </c>
      <c r="E116" s="2195"/>
      <c r="F116" s="2967"/>
      <c r="G116" s="2967"/>
      <c r="H116" s="2923"/>
      <c r="I116" s="2923"/>
      <c r="N116" s="55"/>
      <c r="O116" s="55"/>
    </row>
    <row r="117" spans="1:15" ht="15.75" thickBot="1">
      <c r="A117" s="2872"/>
      <c r="B117" s="2873"/>
      <c r="C117" s="2299" t="s">
        <v>1939</v>
      </c>
      <c r="D117" s="1053" t="str">
        <f ca="1">IF(D116=D112,D113,IF(A116="——","——",N61))</f>
        <v>——</v>
      </c>
      <c r="E117" s="2195"/>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1949</v>
      </c>
      <c r="B118" s="2925"/>
      <c r="C118" s="2925"/>
      <c r="D118" s="2925"/>
      <c r="E118" s="2925"/>
      <c r="F118" s="2925"/>
      <c r="G118" s="2925"/>
      <c r="H118" s="2925"/>
      <c r="I118" s="2925"/>
    </row>
    <row r="119" spans="1:15" ht="14.25">
      <c r="A119" s="2848" t="s">
        <v>1950</v>
      </c>
      <c r="B119" s="2878" t="s">
        <v>1951</v>
      </c>
      <c r="C119" s="2878" t="s">
        <v>1952</v>
      </c>
      <c r="D119" s="2950" t="s">
        <v>1953</v>
      </c>
      <c r="E119" s="2951"/>
      <c r="F119" s="2849" t="s">
        <v>1811</v>
      </c>
      <c r="G119" s="2849"/>
      <c r="H119" s="2849" t="s">
        <v>1954</v>
      </c>
      <c r="I119" s="2949"/>
    </row>
    <row r="120" spans="1:15" ht="14.25">
      <c r="A120" s="2848"/>
      <c r="B120" s="2879"/>
      <c r="C120" s="2879"/>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59.65</v>
      </c>
      <c r="C121" s="1887">
        <f>项目基本情况!C13</f>
        <v>0</v>
      </c>
      <c r="D121" s="1887">
        <f ca="1">ROUND(IF(B32="总价",C34,IF('数据-取费表'!B3="万元",E121*B121/10000,E121*B121)),0)</f>
        <v>495334</v>
      </c>
      <c r="E121" s="1887">
        <f ca="1">ROUND(IF(B32="楼面单价",C34,IF(H19="元",D121/B121,D121*10000/B121)),0)</f>
        <v>8304</v>
      </c>
      <c r="F121" s="1887">
        <f ca="1">ROUND(IF(B32="总价",C35,IF('数据-取费表'!B3="万元",G121*B121/10000,G121*B121)),0)</f>
        <v>432284</v>
      </c>
      <c r="G121" s="1887">
        <f ca="1">ROUND(IF(B32="楼面单价",C35,IF(H19="元",F121/B121,F121*10000/B121)),0)</f>
        <v>7247</v>
      </c>
      <c r="H121" s="1887">
        <f ca="1">ROUND(IF(B32="总价",C32,IF('数据-取费表'!B3="万元",I121*B121/10000,I121*B121)),0)</f>
        <v>927617</v>
      </c>
      <c r="I121" s="637">
        <f ca="1">ROUND(IF(B32="楼面单价",C32,IF(H19="元",H121/B121,H121*10000/B121)),0)</f>
        <v>15551</v>
      </c>
    </row>
    <row r="122" spans="1:15" ht="14.25">
      <c r="A122" s="2848" t="s">
        <v>1958</v>
      </c>
      <c r="B122" s="2849"/>
      <c r="C122" s="2849"/>
      <c r="D122" s="2882" t="str">
        <f ca="1">IF(H19="元",NUMBERSTRING(INT(D121),2)&amp;"元整",NUMBERSTRING(INT(D121*10000),2)&amp;"元整")</f>
        <v>肆拾玖万伍仟叁佰叁拾肆元整</v>
      </c>
      <c r="E122" s="2929"/>
      <c r="F122" s="2882" t="str">
        <f ca="1">IF(H19="元",NUMBERSTRING(INT(F121),2)&amp;"元整",NUMBERSTRING(INT(F121*10000),2)&amp;"元整")</f>
        <v>肆拾叁万贰仟贰佰捌拾肆元整</v>
      </c>
      <c r="G122" s="2929"/>
      <c r="H122" s="2882" t="str">
        <f ca="1">IF(H19="元",NUMBERSTRING(INT(H121),2)&amp;"元整",NUMBERSTRING(INT(H121*10000),2)&amp;"元整")</f>
        <v>玖拾贰万柒仟陆佰壹拾柒元整</v>
      </c>
      <c r="I122" s="2883"/>
    </row>
    <row r="123" spans="1:15" ht="15">
      <c r="A123" s="2930" t="str">
        <f>IF(项目基本情况!D5="房地产市场价值","——",MID(A108,3,LEN(A108)-2))</f>
        <v>估价师所知悉的法定优先受偿款</v>
      </c>
      <c r="B123" s="2860"/>
      <c r="C123" s="2931"/>
      <c r="D123" s="2859">
        <f>I105</f>
        <v>0</v>
      </c>
      <c r="E123" s="2860"/>
      <c r="F123" s="2860"/>
      <c r="G123" s="2860"/>
      <c r="H123" s="2860"/>
      <c r="I123" s="2861"/>
    </row>
    <row r="124" spans="1:15" ht="14.25">
      <c r="A124" s="2932" t="s">
        <v>1958</v>
      </c>
      <c r="B124" s="2933"/>
      <c r="C124" s="2934"/>
      <c r="D124" s="2862">
        <f>H109</f>
        <v>0</v>
      </c>
      <c r="E124" s="2863"/>
      <c r="F124" s="2863"/>
      <c r="G124" s="2863"/>
      <c r="H124" s="2863"/>
      <c r="I124" s="2864"/>
    </row>
    <row r="125" spans="1:15" ht="15">
      <c r="A125" s="2865" t="str">
        <f>IF(项目基本情况!D5="房地产市场价值","——",MID(A112,3,LEN(A112)-2))</f>
        <v>房地产抵押价值</v>
      </c>
      <c r="B125" s="2866"/>
      <c r="C125" s="2866"/>
      <c r="D125" s="2859">
        <f ca="1">I110</f>
        <v>927617</v>
      </c>
      <c r="E125" s="2860"/>
      <c r="F125" s="2860"/>
      <c r="G125" s="2860"/>
      <c r="H125" s="2860"/>
      <c r="I125" s="2861"/>
    </row>
    <row r="126" spans="1:15" ht="14.25">
      <c r="A126" s="2848" t="s">
        <v>1958</v>
      </c>
      <c r="B126" s="2849"/>
      <c r="C126" s="2849"/>
      <c r="D126" s="2862">
        <f ca="1">I111</f>
        <v>15551</v>
      </c>
      <c r="E126" s="2863"/>
      <c r="F126" s="2863"/>
      <c r="G126" s="2863"/>
      <c r="H126" s="2863"/>
      <c r="I126" s="2864"/>
    </row>
    <row r="127" spans="1:15" ht="15.75" thickBot="1">
      <c r="A127" s="2865" t="str">
        <f>IF(项目基本情况!D5="房地产市场价值","——",MID(A114,3,LEN(A114)-2))</f>
        <v/>
      </c>
      <c r="B127" s="2866"/>
      <c r="C127" s="2866"/>
      <c r="D127" s="2964" t="str">
        <f>I112</f>
        <v>——</v>
      </c>
      <c r="E127" s="2965"/>
      <c r="F127" s="2965"/>
      <c r="G127" s="2965"/>
      <c r="H127" s="2965"/>
      <c r="I127" s="2966"/>
    </row>
    <row r="128" spans="1:15" ht="15.75" thickTop="1" thickBot="1">
      <c r="A128" s="2848" t="s">
        <v>1958</v>
      </c>
      <c r="B128" s="2849"/>
      <c r="C128" s="2850"/>
      <c r="D128" s="2922" t="str">
        <f>I113</f>
        <v>——</v>
      </c>
      <c r="E128" s="2922"/>
      <c r="F128" s="2922"/>
      <c r="G128" s="2922"/>
      <c r="H128" s="2922"/>
      <c r="I128" s="2922"/>
    </row>
    <row r="129" spans="1:9" ht="16.5" thickTop="1" thickBot="1">
      <c r="A129" s="2865" t="str">
        <f>IF(项目基本情况!D5="房地产市场价值","——",MID(F114,3,LEN(F114)-2))</f>
        <v/>
      </c>
      <c r="B129" s="2866"/>
      <c r="C129" s="2859"/>
      <c r="D129" s="2871" t="str">
        <f>I114</f>
        <v>——</v>
      </c>
      <c r="E129" s="2871"/>
      <c r="F129" s="2871"/>
      <c r="G129" s="2871"/>
      <c r="H129" s="2871"/>
      <c r="I129" s="2871"/>
    </row>
    <row r="130" spans="1:9" ht="15.75" thickTop="1" thickBot="1">
      <c r="A130" s="2876" t="s">
        <v>1958</v>
      </c>
      <c r="B130" s="2877"/>
      <c r="C130" s="2877"/>
      <c r="D130" s="2884">
        <f>H116</f>
        <v>0</v>
      </c>
      <c r="E130" s="2885"/>
      <c r="F130" s="2885"/>
      <c r="G130" s="2885"/>
      <c r="H130" s="2885"/>
      <c r="I130" s="288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83" t="s">
        <v>1967</v>
      </c>
      <c r="B2" s="2983"/>
      <c r="C2" s="2983"/>
      <c r="D2" s="2983"/>
      <c r="E2" s="2983"/>
      <c r="F2" s="2983"/>
      <c r="G2" s="2983"/>
      <c r="H2" s="2983"/>
      <c r="I2" s="2983"/>
    </row>
    <row r="3" spans="1:12" ht="12.75">
      <c r="A3" s="2913" t="s">
        <v>1771</v>
      </c>
      <c r="B3" s="2914"/>
      <c r="C3" s="2914"/>
      <c r="D3" s="2914"/>
      <c r="E3" s="2914"/>
      <c r="F3" s="2914"/>
      <c r="G3" s="2914"/>
      <c r="H3" s="2914"/>
      <c r="I3" s="2914"/>
    </row>
    <row r="4" spans="1:12" ht="14.25">
      <c r="A4" s="2197" t="s">
        <v>1772</v>
      </c>
      <c r="B4" s="2198" t="s">
        <v>1773</v>
      </c>
      <c r="C4" s="2199"/>
      <c r="D4" s="2199"/>
      <c r="E4" s="2894" t="s">
        <v>1968</v>
      </c>
      <c r="F4" s="2895"/>
      <c r="G4" s="2895"/>
      <c r="H4" s="2895"/>
      <c r="I4" s="290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1775</v>
      </c>
      <c r="B5" s="2849">
        <v>25</v>
      </c>
      <c r="C5" s="2898"/>
      <c r="D5" s="2912"/>
      <c r="E5" s="56" t="s">
        <v>1776</v>
      </c>
      <c r="F5" s="2200"/>
      <c r="G5" s="2200"/>
      <c r="H5" s="2200"/>
      <c r="I5" s="2201"/>
    </row>
    <row r="6" spans="1:12" ht="12.75">
      <c r="A6" s="2887"/>
      <c r="B6" s="2849"/>
      <c r="C6" s="2915"/>
      <c r="D6" s="2912"/>
      <c r="E6" s="56" t="s">
        <v>1777</v>
      </c>
      <c r="F6" s="2200"/>
      <c r="G6" s="2200"/>
      <c r="H6" s="2200"/>
      <c r="I6" s="2201"/>
    </row>
    <row r="7" spans="1:12" ht="12.75">
      <c r="A7" s="2887"/>
      <c r="B7" s="2849"/>
      <c r="C7" s="2899"/>
      <c r="D7" s="2912"/>
      <c r="E7" s="56" t="s">
        <v>1778</v>
      </c>
      <c r="F7" s="2200"/>
      <c r="G7" s="2200"/>
      <c r="H7" s="2200"/>
      <c r="I7" s="2201"/>
    </row>
    <row r="8" spans="1:12" ht="12.75">
      <c r="A8" s="2887" t="s">
        <v>1779</v>
      </c>
      <c r="B8" s="2849">
        <v>15</v>
      </c>
      <c r="C8" s="2898"/>
      <c r="D8" s="2912"/>
      <c r="E8" s="56" t="s">
        <v>1780</v>
      </c>
      <c r="F8" s="2200"/>
      <c r="G8" s="2200"/>
      <c r="H8" s="2200"/>
      <c r="I8" s="2201"/>
    </row>
    <row r="9" spans="1:12" ht="12.75">
      <c r="A9" s="2887"/>
      <c r="B9" s="2849"/>
      <c r="C9" s="2899"/>
      <c r="D9" s="2912"/>
      <c r="E9" s="56" t="s">
        <v>1781</v>
      </c>
      <c r="F9" s="2200"/>
      <c r="G9" s="2200"/>
      <c r="H9" s="2200"/>
      <c r="I9" s="2201"/>
    </row>
    <row r="10" spans="1:12" ht="12.75">
      <c r="A10" s="2887" t="s">
        <v>1782</v>
      </c>
      <c r="B10" s="2849">
        <v>15</v>
      </c>
      <c r="C10" s="2898"/>
      <c r="D10" s="2912"/>
      <c r="E10" s="56" t="s">
        <v>1783</v>
      </c>
      <c r="F10" s="2200"/>
      <c r="G10" s="2200"/>
      <c r="H10" s="2200"/>
      <c r="I10" s="2201"/>
    </row>
    <row r="11" spans="1:12" ht="12.75">
      <c r="A11" s="2887"/>
      <c r="B11" s="2849"/>
      <c r="C11" s="2899"/>
      <c r="D11" s="2912"/>
      <c r="E11" s="56" t="s">
        <v>1784</v>
      </c>
      <c r="F11" s="2200"/>
      <c r="G11" s="2200"/>
      <c r="H11" s="2200"/>
      <c r="I11" s="2201"/>
    </row>
    <row r="12" spans="1:12" ht="12.75">
      <c r="A12" s="2887" t="s">
        <v>1785</v>
      </c>
      <c r="B12" s="2849">
        <v>15</v>
      </c>
      <c r="C12" s="2898"/>
      <c r="D12" s="2912"/>
      <c r="E12" s="56" t="s">
        <v>1786</v>
      </c>
      <c r="F12" s="2200"/>
      <c r="G12" s="2200"/>
      <c r="H12" s="2200"/>
      <c r="I12" s="2201"/>
    </row>
    <row r="13" spans="1:12" ht="12.75">
      <c r="A13" s="2887"/>
      <c r="B13" s="2849"/>
      <c r="C13" s="2899"/>
      <c r="D13" s="2912"/>
      <c r="E13" s="56" t="s">
        <v>1787</v>
      </c>
      <c r="F13" s="2200"/>
      <c r="G13" s="2200"/>
      <c r="H13" s="2200"/>
      <c r="I13" s="2201"/>
    </row>
    <row r="14" spans="1:12" ht="12.75">
      <c r="A14" s="2887" t="s">
        <v>1788</v>
      </c>
      <c r="B14" s="2849">
        <v>30</v>
      </c>
      <c r="C14" s="2898"/>
      <c r="D14" s="2912"/>
      <c r="E14" s="56" t="s">
        <v>1789</v>
      </c>
      <c r="F14" s="2200"/>
      <c r="G14" s="2200"/>
      <c r="H14" s="2200"/>
      <c r="I14" s="2201"/>
    </row>
    <row r="15" spans="1:12" ht="12.75">
      <c r="A15" s="2887"/>
      <c r="B15" s="2849"/>
      <c r="C15" s="2915"/>
      <c r="D15" s="2912"/>
      <c r="E15" s="56" t="s">
        <v>1790</v>
      </c>
      <c r="F15" s="2200"/>
      <c r="G15" s="2200"/>
      <c r="H15" s="2200"/>
      <c r="I15" s="2201"/>
    </row>
    <row r="16" spans="1:12" ht="12.75">
      <c r="A16" s="2887"/>
      <c r="B16" s="2849"/>
      <c r="C16" s="2899"/>
      <c r="D16" s="291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18" t="s">
        <v>1800</v>
      </c>
      <c r="B24" s="2207" t="s">
        <v>1795</v>
      </c>
      <c r="C24" s="61">
        <f>D30</f>
        <v>0</v>
      </c>
      <c r="D24" s="994"/>
      <c r="E24" s="2195"/>
      <c r="F24" s="2195"/>
      <c r="G24" s="2195"/>
      <c r="H24" s="2195"/>
      <c r="I24" s="2195"/>
    </row>
    <row r="25" spans="1:35" ht="21.75" customHeight="1">
      <c r="A25" s="2919"/>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74" t="s">
        <v>1971</v>
      </c>
      <c r="B31" s="2974"/>
      <c r="C31" s="2974"/>
      <c r="D31" s="2974"/>
      <c r="E31" s="2974"/>
      <c r="F31" s="2974"/>
      <c r="G31" s="2974"/>
      <c r="H31" s="2974"/>
      <c r="I31" s="297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00" t="s">
        <v>1980</v>
      </c>
      <c r="B37" s="2237" t="s">
        <v>1981</v>
      </c>
      <c r="C37" s="69"/>
      <c r="D37" s="2238"/>
      <c r="E37" s="2239"/>
      <c r="F37" s="2239"/>
      <c r="G37" s="2195"/>
      <c r="H37" s="2195"/>
      <c r="I37" s="2195"/>
    </row>
    <row r="38" spans="1:16" ht="15.75" thickBot="1">
      <c r="A38" s="2901"/>
      <c r="B38" s="2240" t="s">
        <v>1982</v>
      </c>
      <c r="C38" s="71"/>
      <c r="D38" s="2205"/>
      <c r="E38" s="2205"/>
      <c r="F38" s="2239"/>
      <c r="G38" s="2205"/>
      <c r="H38" s="2205"/>
      <c r="I38" s="2205"/>
    </row>
    <row r="39" spans="1:16" ht="15.75" thickBot="1">
      <c r="A39" s="2902"/>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06" t="s">
        <v>1993</v>
      </c>
      <c r="B46" s="2907"/>
      <c r="C46" s="2908"/>
      <c r="D46" s="80">
        <f>ROUND(I103*F46,0)</f>
        <v>0</v>
      </c>
      <c r="E46" s="81" t="s">
        <v>1994</v>
      </c>
      <c r="F46" s="82">
        <v>1</v>
      </c>
      <c r="G46" s="83" t="s">
        <v>1995</v>
      </c>
      <c r="H46" s="2195"/>
      <c r="I46" s="2195"/>
      <c r="J46" s="2968" t="s">
        <v>1827</v>
      </c>
      <c r="K46" s="2968"/>
      <c r="L46" s="2968"/>
      <c r="M46" s="2968"/>
      <c r="N46" s="2968"/>
      <c r="O46" s="2968"/>
      <c r="P46" s="1845"/>
    </row>
    <row r="47" spans="1:16" ht="14.25" customHeight="1">
      <c r="A47" s="2891" t="s">
        <v>1828</v>
      </c>
      <c r="B47" s="2892"/>
      <c r="C47" s="2892"/>
      <c r="D47" s="2892"/>
      <c r="E47" s="2892"/>
      <c r="F47" s="2892"/>
      <c r="G47" s="2893"/>
      <c r="H47" s="2257"/>
      <c r="I47" s="1144"/>
      <c r="J47" s="1883">
        <v>1</v>
      </c>
      <c r="K47" s="2968" t="s">
        <v>1829</v>
      </c>
      <c r="L47" s="2968"/>
      <c r="M47" s="2984"/>
      <c r="N47" s="2984"/>
      <c r="O47" s="2984"/>
      <c r="P47" s="1845"/>
    </row>
    <row r="48" spans="1:16" ht="12" customHeight="1">
      <c r="A48" s="85" t="s">
        <v>1830</v>
      </c>
      <c r="B48" s="86"/>
      <c r="C48" s="87"/>
      <c r="D48" s="88" t="s">
        <v>1831</v>
      </c>
      <c r="E48" s="14" t="s">
        <v>1832</v>
      </c>
      <c r="F48" s="89" t="s">
        <v>1833</v>
      </c>
      <c r="G48" s="90" t="s">
        <v>1834</v>
      </c>
      <c r="H48" s="2257"/>
      <c r="I48" s="1144"/>
      <c r="J48" s="1883">
        <v>2</v>
      </c>
      <c r="K48" s="2968" t="s">
        <v>1835</v>
      </c>
      <c r="L48" s="2968"/>
      <c r="M48" s="2970">
        <f>'数据-取费表'!B2</f>
        <v>43277</v>
      </c>
      <c r="N48" s="2970"/>
      <c r="O48" s="2970"/>
      <c r="P48" s="1845"/>
    </row>
    <row r="49" spans="1:16" ht="25.5">
      <c r="A49" s="2903" t="s">
        <v>1836</v>
      </c>
      <c r="B49" s="2904"/>
      <c r="C49" s="2904"/>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968" t="s">
        <v>1839</v>
      </c>
      <c r="L49" s="2968"/>
      <c r="M49" s="2969">
        <f>I103</f>
        <v>0</v>
      </c>
      <c r="N49" s="2969"/>
      <c r="O49" s="2969"/>
      <c r="P49" s="1845"/>
    </row>
    <row r="50" spans="1:16" ht="25.5" customHeight="1">
      <c r="A50" s="92" t="s">
        <v>1840</v>
      </c>
      <c r="B50" s="2896" t="s">
        <v>1841</v>
      </c>
      <c r="C50" s="2896"/>
      <c r="D50" s="93">
        <v>0</v>
      </c>
      <c r="E50" s="13" t="s">
        <v>1842</v>
      </c>
      <c r="F50" s="18" t="s">
        <v>48</v>
      </c>
      <c r="G50" s="2961"/>
      <c r="H50" s="2195"/>
      <c r="I50" s="2260"/>
      <c r="J50" s="1883">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45"/>
    </row>
    <row r="51" spans="1:16" ht="25.5" customHeight="1">
      <c r="A51" s="94"/>
      <c r="B51" s="2896" t="s">
        <v>1843</v>
      </c>
      <c r="C51" s="2896"/>
      <c r="D51" s="95"/>
      <c r="E51" s="21"/>
      <c r="F51" s="96"/>
      <c r="G51" s="2962"/>
      <c r="H51" s="2195"/>
      <c r="I51" s="2260"/>
      <c r="J51" s="2968" t="s">
        <v>1844</v>
      </c>
      <c r="K51" s="2968"/>
      <c r="L51" s="2968"/>
      <c r="M51" s="2968"/>
      <c r="N51" s="2968"/>
      <c r="O51" s="2968"/>
      <c r="P51" s="1845"/>
    </row>
    <row r="52" spans="1:16" ht="12" customHeight="1">
      <c r="A52" s="97"/>
      <c r="B52" s="2896" t="s">
        <v>1845</v>
      </c>
      <c r="C52" s="2896"/>
      <c r="D52" s="98"/>
      <c r="E52" s="20"/>
      <c r="F52" s="96"/>
      <c r="G52" s="2963"/>
      <c r="H52" s="2195"/>
      <c r="I52" s="2260"/>
      <c r="J52" s="2261" t="s">
        <v>1846</v>
      </c>
      <c r="K52" s="2968" t="s">
        <v>1847</v>
      </c>
      <c r="L52" s="2968"/>
      <c r="M52" s="2261" t="s">
        <v>1848</v>
      </c>
      <c r="N52" s="2261" t="s">
        <v>1849</v>
      </c>
      <c r="O52" s="2261" t="s">
        <v>1850</v>
      </c>
      <c r="P52" s="1845"/>
    </row>
    <row r="53" spans="1:16" ht="24" customHeight="1">
      <c r="A53" s="99" t="s">
        <v>1851</v>
      </c>
      <c r="B53" s="2896" t="s">
        <v>1852</v>
      </c>
      <c r="C53" s="2896"/>
      <c r="D53" s="98">
        <f>ROUND(D46*'数据-取费表'!E29/(1+'数据-取费表'!F30),0)</f>
        <v>0</v>
      </c>
      <c r="E53" s="10" t="s">
        <v>1853</v>
      </c>
      <c r="F53" s="100">
        <f>'数据-取费表'!E29</f>
        <v>5.5000000000000007E-2</v>
      </c>
      <c r="G53" s="2262"/>
      <c r="H53" s="2195"/>
      <c r="I53" s="2260"/>
      <c r="J53" s="1883">
        <v>1</v>
      </c>
      <c r="K53" s="2928" t="s">
        <v>1854</v>
      </c>
      <c r="L53" s="2928"/>
      <c r="M53" s="778">
        <f>D49</f>
        <v>0</v>
      </c>
      <c r="N53" s="1883" t="str">
        <f>E49</f>
        <v>销售额×税（费）率</v>
      </c>
      <c r="O53" s="779">
        <f>F49</f>
        <v>5.5000000000000007E-2</v>
      </c>
      <c r="P53" s="1845"/>
    </row>
    <row r="54" spans="1:16" ht="12" customHeight="1">
      <c r="A54" s="99" t="s">
        <v>1855</v>
      </c>
      <c r="B54" s="2897" t="s">
        <v>1856</v>
      </c>
      <c r="C54" s="2827"/>
      <c r="D54" s="98">
        <f>ROUND(D46*'数据-取费表'!E29/(1+'数据-取费表'!F30),0)</f>
        <v>0</v>
      </c>
      <c r="E54" s="10" t="s">
        <v>1853</v>
      </c>
      <c r="F54" s="100">
        <f>'数据-取费表'!E29</f>
        <v>5.5000000000000007E-2</v>
      </c>
      <c r="G54" s="2262"/>
      <c r="H54" s="2195"/>
      <c r="I54" s="2260"/>
      <c r="J54" s="1883">
        <v>2</v>
      </c>
      <c r="K54" s="2928" t="s">
        <v>1857</v>
      </c>
      <c r="L54" s="2928"/>
      <c r="M54" s="778">
        <f t="shared" ref="M54:O55" si="1">D56</f>
        <v>0</v>
      </c>
      <c r="N54" s="1883" t="str">
        <f t="shared" si="1"/>
        <v>销售额×税（费）率</v>
      </c>
      <c r="O54" s="779">
        <f t="shared" si="1"/>
        <v>5.0000000000000001E-4</v>
      </c>
      <c r="P54" s="1845"/>
    </row>
    <row r="55" spans="1:16" ht="12" customHeight="1">
      <c r="A55" s="99" t="s">
        <v>1858</v>
      </c>
      <c r="B55" s="2897" t="s">
        <v>1859</v>
      </c>
      <c r="C55" s="2827"/>
      <c r="D55" s="98">
        <f>C69</f>
        <v>0</v>
      </c>
      <c r="E55" s="20" t="s">
        <v>1860</v>
      </c>
      <c r="F55" s="100">
        <f>'数据-取费表'!E29</f>
        <v>5.5000000000000007E-2</v>
      </c>
      <c r="G55" s="2262"/>
      <c r="H55" s="2263"/>
      <c r="I55" s="2260"/>
      <c r="J55" s="1883">
        <v>3</v>
      </c>
      <c r="K55" s="2928" t="s">
        <v>1861</v>
      </c>
      <c r="L55" s="2928"/>
      <c r="M55" s="778">
        <f t="shared" si="1"/>
        <v>0</v>
      </c>
      <c r="N55" s="1883" t="str">
        <f t="shared" si="1"/>
        <v>增值额×税（费）率</v>
      </c>
      <c r="O55" s="780" t="str">
        <f t="shared" si="1"/>
        <v>——</v>
      </c>
      <c r="P55" s="1845"/>
    </row>
    <row r="56" spans="1:16" ht="24" customHeight="1">
      <c r="A56" s="2819" t="s">
        <v>1862</v>
      </c>
      <c r="B56" s="2904"/>
      <c r="C56" s="2904"/>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28" t="str">
        <f>IF(H60="非个人房产","——","个人所得税")</f>
        <v>——</v>
      </c>
      <c r="L56" s="2928"/>
      <c r="M56" s="781" t="str">
        <f>D60</f>
        <v>——</v>
      </c>
      <c r="N56" s="1886" t="str">
        <f>E60</f>
        <v>——</v>
      </c>
      <c r="O56" s="782" t="str">
        <f>F60</f>
        <v>——</v>
      </c>
      <c r="P56" s="1845"/>
    </row>
    <row r="57" spans="1:16" ht="24.75">
      <c r="A57" s="2819" t="s">
        <v>1865</v>
      </c>
      <c r="B57" s="2904"/>
      <c r="C57" s="2904"/>
      <c r="D57" s="101">
        <f>IF(H57="个人住宅",D58,D59)</f>
        <v>0</v>
      </c>
      <c r="E57" s="10" t="s">
        <v>1866</v>
      </c>
      <c r="F57" s="100" t="str">
        <f>IF(H57="正常",F59,"免征")</f>
        <v>——</v>
      </c>
      <c r="G57" s="2264" t="s">
        <v>1867</v>
      </c>
      <c r="H57" s="2265" t="s">
        <v>1864</v>
      </c>
      <c r="I57" s="1022"/>
      <c r="J57" s="1883" t="str">
        <f>IF(项目基本情况!I6="上海银行",IF(J56="",4,J56+1),"")</f>
        <v/>
      </c>
      <c r="K57" s="2946" t="str">
        <f>IF(项目基本情况!I6="上海银行","其他处置费用","")</f>
        <v/>
      </c>
      <c r="L57" s="2947"/>
      <c r="M57" s="778" t="str">
        <f>IF(项目基本情况!I6="上海银行",M70,"")</f>
        <v/>
      </c>
      <c r="N57" s="2959" t="str">
        <f>IF(项目基本情况!I6="上海银行","包含处置中涉及的律师、诉讼、拍卖、评估等费用","")</f>
        <v/>
      </c>
      <c r="O57" s="2960"/>
      <c r="P57" s="1845"/>
    </row>
    <row r="58" spans="1:16" ht="12.75">
      <c r="A58" s="99" t="s">
        <v>1840</v>
      </c>
      <c r="B58" s="2894" t="s">
        <v>1868</v>
      </c>
      <c r="C58" s="2905"/>
      <c r="D58" s="103">
        <v>0</v>
      </c>
      <c r="E58" s="13" t="s">
        <v>1842</v>
      </c>
      <c r="F58" s="70"/>
      <c r="G58" s="2262"/>
      <c r="H58" s="1022"/>
      <c r="I58" s="1022"/>
      <c r="J58" s="2928">
        <f>IF(AND(J56="",J57=""),4,IF(项目基本情况!I6="上海银行",J57+1,J56+1))</f>
        <v>4</v>
      </c>
      <c r="K58" s="2928" t="s">
        <v>1869</v>
      </c>
      <c r="L58" s="2266" t="s">
        <v>1870</v>
      </c>
      <c r="M58" s="783"/>
      <c r="N58" s="784">
        <f>SUMIF(M53:M57,"&lt;9e307")</f>
        <v>0</v>
      </c>
      <c r="O58" s="2267"/>
      <c r="P58" s="1841" t="e">
        <f>N58/M50</f>
        <v>#VALUE!</v>
      </c>
    </row>
    <row r="59" spans="1:16" ht="24.75">
      <c r="A59" s="99" t="s">
        <v>1851</v>
      </c>
      <c r="B59" s="2894" t="s">
        <v>1871</v>
      </c>
      <c r="C59" s="2895"/>
      <c r="D59" s="101">
        <f>IF(H59="转让取得",C82,C98)</f>
        <v>0</v>
      </c>
      <c r="E59" s="10" t="s">
        <v>1866</v>
      </c>
      <c r="F59" s="14" t="s">
        <v>48</v>
      </c>
      <c r="G59" s="2262"/>
      <c r="H59" s="2265" t="s">
        <v>1872</v>
      </c>
      <c r="I59" s="1022"/>
      <c r="J59" s="2928"/>
      <c r="K59" s="2928"/>
      <c r="L59" s="2266" t="s">
        <v>1873</v>
      </c>
      <c r="M59" s="785"/>
      <c r="N59" s="2268" t="str">
        <f>IF(H19="元",NUMBERSTRING(INT(N58),2)&amp;"元整",NUMBERSTRING(INT(N58*10000),2)&amp;"元整")</f>
        <v>零元整</v>
      </c>
      <c r="O59" s="2269"/>
      <c r="P59" s="1845"/>
    </row>
    <row r="60" spans="1:16" ht="24.75" thickBot="1">
      <c r="A60" s="2820" t="s">
        <v>1874</v>
      </c>
      <c r="B60" s="2823"/>
      <c r="C60" s="2823"/>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26">
        <f>J58+1</f>
        <v>5</v>
      </c>
      <c r="K60" s="2928" t="s">
        <v>1876</v>
      </c>
      <c r="L60" s="1883" t="s">
        <v>1870</v>
      </c>
      <c r="M60" s="786"/>
      <c r="N60" s="787" t="e">
        <f>M50-N58</f>
        <v>#VALUE!</v>
      </c>
      <c r="O60" s="2271"/>
      <c r="P60" s="1845"/>
    </row>
    <row r="61" spans="1:16" ht="12" customHeight="1">
      <c r="A61" s="2068"/>
      <c r="B61" s="2195"/>
      <c r="C61" s="2195"/>
      <c r="D61" s="2195"/>
      <c r="E61" s="1022"/>
      <c r="F61" s="1022"/>
      <c r="G61" s="1022"/>
      <c r="H61" s="2248"/>
      <c r="I61" s="2195"/>
      <c r="J61" s="2927"/>
      <c r="K61" s="2928"/>
      <c r="L61" s="2266" t="s">
        <v>1873</v>
      </c>
      <c r="M61" s="785"/>
      <c r="N61" s="2268" t="e">
        <f>IF(H19="元",NUMBERSTRING(INT(N60),2)&amp;"元整",NUMBERSTRING(INT(N60*10000),2)&amp;"元整")</f>
        <v>#VALUE!</v>
      </c>
      <c r="O61" s="2269"/>
      <c r="P61" s="1845"/>
    </row>
    <row r="62" spans="1:16" ht="13.5" thickBot="1">
      <c r="A62" s="2909" t="s">
        <v>1877</v>
      </c>
      <c r="B62" s="2909"/>
      <c r="C62" s="2909"/>
      <c r="D62" s="2909"/>
      <c r="E62" s="2909"/>
      <c r="F62" s="1022"/>
      <c r="G62" s="1022"/>
      <c r="H62" s="2248"/>
      <c r="I62" s="2195"/>
      <c r="J62" s="1883">
        <f>J60+1</f>
        <v>6</v>
      </c>
      <c r="K62" s="2928" t="s">
        <v>1878</v>
      </c>
      <c r="L62" s="2928"/>
      <c r="M62" s="788"/>
      <c r="N62" s="789" t="e">
        <f>IF(H19="元",ROUND(N60/项目基本情况!C12,0),ROUND(N60*10000/项目基本情况!C12,0))</f>
        <v>#VALUE!</v>
      </c>
      <c r="O62" s="2272"/>
      <c r="P62" s="1845"/>
    </row>
    <row r="63" spans="1:16" ht="12.75">
      <c r="A63" s="2916" t="s">
        <v>1879</v>
      </c>
      <c r="B63" s="291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4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4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4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4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4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94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4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20" t="s">
        <v>1899</v>
      </c>
      <c r="B71" s="2921"/>
      <c r="C71" s="2921"/>
      <c r="D71" s="2921"/>
      <c r="E71" s="2921"/>
      <c r="F71" s="2921"/>
      <c r="G71" s="2921"/>
      <c r="H71" s="2921"/>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16" t="s">
        <v>1879</v>
      </c>
      <c r="B72" s="291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897" t="s">
        <v>1909</v>
      </c>
      <c r="F77" s="2896"/>
      <c r="G77" s="2896"/>
      <c r="H77" s="2911"/>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88" t="s">
        <v>1914</v>
      </c>
      <c r="F79" s="2889"/>
      <c r="G79" s="2889"/>
      <c r="H79" s="2890"/>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20" t="s">
        <v>1918</v>
      </c>
      <c r="B84" s="2921"/>
      <c r="C84" s="2921"/>
      <c r="D84" s="2921"/>
      <c r="E84" s="2921"/>
      <c r="F84" s="2921"/>
      <c r="G84" s="2921"/>
      <c r="H84" s="2921"/>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16" t="s">
        <v>1879</v>
      </c>
      <c r="B85" s="291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88" t="s">
        <v>1926</v>
      </c>
      <c r="F92" s="2889"/>
      <c r="G92" s="2889"/>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88" t="s">
        <v>1929</v>
      </c>
      <c r="F93" s="2889"/>
      <c r="G93" s="2889"/>
      <c r="H93" s="2890"/>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88" t="s">
        <v>1914</v>
      </c>
      <c r="F94" s="2889"/>
      <c r="G94" s="2889"/>
      <c r="H94" s="2890"/>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88" t="s">
        <v>1931</v>
      </c>
      <c r="F95" s="2889"/>
      <c r="G95" s="2889"/>
      <c r="H95" s="2890"/>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43" t="s">
        <v>1933</v>
      </c>
      <c r="B100" s="2944"/>
      <c r="C100" s="2944"/>
      <c r="D100" s="2945"/>
      <c r="E100" s="2195"/>
      <c r="F100" s="2954" t="s">
        <v>1934</v>
      </c>
      <c r="G100" s="2955"/>
      <c r="H100" s="2955"/>
      <c r="I100" s="2956"/>
    </row>
    <row r="101" spans="1:35" ht="15.75">
      <c r="A101" s="2957" t="s">
        <v>1935</v>
      </c>
      <c r="B101" s="2958"/>
      <c r="C101" s="720">
        <f>C4</f>
        <v>0</v>
      </c>
      <c r="D101" s="721">
        <f>D4</f>
        <v>0</v>
      </c>
      <c r="E101" s="2195"/>
      <c r="F101" s="2853" t="s">
        <v>1936</v>
      </c>
      <c r="G101" s="2854"/>
      <c r="H101" s="2979" t="s">
        <v>1937</v>
      </c>
      <c r="I101" s="2852"/>
    </row>
    <row r="102" spans="1:35" ht="15.75">
      <c r="A102" s="2980" t="s">
        <v>1997</v>
      </c>
      <c r="B102" s="2290" t="str">
        <f>IF(H19="元","总价（元）","总价（万元）")</f>
        <v>总价（元）</v>
      </c>
      <c r="C102" s="720" t="e">
        <f ca="1">C19</f>
        <v>#REF!</v>
      </c>
      <c r="D102" s="721" t="e">
        <f ca="1">D19</f>
        <v>#REF!</v>
      </c>
      <c r="E102" s="2195"/>
      <c r="F102" s="2981"/>
      <c r="G102" s="2982"/>
      <c r="H102" s="2851">
        <f>典型户型修正!B25</f>
        <v>0</v>
      </c>
      <c r="I102" s="2852"/>
    </row>
    <row r="103" spans="1:35" ht="15.75">
      <c r="A103" s="2980"/>
      <c r="B103" s="2290" t="s">
        <v>1939</v>
      </c>
      <c r="C103" s="722" t="e">
        <f ca="1">C20</f>
        <v>#REF!</v>
      </c>
      <c r="D103" s="723" t="e">
        <f ca="1">D20</f>
        <v>#REF!</v>
      </c>
      <c r="E103" s="2195"/>
      <c r="F103" s="2880" t="s">
        <v>1940</v>
      </c>
      <c r="G103" s="2881"/>
      <c r="H103" s="2291" t="str">
        <f>C109</f>
        <v>总价（元）</v>
      </c>
      <c r="I103" s="1862">
        <f>H124</f>
        <v>0</v>
      </c>
    </row>
    <row r="104" spans="1:35" ht="15">
      <c r="A104" s="2980" t="s">
        <v>1998</v>
      </c>
      <c r="B104" s="2292" t="str">
        <f>B102</f>
        <v>总价（元）</v>
      </c>
      <c r="C104" s="1190" t="e">
        <f ca="1">ROUND(IF('数据-取费表'!B4="总价",G19,IF(H19="元",G20*'数据-取费表'!E5,G20*'数据-取费表'!E5/10000)),0)</f>
        <v>#REF!</v>
      </c>
      <c r="D104" s="725"/>
      <c r="E104" s="2195"/>
      <c r="F104" s="2880"/>
      <c r="G104" s="2881"/>
      <c r="H104" s="2291" t="s">
        <v>1939</v>
      </c>
      <c r="I104" s="1050" t="e">
        <f>I124</f>
        <v>#DIV/0!</v>
      </c>
    </row>
    <row r="105" spans="1:35" ht="15.75">
      <c r="A105" s="2980"/>
      <c r="B105" s="2290" t="s">
        <v>1939</v>
      </c>
      <c r="C105" s="1191" t="e">
        <f ca="1">ROUND(IF('数据-取费表'!B4="楼面单价",G20,IF(H19="元",G19/'数据-取费表'!E5,G19*10000/'数据-取费表'!E5)),0)</f>
        <v>#REF!</v>
      </c>
      <c r="D105" s="725"/>
      <c r="E105" s="2195"/>
      <c r="F105" s="2952"/>
      <c r="G105" s="2953"/>
      <c r="H105" s="2937"/>
      <c r="I105" s="2938"/>
    </row>
    <row r="106" spans="1:35" ht="15.75">
      <c r="A106" s="2973" t="s">
        <v>1999</v>
      </c>
      <c r="B106" s="2330" t="str">
        <f>B102</f>
        <v>总价（元）</v>
      </c>
      <c r="C106" s="724">
        <f>H124</f>
        <v>0</v>
      </c>
      <c r="D106" s="1189"/>
      <c r="E106" s="2195"/>
      <c r="F106" s="2941" t="s">
        <v>1943</v>
      </c>
      <c r="G106" s="2942"/>
      <c r="H106" s="2294" t="str">
        <f>C111</f>
        <v>总额（元）</v>
      </c>
      <c r="I106" s="1862">
        <f>SUMIF(I107:I109,"&lt;9E307")</f>
        <v>0</v>
      </c>
    </row>
    <row r="107" spans="1:35" ht="15.75" thickBot="1">
      <c r="A107" s="2936"/>
      <c r="B107" s="2293" t="s">
        <v>1939</v>
      </c>
      <c r="C107" s="726" t="e">
        <f>I124</f>
        <v>#DIV/0!</v>
      </c>
      <c r="D107" s="727"/>
      <c r="E107" s="2195"/>
      <c r="F107" s="2869" t="s">
        <v>1945</v>
      </c>
      <c r="G107" s="2870"/>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6" t="s">
        <v>1942</v>
      </c>
      <c r="B108" s="2977"/>
      <c r="C108" s="2977"/>
      <c r="D108" s="2978"/>
      <c r="E108" s="2195"/>
      <c r="F108" s="2869" t="s">
        <v>1946</v>
      </c>
      <c r="G108" s="2870"/>
      <c r="H108" s="2294" t="str">
        <f>C113</f>
        <v>总额（元）</v>
      </c>
      <c r="I108" s="1050">
        <f>C38</f>
        <v>0</v>
      </c>
      <c r="K108" s="2295"/>
    </row>
    <row r="109" spans="1:35" ht="15">
      <c r="A109" s="2867" t="s">
        <v>2000</v>
      </c>
      <c r="B109" s="2868"/>
      <c r="C109" s="2291" t="str">
        <f>B102</f>
        <v>总价（元）</v>
      </c>
      <c r="D109" s="1051">
        <f>H124</f>
        <v>0</v>
      </c>
      <c r="E109" s="2195"/>
      <c r="F109" s="2869" t="s">
        <v>1948</v>
      </c>
      <c r="G109" s="2870"/>
      <c r="H109" s="2294" t="str">
        <f>C114</f>
        <v>总额（元）</v>
      </c>
      <c r="I109" s="1050">
        <f>C39</f>
        <v>0</v>
      </c>
    </row>
    <row r="110" spans="1:35" ht="15.75">
      <c r="A110" s="2867"/>
      <c r="B110" s="2868"/>
      <c r="C110" s="2291" t="s">
        <v>1939</v>
      </c>
      <c r="D110" s="1052" t="e">
        <f>I124</f>
        <v>#DIV/0!</v>
      </c>
      <c r="E110" s="2195"/>
      <c r="F110" s="2952"/>
      <c r="G110" s="2953"/>
      <c r="H110" s="2939"/>
      <c r="I110" s="2940"/>
    </row>
    <row r="111" spans="1:35" ht="28.5" customHeight="1">
      <c r="A111" s="2874" t="s">
        <v>1947</v>
      </c>
      <c r="B111" s="2875"/>
      <c r="C111" s="2294" t="str">
        <f>IF(H19="元","总额（元）","总额（万元）")</f>
        <v>总额（元）</v>
      </c>
      <c r="D111" s="1051">
        <f>IF(D37="正常操作",I107+I108+I109,I108+I109)</f>
        <v>0</v>
      </c>
      <c r="E111" s="2195"/>
      <c r="F111" s="2855" t="str">
        <f>IF(项目基本情况!F5="已注销","——","3.房地产抵押价值")</f>
        <v>3.房地产抵押价值</v>
      </c>
      <c r="G111" s="2856"/>
      <c r="H111" s="2331" t="str">
        <f>C115</f>
        <v>总价（元）</v>
      </c>
      <c r="I111" s="1862">
        <f>IF(F111="——","——",I103-I106)</f>
        <v>0</v>
      </c>
    </row>
    <row r="112" spans="1:35" ht="15">
      <c r="A112" s="2869" t="s">
        <v>1945</v>
      </c>
      <c r="B112" s="2870"/>
      <c r="C112" s="2294" t="str">
        <f>C111</f>
        <v>总额（元）</v>
      </c>
      <c r="D112" s="637">
        <f>IF(D37="同一抵押权人同一抵押物续贷",C37&amp;"（未扣减，详见特别提示）",C37)</f>
        <v>0</v>
      </c>
      <c r="E112" s="2195"/>
      <c r="F112" s="2971"/>
      <c r="G112" s="2972"/>
      <c r="H112" s="2291" t="s">
        <v>1939</v>
      </c>
      <c r="I112" s="2297" t="e">
        <f>D116</f>
        <v>#DIV/0!</v>
      </c>
    </row>
    <row r="113" spans="1:26" ht="15.75">
      <c r="A113" s="2869" t="s">
        <v>1946</v>
      </c>
      <c r="B113" s="2870"/>
      <c r="C113" s="2294" t="str">
        <f>C111</f>
        <v>总额（元）</v>
      </c>
      <c r="D113" s="637">
        <f>C38</f>
        <v>0</v>
      </c>
      <c r="E113" s="2195"/>
      <c r="F113" s="2855" t="str">
        <f>IF(项目基本情况!F5="已注销及未注销","4.抵押担保权已注销时的房地产抵押价值",IF(项目基本情况!F5="已注销","3.抵押担保权已注销时的房地产抵押价值","——"))</f>
        <v>——</v>
      </c>
      <c r="G113" s="2856"/>
      <c r="H113" s="2331" t="str">
        <f>C117</f>
        <v>总价（元）</v>
      </c>
      <c r="I113" s="1862" t="str">
        <f>IF(F113="——","——",I103-I108-I109)</f>
        <v>——</v>
      </c>
    </row>
    <row r="114" spans="1:26" ht="15">
      <c r="A114" s="2869" t="s">
        <v>1948</v>
      </c>
      <c r="B114" s="2870"/>
      <c r="C114" s="2294" t="str">
        <f>C111</f>
        <v>总额（元）</v>
      </c>
      <c r="D114" s="637">
        <f>C39</f>
        <v>0</v>
      </c>
      <c r="E114" s="2195"/>
      <c r="F114" s="2971"/>
      <c r="G114" s="2972"/>
      <c r="H114" s="2291" t="s">
        <v>1939</v>
      </c>
      <c r="I114" s="1050" t="str">
        <f>D118</f>
        <v>——</v>
      </c>
    </row>
    <row r="115" spans="1:26" ht="15.75">
      <c r="A115" s="2867" t="str">
        <f>IF(项目基本情况!F5="已注销","——","3.房地产抵押价值")</f>
        <v>3.房地产抵押价值</v>
      </c>
      <c r="B115" s="2868"/>
      <c r="C115" s="2291" t="str">
        <f>B102</f>
        <v>总价（元）</v>
      </c>
      <c r="D115" s="1051">
        <f>IF(A115="——","——",D109-D111)</f>
        <v>0</v>
      </c>
      <c r="E115" s="2195"/>
      <c r="F115" s="2855" t="str">
        <f>IF(项目基本情况!G5="抵押净值",IF(OR(项目基本情况!F5="已注销",项目基本情况!F5="房地产抵押价值"),"4.抵押净值","5.抵押净值"),"——")</f>
        <v>——</v>
      </c>
      <c r="G115" s="2856"/>
      <c r="H115" s="2291" t="str">
        <f>C119</f>
        <v>总价（元）</v>
      </c>
      <c r="I115" s="1862" t="str">
        <f>IF(F115="——","——",N60)</f>
        <v>——</v>
      </c>
    </row>
    <row r="116" spans="1:26" ht="15.75" thickBot="1">
      <c r="A116" s="2867"/>
      <c r="B116" s="2868"/>
      <c r="C116" s="2291" t="s">
        <v>2001</v>
      </c>
      <c r="D116" s="1052" t="e">
        <f>ROUND(IF(D115=D109,D110,IF(H19="元",D115/B124,D115*10000/B124)),0)</f>
        <v>#DIV/0!</v>
      </c>
      <c r="E116" s="2195"/>
      <c r="F116" s="2857"/>
      <c r="G116" s="2858"/>
      <c r="H116" s="2299" t="s">
        <v>2001</v>
      </c>
      <c r="I116" s="1864" t="str">
        <f>D120</f>
        <v>——</v>
      </c>
    </row>
    <row r="117" spans="1:26" ht="15.75">
      <c r="A117" s="2867" t="str">
        <f>IF(项目基本情况!F5="已注销及未注销","4.抵押担保权已注销时的房地产抵押价值",IF(项目基本情况!F5="已注销","3.抵押担保权已注销时的房地产抵押价值","——"))</f>
        <v>——</v>
      </c>
      <c r="B117" s="2868"/>
      <c r="C117" s="2291" t="str">
        <f>B102</f>
        <v>总价（元）</v>
      </c>
      <c r="D117" s="1051" t="str">
        <f>IF(A117="——","——",D109-D113-D114)</f>
        <v>——</v>
      </c>
      <c r="E117" s="2195"/>
      <c r="F117" s="2967"/>
      <c r="G117" s="2967"/>
      <c r="H117" s="2923"/>
      <c r="I117" s="2923"/>
      <c r="N117" s="55"/>
      <c r="O117" s="55"/>
    </row>
    <row r="118" spans="1:26" s="1845" customFormat="1" ht="15">
      <c r="A118" s="2867"/>
      <c r="B118" s="2868"/>
      <c r="C118" s="2291" t="s">
        <v>2001</v>
      </c>
      <c r="D118" s="1052" t="str">
        <f>IF(A117="——","——",IF(H19="元",ROUND(D117/B124,0),ROUND(D117*10000/B124,0)))</f>
        <v>——</v>
      </c>
      <c r="E118" s="2195"/>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8"/>
      <c r="K118" s="798"/>
      <c r="L118" s="798"/>
      <c r="M118" s="798"/>
      <c r="N118" s="55"/>
      <c r="O118" s="55"/>
      <c r="P118" s="798"/>
      <c r="Q118" s="798"/>
      <c r="R118" s="798"/>
      <c r="S118" s="798"/>
      <c r="T118" s="798"/>
      <c r="U118" s="798"/>
      <c r="V118" s="798"/>
      <c r="W118" s="798"/>
      <c r="X118" s="798"/>
      <c r="Y118" s="798"/>
      <c r="Z118" s="798"/>
    </row>
    <row r="119" spans="1:26" s="1845" customFormat="1" ht="15">
      <c r="A119" s="2867" t="str">
        <f>IF(项目基本情况!G5="抵押净值",IF(OR(项目基本情况!F5="已注销",项目基本情况!F5="房地产抵押价值"),"4.抵押净值","5.抵押净值"),"——")</f>
        <v>——</v>
      </c>
      <c r="B119" s="2868"/>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72"/>
      <c r="B120" s="2873"/>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24" t="s">
        <v>2002</v>
      </c>
      <c r="B121" s="2925"/>
      <c r="C121" s="2925"/>
      <c r="D121" s="2925"/>
      <c r="E121" s="2925"/>
      <c r="F121" s="2925"/>
      <c r="G121" s="2925"/>
      <c r="H121" s="2925"/>
      <c r="I121" s="2925"/>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8" t="s">
        <v>1950</v>
      </c>
      <c r="B122" s="2878" t="s">
        <v>2003</v>
      </c>
      <c r="C122" s="2878" t="s">
        <v>2004</v>
      </c>
      <c r="D122" s="2950" t="s">
        <v>1953</v>
      </c>
      <c r="E122" s="2951"/>
      <c r="F122" s="2849" t="s">
        <v>2005</v>
      </c>
      <c r="G122" s="2849"/>
      <c r="H122" s="2849" t="s">
        <v>1954</v>
      </c>
      <c r="I122" s="294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8"/>
      <c r="B123" s="2879"/>
      <c r="C123" s="2879"/>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8" t="s">
        <v>1958</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30" t="str">
        <f>IF(项目基本情况!D5="房地产市场价值","——",MID(A111,3,LEN(A111)-2))</f>
        <v>估价师所知悉的法定优先受偿款</v>
      </c>
      <c r="B126" s="2860"/>
      <c r="C126" s="2931"/>
      <c r="D126" s="2859">
        <f>I106</f>
        <v>0</v>
      </c>
      <c r="E126" s="2860"/>
      <c r="F126" s="2860"/>
      <c r="G126" s="2860"/>
      <c r="H126" s="2860"/>
      <c r="I126" s="2861"/>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32" t="s">
        <v>1958</v>
      </c>
      <c r="B127" s="2933"/>
      <c r="C127" s="2934"/>
      <c r="D127" s="2862">
        <f>H110</f>
        <v>0</v>
      </c>
      <c r="E127" s="2863"/>
      <c r="F127" s="2863"/>
      <c r="G127" s="2863"/>
      <c r="H127" s="2863"/>
      <c r="I127" s="2864"/>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5" t="str">
        <f>IF(项目基本情况!D5="房地产市场价值","——",MID(A115,3,LEN(A115)-2))</f>
        <v>房地产抵押价值</v>
      </c>
      <c r="B128" s="2866"/>
      <c r="C128" s="2866"/>
      <c r="D128" s="2859">
        <f>I111</f>
        <v>0</v>
      </c>
      <c r="E128" s="2860"/>
      <c r="F128" s="2860"/>
      <c r="G128" s="2860"/>
      <c r="H128" s="2860"/>
      <c r="I128" s="2861"/>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8" t="s">
        <v>1958</v>
      </c>
      <c r="B129" s="2849"/>
      <c r="C129" s="2849"/>
      <c r="D129" s="2862" t="e">
        <f>I112</f>
        <v>#DIV/0!</v>
      </c>
      <c r="E129" s="2863"/>
      <c r="F129" s="2863"/>
      <c r="G129" s="2863"/>
      <c r="H129" s="2863"/>
      <c r="I129" s="2864"/>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5" t="str">
        <f>IF(项目基本情况!D5="房地产市场价值","——",MID(A117,3,LEN(A117)-2))</f>
        <v/>
      </c>
      <c r="B130" s="2866"/>
      <c r="C130" s="2866"/>
      <c r="D130" s="2964" t="str">
        <f>I113</f>
        <v>——</v>
      </c>
      <c r="E130" s="2965"/>
      <c r="F130" s="2965"/>
      <c r="G130" s="2965"/>
      <c r="H130" s="2965"/>
      <c r="I130" s="2966"/>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8" t="s">
        <v>1958</v>
      </c>
      <c r="B131" s="2849"/>
      <c r="C131" s="2850"/>
      <c r="D131" s="2922" t="str">
        <f>I114</f>
        <v>——</v>
      </c>
      <c r="E131" s="2922"/>
      <c r="F131" s="2922"/>
      <c r="G131" s="2922"/>
      <c r="H131" s="2922"/>
      <c r="I131" s="2922"/>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5" t="str">
        <f>IF(项目基本情况!D5="房地产市场价值","——",MID(F115,3,LEN(F115)-2))</f>
        <v/>
      </c>
      <c r="B132" s="2866"/>
      <c r="C132" s="2859"/>
      <c r="D132" s="2871" t="str">
        <f>I115</f>
        <v>——</v>
      </c>
      <c r="E132" s="2871"/>
      <c r="F132" s="2871"/>
      <c r="G132" s="2871"/>
      <c r="H132" s="2871"/>
      <c r="I132" s="287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76" t="s">
        <v>1958</v>
      </c>
      <c r="B133" s="2877"/>
      <c r="C133" s="2877"/>
      <c r="D133" s="2884">
        <f>H117</f>
        <v>0</v>
      </c>
      <c r="E133" s="2885"/>
      <c r="F133" s="2885"/>
      <c r="G133" s="2885"/>
      <c r="H133" s="2885"/>
      <c r="I133" s="288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1686770</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28278</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59.65</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59.65</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75018</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74288</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730</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1506569</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149065</v>
      </c>
      <c r="D33" s="183"/>
      <c r="E33" s="1532"/>
      <c r="F33" s="191"/>
      <c r="G33" s="184"/>
    </row>
    <row r="34" spans="1:7" s="206" customFormat="1" ht="13.5" customHeight="1">
      <c r="A34" s="176" t="s">
        <v>2044</v>
      </c>
      <c r="B34" s="177" t="s">
        <v>2066</v>
      </c>
      <c r="C34" s="199">
        <f>IF(B1="仅计算典型户型",'数据-取费表'!F18,'数据-取费表'!E18)</f>
        <v>131230</v>
      </c>
      <c r="D34" s="1533"/>
      <c r="E34" s="199"/>
      <c r="F34" s="1544" t="str">
        <f>IF('数据-取费表'!B25=0,"",'数据-取费表'!E20)</f>
        <v/>
      </c>
      <c r="G34" s="179"/>
    </row>
    <row r="35" spans="1:7" ht="13.5" customHeight="1">
      <c r="A35" s="176" t="s">
        <v>2018</v>
      </c>
      <c r="B35" s="177" t="s">
        <v>2067</v>
      </c>
      <c r="C35" s="199">
        <f>ROUND(C34*F35,0)</f>
        <v>3937</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11930</v>
      </c>
      <c r="D37" s="1533">
        <f>IF(B1="仅计算典型户型",'数据-取费表'!E5,'数据-取费表'!B5)</f>
        <v>59.65</v>
      </c>
      <c r="E37" s="199">
        <f>'数据-取费表'!E23</f>
        <v>200</v>
      </c>
      <c r="F37" s="1545"/>
      <c r="G37" s="208" t="s">
        <v>2072</v>
      </c>
    </row>
    <row r="38" spans="1:7" ht="13.5" customHeight="1">
      <c r="A38" s="176" t="s">
        <v>2073</v>
      </c>
      <c r="B38" s="177" t="s">
        <v>2074</v>
      </c>
      <c r="C38" s="199">
        <f>ROUND(C34*F38,0)</f>
        <v>1968</v>
      </c>
      <c r="D38" s="199"/>
      <c r="E38" s="199"/>
      <c r="F38" s="1545">
        <f>'数据-取费表'!E24</f>
        <v>1.4999999999999999E-2</v>
      </c>
      <c r="G38" s="179" t="s">
        <v>2068</v>
      </c>
    </row>
    <row r="39" spans="1:7" s="175" customFormat="1" ht="13.5" customHeight="1">
      <c r="A39" s="204" t="s">
        <v>2033</v>
      </c>
      <c r="B39" s="173" t="s">
        <v>2036</v>
      </c>
      <c r="C39" s="183">
        <f>ROUND(C33*F20,0)</f>
        <v>2981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5386</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5280</v>
      </c>
      <c r="D42" s="188"/>
      <c r="E42" s="188"/>
      <c r="F42" s="189"/>
      <c r="G42" s="2985" t="s">
        <v>2078</v>
      </c>
    </row>
    <row r="43" spans="1:7" ht="13.5" customHeight="1">
      <c r="A43" s="176" t="s">
        <v>2018</v>
      </c>
      <c r="B43" s="177" t="s">
        <v>2047</v>
      </c>
      <c r="C43" s="188">
        <f ca="1">ROUND(IF('数据-取费表'!B23&lt;=1,C39*F22*'数据-取费表'!B22/2,C39*(POWER((1+F22),'数据-取费表'!B22/2)-1)),0)</f>
        <v>106</v>
      </c>
      <c r="D43" s="188"/>
      <c r="E43" s="188"/>
      <c r="F43" s="189"/>
      <c r="G43" s="2986"/>
    </row>
    <row r="44" spans="1:7" ht="13.5" customHeight="1">
      <c r="A44" s="176" t="s">
        <v>2020</v>
      </c>
      <c r="B44" s="177" t="s">
        <v>2049</v>
      </c>
      <c r="C44" s="188">
        <f ca="1">ROUND(IF('数据-取费表'!B23&lt;=1,C40*F22*'数据-取费表'!B22/2,C40*(POWER((1+F22),'数据-取费表'!B22/2)-1)),4)</f>
        <v>6.9999999999999999E-4</v>
      </c>
      <c r="D44" s="188"/>
      <c r="E44" s="188"/>
      <c r="F44" s="189"/>
      <c r="G44" s="2987"/>
    </row>
    <row r="45" spans="1:7" s="175" customFormat="1" ht="13.5" customHeight="1">
      <c r="A45" s="204" t="s">
        <v>2042</v>
      </c>
      <c r="B45" s="194" t="s">
        <v>2054</v>
      </c>
      <c r="C45" s="195">
        <f>C46</f>
        <v>38012</v>
      </c>
      <c r="D45" s="185">
        <f>C47</f>
        <v>5.0000000000000001E-3</v>
      </c>
      <c r="E45" s="186" t="s">
        <v>2076</v>
      </c>
      <c r="F45" s="196"/>
      <c r="G45" s="197" t="s">
        <v>2079</v>
      </c>
    </row>
    <row r="46" spans="1:7" s="175" customFormat="1" ht="13.5" customHeight="1">
      <c r="A46" s="176" t="s">
        <v>2044</v>
      </c>
      <c r="B46" s="198" t="s">
        <v>2080</v>
      </c>
      <c r="C46" s="199">
        <f>ROUND((C33+C39)*F27,0)</f>
        <v>38012</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212001</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180201</v>
      </c>
      <c r="D51" s="183"/>
      <c r="E51" s="183"/>
      <c r="F51" s="210"/>
      <c r="G51" s="184" t="s">
        <v>2092</v>
      </c>
    </row>
    <row r="52" spans="1:7" s="172" customFormat="1" ht="16.5" thickBot="1">
      <c r="A52" s="211" t="s">
        <v>2093</v>
      </c>
      <c r="B52" s="212"/>
      <c r="C52" s="213">
        <f ca="1">C31+C51</f>
        <v>1686770</v>
      </c>
      <c r="D52" s="212"/>
      <c r="E52" s="212"/>
      <c r="F52" s="212"/>
      <c r="G52" s="214"/>
    </row>
    <row r="55" spans="1:7" ht="15">
      <c r="B55" s="216" t="s">
        <v>2094</v>
      </c>
      <c r="C55" s="217"/>
    </row>
    <row r="56" spans="1:7">
      <c r="B56" s="219" t="s">
        <v>2095</v>
      </c>
      <c r="C56" s="220">
        <f ca="1">ROUND(C51/C52,3)</f>
        <v>0.107</v>
      </c>
    </row>
    <row r="57" spans="1:7">
      <c r="B57" s="219" t="s">
        <v>2096</v>
      </c>
      <c r="C57" s="221">
        <f ca="1">1-C56</f>
        <v>0.89300000000000002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46" zoomScale="90" zoomScaleNormal="90" zoomScaleSheetLayoutView="100" workbookViewId="0">
      <selection activeCell="F60" sqref="F60:F7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2823</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386383</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6478</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21627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21600</v>
      </c>
      <c r="D6" s="80" t="s">
        <v>2804</v>
      </c>
      <c r="E6" s="319" t="s">
        <v>2109</v>
      </c>
      <c r="F6" s="320">
        <f>'数据-取费表'!B29</f>
        <v>2000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0.1</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27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180201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131230</v>
      </c>
      <c r="D14" s="1888" t="s">
        <v>2128</v>
      </c>
      <c r="E14" s="1889"/>
      <c r="F14" s="979"/>
      <c r="G14" s="1239"/>
      <c r="H14" s="337" t="s">
        <v>2107</v>
      </c>
      <c r="I14" s="319" t="s">
        <v>2129</v>
      </c>
      <c r="J14" s="14">
        <f ca="1">C29</f>
        <v>212001</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3937</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2120</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11930</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7.0000000000000007E-2</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1968</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149065</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2981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2120</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5386</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-2120</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38012</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212001</v>
      </c>
      <c r="D29" s="1433"/>
      <c r="E29" s="1431"/>
      <c r="F29" s="1434"/>
      <c r="G29" s="791"/>
      <c r="H29" s="356" t="s">
        <v>24</v>
      </c>
      <c r="I29" s="357" t="s">
        <v>2203</v>
      </c>
      <c r="J29" s="358">
        <f ca="1">ROUND(J26/(1+F40)^F41,0)</f>
        <v>0</v>
      </c>
      <c r="K29" s="359" t="s">
        <v>2204</v>
      </c>
      <c r="L29" s="360"/>
      <c r="M29" s="361">
        <f>IF(D1="仅计算典型户型",'数据-取费表'!E5,'数据-取费表'!B5)</f>
        <v>59.65</v>
      </c>
    </row>
    <row r="30" spans="1:37" ht="18" customHeight="1" thickTop="1">
      <c r="A30" s="1420" t="s">
        <v>14</v>
      </c>
      <c r="B30" s="1421" t="s">
        <v>2205</v>
      </c>
      <c r="C30" s="327">
        <f ca="1">ROUND(C31+C36+C37+C38,0)</f>
        <v>4030</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1513.9</v>
      </c>
      <c r="D31" s="1888" t="s">
        <v>2207</v>
      </c>
      <c r="E31" s="1893" t="s">
        <v>2208</v>
      </c>
      <c r="F31" s="343">
        <f>IF(项目基本情况!B7="企业","",IF('数据-取费表'!B10="住宅",5%,IF(F6*F7*F8/12/(1+'数据-取费表'!F30)&gt;20000,12%,7%)))</f>
        <v>7.0000000000000007E-2</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14416</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2120</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180</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216</v>
      </c>
      <c r="D38" s="1433" t="s">
        <v>2180</v>
      </c>
      <c r="E38" s="1431" t="s">
        <v>2176</v>
      </c>
      <c r="F38" s="1426">
        <f>'数据-取费表'!B46</f>
        <v>0.01</v>
      </c>
      <c r="G38" s="791"/>
      <c r="H38" s="1230"/>
      <c r="I38" s="365" t="s">
        <v>2218</v>
      </c>
      <c r="J38" s="220">
        <f ca="1">ROUND(J34/C39,3)</f>
        <v>0.81899999999999995</v>
      </c>
      <c r="K38" s="1235"/>
      <c r="L38" s="1230"/>
      <c r="M38" s="1230"/>
    </row>
    <row r="39" spans="1:18" ht="18" customHeight="1" thickTop="1">
      <c r="A39" s="1420" t="s">
        <v>22</v>
      </c>
      <c r="B39" s="1435" t="s">
        <v>2219</v>
      </c>
      <c r="C39" s="327">
        <f ca="1">C5-C30</f>
        <v>17597</v>
      </c>
      <c r="D39" s="1436" t="s">
        <v>2220</v>
      </c>
      <c r="E39" s="1437"/>
      <c r="F39" s="1438"/>
      <c r="G39" s="791"/>
      <c r="H39" s="1230"/>
      <c r="I39" s="365" t="s">
        <v>2221</v>
      </c>
      <c r="J39" s="220">
        <f ca="1">1-J38</f>
        <v>0.18100000000000005</v>
      </c>
      <c r="K39" s="1235"/>
      <c r="L39" s="1230"/>
      <c r="M39" s="1230"/>
    </row>
    <row r="40" spans="1:18" s="791" customFormat="1" ht="18" customHeight="1">
      <c r="A40" s="316" t="s">
        <v>23</v>
      </c>
      <c r="B40" s="317" t="s">
        <v>2222</v>
      </c>
      <c r="C40" s="318">
        <f ca="1">ROUND(C39*(1-((1+F42)/(1+F40))^F41)/(F40-F42),0)</f>
        <v>386383</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2824</v>
      </c>
      <c r="F41" s="355">
        <f>IF('数据-取费表'!B28="租赁期内按合同租金",'数据-取费表'!B34,IF(E41="收益年期(n)",'数据-取费表'!B33,'数据-取费表'!B13))</f>
        <v>27.5</v>
      </c>
      <c r="H41" s="1237"/>
      <c r="I41" s="219" t="s">
        <v>2095</v>
      </c>
      <c r="J41" s="220">
        <f ca="1">ROUND(C13/C40,3)</f>
        <v>0.46600000000000003</v>
      </c>
      <c r="K41" s="1234"/>
      <c r="L41" s="1237"/>
      <c r="M41" s="1237"/>
      <c r="Q41" s="795"/>
    </row>
    <row r="42" spans="1:18" s="791" customFormat="1" ht="18" customHeight="1">
      <c r="A42" s="325"/>
      <c r="B42" s="326"/>
      <c r="C42" s="327"/>
      <c r="D42" s="349"/>
      <c r="E42" s="319" t="s">
        <v>2200</v>
      </c>
      <c r="F42" s="329">
        <f>'数据-取费表'!B31</f>
        <v>2.5000000000000001E-2</v>
      </c>
      <c r="H42" s="1237"/>
      <c r="I42" s="219" t="s">
        <v>2096</v>
      </c>
      <c r="J42" s="221">
        <f ca="1">1-J41</f>
        <v>0.53400000000000003</v>
      </c>
      <c r="K42" s="1234"/>
      <c r="L42" s="1237"/>
      <c r="M42" s="1237"/>
      <c r="Q42" s="795"/>
    </row>
    <row r="43" spans="1:18" s="791" customFormat="1" ht="18" customHeight="1" thickBot="1">
      <c r="A43" s="356" t="s">
        <v>24</v>
      </c>
      <c r="B43" s="357" t="s">
        <v>2225</v>
      </c>
      <c r="C43" s="358">
        <f ca="1">ROUND(C40/F43,0)</f>
        <v>6478</v>
      </c>
      <c r="D43" s="359" t="s">
        <v>2226</v>
      </c>
      <c r="E43" s="360" t="s">
        <v>2227</v>
      </c>
      <c r="F43" s="361">
        <f>IF(D1="仅计算典型户型",'数据-取费表'!E5,'数据-取费表'!B5)</f>
        <v>59.65</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386383</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-424328</v>
      </c>
      <c r="D47" s="2345" t="str">
        <f>C2</f>
        <v>元</v>
      </c>
      <c r="E47" s="776"/>
      <c r="F47" s="776"/>
      <c r="I47" s="2346" t="s">
        <v>2238</v>
      </c>
      <c r="J47" s="1343"/>
      <c r="K47" s="1344"/>
      <c r="L47" s="1357" t="str">
        <f>IF(M48="住宅",0,IF(L49&gt;J52,L61,J61))</f>
        <v>0</v>
      </c>
      <c r="O47" s="1371" t="s">
        <v>959</v>
      </c>
      <c r="P47" s="1368" t="s">
        <v>2239</v>
      </c>
      <c r="Q47" s="1369">
        <f ca="1">C29</f>
        <v>212001</v>
      </c>
      <c r="R47" s="1370" t="s">
        <v>2234</v>
      </c>
    </row>
    <row r="48" spans="1:18" s="791" customFormat="1" ht="15.75" thickBot="1">
      <c r="A48" s="312" t="s">
        <v>2240</v>
      </c>
      <c r="B48" s="313" t="s">
        <v>2241</v>
      </c>
      <c r="C48" s="313" t="s">
        <v>2242</v>
      </c>
      <c r="D48" s="313" t="s">
        <v>2243</v>
      </c>
      <c r="E48" s="1297" t="s">
        <v>2244</v>
      </c>
      <c r="F48" s="1298"/>
      <c r="I48" s="2347" t="s">
        <v>2245</v>
      </c>
      <c r="J48" s="2348" t="s">
        <v>2895</v>
      </c>
      <c r="K48" s="2349"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t="s">
        <v>2913</v>
      </c>
      <c r="K49" s="2352" t="s">
        <v>2250</v>
      </c>
      <c r="L49" s="1128">
        <f>'数据-取费表'!B13</f>
        <v>27.5</v>
      </c>
      <c r="O49" s="1371" t="s">
        <v>961</v>
      </c>
      <c r="P49" s="1368" t="s">
        <v>2251</v>
      </c>
      <c r="Q49" s="1372">
        <f>J53</f>
        <v>0.08</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2007</v>
      </c>
      <c r="K50" s="2354" t="s">
        <v>2255</v>
      </c>
      <c r="L50" s="1346"/>
      <c r="O50" s="1371" t="s">
        <v>962</v>
      </c>
      <c r="P50" s="1368" t="s">
        <v>2256</v>
      </c>
      <c r="Q50" s="1369">
        <f>J54</f>
        <v>27.5</v>
      </c>
      <c r="R50" s="1370" t="s">
        <v>2257</v>
      </c>
    </row>
    <row r="51" spans="1:18" s="791" customFormat="1" ht="15.75" thickBot="1">
      <c r="A51" s="321"/>
      <c r="B51" s="322"/>
      <c r="C51" s="323"/>
      <c r="D51" s="324"/>
      <c r="E51" s="339" t="s">
        <v>2110</v>
      </c>
      <c r="F51" s="1296">
        <f>F7</f>
        <v>1</v>
      </c>
      <c r="I51" s="2350" t="s">
        <v>2258</v>
      </c>
      <c r="J51" s="1347">
        <f>SUMPRODUCT((I64:I66=J48)*(J63:L63=J49)*(J64:L66))</f>
        <v>50</v>
      </c>
      <c r="K51" s="2354" t="s">
        <v>2259</v>
      </c>
      <c r="L51" s="1346"/>
      <c r="O51" s="1367" t="s">
        <v>963</v>
      </c>
      <c r="P51" s="1368" t="str">
        <f>IF(C2="元","收益价值(元)","收益价值(万元)")</f>
        <v>收益价值(元)</v>
      </c>
      <c r="Q51" s="1369">
        <f ca="1">ROUND(IF(C2="元",Q45+Q46,(Q45+Q46)/10000),0)</f>
        <v>386383</v>
      </c>
      <c r="R51" s="1370" t="s">
        <v>964</v>
      </c>
    </row>
    <row r="52" spans="1:18" s="791" customFormat="1" ht="16.5" thickBot="1">
      <c r="A52" s="321"/>
      <c r="B52" s="322"/>
      <c r="C52" s="323"/>
      <c r="D52" s="324"/>
      <c r="E52" s="319" t="s">
        <v>2112</v>
      </c>
      <c r="F52" s="320">
        <f>F8</f>
        <v>12</v>
      </c>
      <c r="I52" s="2355" t="s">
        <v>2260</v>
      </c>
      <c r="J52" s="1348">
        <f>IF(J50="",J51,J50+J51-YEAR('数据-取费表'!B2))</f>
        <v>39</v>
      </c>
      <c r="K52" s="2356" t="s">
        <v>2261</v>
      </c>
      <c r="L52" s="1349">
        <f ca="1">ROUND(-PV('数据-取费表'!B15,L49,(C40-C13*J35)),0)</f>
        <v>6136695</v>
      </c>
      <c r="O52" s="1361" t="s">
        <v>2262</v>
      </c>
      <c r="P52" s="1362"/>
      <c r="Q52" s="1358"/>
      <c r="R52" s="1362"/>
    </row>
    <row r="53" spans="1:18" s="791" customFormat="1" ht="15.75" thickBot="1">
      <c r="A53" s="325"/>
      <c r="B53" s="326"/>
      <c r="C53" s="327"/>
      <c r="D53" s="328"/>
      <c r="E53" s="319" t="s">
        <v>2113</v>
      </c>
      <c r="F53" s="1356"/>
      <c r="I53" s="2357" t="s">
        <v>2263</v>
      </c>
      <c r="J53" s="1350">
        <v>0.08</v>
      </c>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27.5</v>
      </c>
      <c r="K54" s="2988" t="s">
        <v>2803</v>
      </c>
      <c r="L54" s="2989"/>
      <c r="O54" s="1367" t="s">
        <v>957</v>
      </c>
      <c r="P54" s="1368" t="s">
        <v>2233</v>
      </c>
      <c r="Q54" s="1369">
        <f ca="1">C40+J29</f>
        <v>386383</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t="s">
        <v>2914</v>
      </c>
      <c r="O56" s="1371" t="s">
        <v>959</v>
      </c>
      <c r="P56" s="1368" t="s">
        <v>2269</v>
      </c>
      <c r="Q56" s="1369">
        <f>IF(L56="比较法",L50,IF(L56="基准地价",L51,0))</f>
        <v>0</v>
      </c>
      <c r="R56" s="1370" t="s">
        <v>2234</v>
      </c>
    </row>
    <row r="57" spans="1:18" s="791" customFormat="1" ht="44.25" thickTop="1" thickBot="1">
      <c r="A57" s="1420">
        <v>2</v>
      </c>
      <c r="B57" s="1421" t="s">
        <v>2123</v>
      </c>
      <c r="C57" s="1500">
        <f ca="1">C13</f>
        <v>180201</v>
      </c>
      <c r="D57" s="1294"/>
      <c r="E57" s="1295"/>
      <c r="F57" s="1302"/>
      <c r="I57" s="2364" t="s">
        <v>2270</v>
      </c>
      <c r="J57" s="1355" t="s">
        <v>2921</v>
      </c>
      <c r="K57" s="2350" t="s">
        <v>2271</v>
      </c>
      <c r="L57" s="1128" t="str">
        <f>IF(L49&lt;J52,"——",L49-J52)</f>
        <v>——</v>
      </c>
      <c r="O57" s="1371" t="s">
        <v>960</v>
      </c>
      <c r="P57" s="1368" t="s">
        <v>2272</v>
      </c>
      <c r="Q57" s="1372">
        <f>L53</f>
        <v>0</v>
      </c>
      <c r="R57" s="1370"/>
    </row>
    <row r="58" spans="1:18" s="791" customFormat="1" ht="29.25" thickBot="1">
      <c r="A58" s="1301"/>
      <c r="B58" s="319" t="s">
        <v>2202</v>
      </c>
      <c r="C58" s="188">
        <f ca="1">C29</f>
        <v>212001</v>
      </c>
      <c r="D58" s="1294"/>
      <c r="E58" s="1295"/>
      <c r="F58" s="1302"/>
      <c r="I58" s="2365" t="s">
        <v>2273</v>
      </c>
      <c r="J58" s="1354" t="str">
        <f>IF(OR(M48="住宅",J52&lt;L49,J57="是"),"——",J52-L49)</f>
        <v>——</v>
      </c>
      <c r="K58" s="2350"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2300</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7.0000000000000007E-2</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386383</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386383</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2120</v>
      </c>
      <c r="D65" s="1893" t="s">
        <v>2215</v>
      </c>
      <c r="E65" s="319" t="s">
        <v>2159</v>
      </c>
      <c r="F65" s="350">
        <f t="shared" si="0"/>
        <v>0.01</v>
      </c>
      <c r="I65" s="2368" t="s">
        <v>2295</v>
      </c>
      <c r="J65" s="1874">
        <v>50</v>
      </c>
      <c r="K65" s="1874">
        <v>35</v>
      </c>
      <c r="L65" s="1874">
        <v>60</v>
      </c>
      <c r="M65" s="1873">
        <v>0</v>
      </c>
      <c r="O65" s="1371" t="s">
        <v>959</v>
      </c>
      <c r="P65" s="1368" t="s">
        <v>2269</v>
      </c>
      <c r="Q65" s="1373">
        <f ca="1">L52</f>
        <v>6136695</v>
      </c>
      <c r="R65" s="1374" t="s">
        <v>2296</v>
      </c>
    </row>
    <row r="66" spans="1:18" s="791" customFormat="1" ht="20.25" thickBot="1">
      <c r="A66" s="337" t="s">
        <v>20</v>
      </c>
      <c r="B66" s="319" t="s">
        <v>2174</v>
      </c>
      <c r="C66" s="14">
        <f ca="1">ROUND(C57*F66,0)</f>
        <v>180</v>
      </c>
      <c r="D66" s="1893" t="s">
        <v>2175</v>
      </c>
      <c r="E66" s="319" t="s">
        <v>2176</v>
      </c>
      <c r="F66" s="351">
        <f t="shared" si="0"/>
        <v>1E-3</v>
      </c>
      <c r="I66" s="2368" t="s">
        <v>2297</v>
      </c>
      <c r="J66" s="1874">
        <v>40</v>
      </c>
      <c r="K66" s="1874">
        <v>30</v>
      </c>
      <c r="L66" s="1874">
        <v>50</v>
      </c>
      <c r="M66" s="1872">
        <v>0.02</v>
      </c>
      <c r="O66" s="1371" t="s">
        <v>960</v>
      </c>
      <c r="P66" s="1375" t="s">
        <v>2298</v>
      </c>
      <c r="Q66" s="1369">
        <f ca="1">ROUND(Q67-Q68*Q69,0)</f>
        <v>3181</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17597</v>
      </c>
      <c r="R67" s="1370" t="s">
        <v>2234</v>
      </c>
    </row>
    <row r="68" spans="1:18" ht="15.75" thickBot="1">
      <c r="A68" s="332" t="s">
        <v>22</v>
      </c>
      <c r="B68" s="89" t="s">
        <v>2184</v>
      </c>
      <c r="C68" s="334">
        <f ca="1">C49-C59</f>
        <v>-2300</v>
      </c>
      <c r="D68" s="1888" t="s">
        <v>2185</v>
      </c>
      <c r="E68" s="1892"/>
      <c r="F68" s="353"/>
      <c r="H68" s="791"/>
      <c r="I68" s="791"/>
      <c r="J68" s="791"/>
      <c r="K68" s="791"/>
      <c r="L68" s="791"/>
      <c r="M68" s="791"/>
      <c r="O68" s="1371" t="s">
        <v>966</v>
      </c>
      <c r="P68" s="1375" t="s">
        <v>2300</v>
      </c>
      <c r="Q68" s="1369">
        <f ca="1">C13</f>
        <v>180201</v>
      </c>
      <c r="R68" s="1370" t="s">
        <v>2234</v>
      </c>
    </row>
    <row r="69" spans="1:18" ht="15.75" thickBot="1">
      <c r="A69" s="316" t="s">
        <v>23</v>
      </c>
      <c r="B69" s="317" t="s">
        <v>2222</v>
      </c>
      <c r="C69" s="318">
        <f ca="1">ROUND(C68*(1-((1+F71)/(1+F69))^F70)/(F69-F71),0)</f>
        <v>-37945</v>
      </c>
      <c r="D69" s="346" t="s">
        <v>2190</v>
      </c>
      <c r="E69" s="319" t="s">
        <v>2191</v>
      </c>
      <c r="F69" s="329">
        <f>F40</f>
        <v>0.04</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27.5</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-636</v>
      </c>
      <c r="D72" s="359" t="s">
        <v>2226</v>
      </c>
      <c r="E72" s="360" t="s">
        <v>2227</v>
      </c>
      <c r="F72" s="361">
        <f>F43</f>
        <v>59.65</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386383</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1024</v>
      </c>
      <c r="B1" s="3007"/>
      <c r="C1" s="3008"/>
      <c r="D1" s="3009">
        <f>SUM(I10,I15,I20,I21,I23)</f>
        <v>0</v>
      </c>
      <c r="E1" s="3009"/>
      <c r="F1" s="3009"/>
      <c r="G1" s="3009"/>
      <c r="H1" s="3009"/>
      <c r="I1" s="3010"/>
    </row>
    <row r="2" spans="1:9">
      <c r="A2" s="2996" t="s">
        <v>1025</v>
      </c>
      <c r="B2" s="2997" t="s">
        <v>974</v>
      </c>
      <c r="C2" s="2997"/>
      <c r="D2" s="1389" t="s">
        <v>975</v>
      </c>
      <c r="E2" s="1389" t="s">
        <v>976</v>
      </c>
      <c r="F2" s="1389" t="s">
        <v>977</v>
      </c>
      <c r="G2" s="1389" t="s">
        <v>978</v>
      </c>
      <c r="H2" s="1389" t="s">
        <v>979</v>
      </c>
      <c r="I2" s="1390" t="s">
        <v>980</v>
      </c>
    </row>
    <row r="3" spans="1:9">
      <c r="A3" s="2996"/>
      <c r="B3" s="2997" t="s">
        <v>981</v>
      </c>
      <c r="C3" s="2997"/>
      <c r="D3" s="1391"/>
      <c r="E3" s="1389"/>
      <c r="F3" s="1392"/>
      <c r="G3" s="1392"/>
      <c r="H3" s="1393"/>
      <c r="I3" s="1394">
        <f>ROUND(D3*E3*F3*G3*H3/10000,0)</f>
        <v>0</v>
      </c>
    </row>
    <row r="4" spans="1:9">
      <c r="A4" s="2996"/>
      <c r="B4" s="2997" t="s">
        <v>982</v>
      </c>
      <c r="C4" s="2997"/>
      <c r="D4" s="1391"/>
      <c r="E4" s="1389"/>
      <c r="F4" s="1392"/>
      <c r="G4" s="1392"/>
      <c r="H4" s="1393"/>
      <c r="I4" s="1394">
        <f t="shared" ref="I4:I9" si="0">ROUND(D4*E4*F4*G4*H4/10000,0)</f>
        <v>0</v>
      </c>
    </row>
    <row r="5" spans="1:9">
      <c r="A5" s="2996"/>
      <c r="B5" s="2997" t="s">
        <v>983</v>
      </c>
      <c r="C5" s="2997"/>
      <c r="D5" s="1391"/>
      <c r="E5" s="1389"/>
      <c r="F5" s="1392"/>
      <c r="G5" s="1392"/>
      <c r="H5" s="1393"/>
      <c r="I5" s="1394">
        <f t="shared" si="0"/>
        <v>0</v>
      </c>
    </row>
    <row r="6" spans="1:9">
      <c r="A6" s="2996"/>
      <c r="B6" s="2997" t="s">
        <v>984</v>
      </c>
      <c r="C6" s="2997"/>
      <c r="D6" s="1391"/>
      <c r="E6" s="1389"/>
      <c r="F6" s="1392"/>
      <c r="G6" s="1392"/>
      <c r="H6" s="1393"/>
      <c r="I6" s="1394">
        <f t="shared" si="0"/>
        <v>0</v>
      </c>
    </row>
    <row r="7" spans="1:9">
      <c r="A7" s="2996"/>
      <c r="B7" s="2997" t="s">
        <v>985</v>
      </c>
      <c r="C7" s="2997"/>
      <c r="D7" s="1391"/>
      <c r="E7" s="1389"/>
      <c r="F7" s="1392"/>
      <c r="G7" s="1392"/>
      <c r="H7" s="1393"/>
      <c r="I7" s="1394">
        <f t="shared" si="0"/>
        <v>0</v>
      </c>
    </row>
    <row r="8" spans="1:9">
      <c r="A8" s="2996"/>
      <c r="B8" s="2997" t="s">
        <v>986</v>
      </c>
      <c r="C8" s="2997"/>
      <c r="D8" s="1391"/>
      <c r="E8" s="1389"/>
      <c r="F8" s="1392"/>
      <c r="G8" s="1392"/>
      <c r="H8" s="1393"/>
      <c r="I8" s="1394">
        <f t="shared" si="0"/>
        <v>0</v>
      </c>
    </row>
    <row r="9" spans="1:9">
      <c r="A9" s="2996"/>
      <c r="B9" s="2997" t="s">
        <v>987</v>
      </c>
      <c r="C9" s="2997"/>
      <c r="D9" s="1391"/>
      <c r="E9" s="1389"/>
      <c r="F9" s="1392"/>
      <c r="G9" s="1392"/>
      <c r="H9" s="1393"/>
      <c r="I9" s="1394">
        <f t="shared" si="0"/>
        <v>0</v>
      </c>
    </row>
    <row r="10" spans="1:9">
      <c r="A10" s="2996"/>
      <c r="B10" s="2998" t="s">
        <v>988</v>
      </c>
      <c r="C10" s="2998"/>
      <c r="D10" s="1395">
        <v>527</v>
      </c>
      <c r="E10" s="1395" t="e">
        <f>ROUND(D1*10000/D10/H9,0)</f>
        <v>#DIV/0!</v>
      </c>
      <c r="F10" s="1396"/>
      <c r="G10" s="1396"/>
      <c r="H10" s="1397"/>
      <c r="I10" s="1398">
        <f>SUM(I3:I9)</f>
        <v>0</v>
      </c>
    </row>
    <row r="11" spans="1:9" ht="14.25">
      <c r="A11" s="2996" t="s">
        <v>1026</v>
      </c>
      <c r="B11" s="2997" t="s">
        <v>989</v>
      </c>
      <c r="C11" s="2997"/>
      <c r="D11" s="1391" t="s">
        <v>990</v>
      </c>
      <c r="E11" s="1391" t="s">
        <v>991</v>
      </c>
      <c r="F11" s="1392" t="s">
        <v>992</v>
      </c>
      <c r="G11" s="1392" t="s">
        <v>979</v>
      </c>
      <c r="H11" s="1399" t="s">
        <v>993</v>
      </c>
      <c r="I11" s="1390" t="s">
        <v>980</v>
      </c>
    </row>
    <row r="12" spans="1:9">
      <c r="A12" s="2996"/>
      <c r="B12" s="2997" t="s">
        <v>994</v>
      </c>
      <c r="C12" s="2997"/>
      <c r="D12" s="1391"/>
      <c r="E12" s="1391"/>
      <c r="F12" s="1392"/>
      <c r="G12" s="1393"/>
      <c r="H12" s="1400"/>
      <c r="I12" s="1390">
        <f>ROUND(D12*E12*F12*G12/10000,0)</f>
        <v>0</v>
      </c>
    </row>
    <row r="13" spans="1:9">
      <c r="A13" s="2996"/>
      <c r="B13" s="2997" t="s">
        <v>995</v>
      </c>
      <c r="C13" s="2997"/>
      <c r="D13" s="1391"/>
      <c r="E13" s="1391"/>
      <c r="F13" s="1392"/>
      <c r="G13" s="1393"/>
      <c r="H13" s="1400"/>
      <c r="I13" s="1390">
        <f>ROUND(D13*E13*F13*G13/10000,0)</f>
        <v>0</v>
      </c>
    </row>
    <row r="14" spans="1:9">
      <c r="A14" s="2996"/>
      <c r="B14" s="2997" t="s">
        <v>996</v>
      </c>
      <c r="C14" s="2997"/>
      <c r="D14" s="1391"/>
      <c r="E14" s="1391"/>
      <c r="F14" s="1392"/>
      <c r="G14" s="1393"/>
      <c r="H14" s="1400"/>
      <c r="I14" s="1390">
        <f>ROUND(D14*E14*F14*G14/10000,0)</f>
        <v>0</v>
      </c>
    </row>
    <row r="15" spans="1:9">
      <c r="A15" s="2996"/>
      <c r="B15" s="2998" t="s">
        <v>988</v>
      </c>
      <c r="C15" s="2998"/>
      <c r="D15" s="1395"/>
      <c r="E15" s="1395">
        <f>SUM(E12:E14)</f>
        <v>0</v>
      </c>
      <c r="F15" s="1396"/>
      <c r="G15" s="1393"/>
      <c r="H15" s="1400"/>
      <c r="I15" s="1401">
        <f>SUM(I12:I14)</f>
        <v>0</v>
      </c>
    </row>
    <row r="16" spans="1:9" ht="24">
      <c r="A16" s="2996" t="s">
        <v>1027</v>
      </c>
      <c r="B16" s="2997" t="s">
        <v>997</v>
      </c>
      <c r="C16" s="2997"/>
      <c r="D16" s="1391" t="s">
        <v>975</v>
      </c>
      <c r="E16" s="1402" t="s">
        <v>998</v>
      </c>
      <c r="F16" s="1392" t="s">
        <v>999</v>
      </c>
      <c r="G16" s="1393" t="s">
        <v>979</v>
      </c>
      <c r="H16" s="1399" t="s">
        <v>993</v>
      </c>
      <c r="I16" s="1390" t="s">
        <v>980</v>
      </c>
    </row>
    <row r="17" spans="1:9" ht="14.25">
      <c r="A17" s="2996"/>
      <c r="B17" s="2997" t="s">
        <v>1000</v>
      </c>
      <c r="C17" s="2997"/>
      <c r="D17" s="1391"/>
      <c r="E17" s="1391"/>
      <c r="F17" s="1392"/>
      <c r="G17" s="1393"/>
      <c r="H17" s="1403"/>
      <c r="I17" s="1404">
        <f>ROUND(D17*E17*F17*G17/10000,0)</f>
        <v>0</v>
      </c>
    </row>
    <row r="18" spans="1:9" ht="14.25">
      <c r="A18" s="2996"/>
      <c r="B18" s="2997" t="s">
        <v>1001</v>
      </c>
      <c r="C18" s="2997"/>
      <c r="D18" s="1391"/>
      <c r="E18" s="1391"/>
      <c r="F18" s="1392"/>
      <c r="G18" s="1393"/>
      <c r="H18" s="1403"/>
      <c r="I18" s="1404">
        <f>ROUND(D18*E18*F18*G18/10000,0)</f>
        <v>0</v>
      </c>
    </row>
    <row r="19" spans="1:9" ht="14.25">
      <c r="A19" s="2996"/>
      <c r="B19" s="2997" t="s">
        <v>1002</v>
      </c>
      <c r="C19" s="2997"/>
      <c r="D19" s="1391"/>
      <c r="E19" s="1391"/>
      <c r="F19" s="1392"/>
      <c r="G19" s="1393"/>
      <c r="H19" s="1403"/>
      <c r="I19" s="1404">
        <f>ROUND(D19*E19*F19*G19/10000,0)</f>
        <v>0</v>
      </c>
    </row>
    <row r="20" spans="1:9">
      <c r="A20" s="2996"/>
      <c r="B20" s="2998" t="s">
        <v>988</v>
      </c>
      <c r="C20" s="2998"/>
      <c r="D20" s="1395">
        <f>SUM(D17:D19)</f>
        <v>0</v>
      </c>
      <c r="E20" s="1395"/>
      <c r="F20" s="1396"/>
      <c r="G20" s="1393"/>
      <c r="H20" s="1400"/>
      <c r="I20" s="1401">
        <f>SUM(I17:I19)</f>
        <v>0</v>
      </c>
    </row>
    <row r="21" spans="1:9">
      <c r="A21" s="2996" t="s">
        <v>1028</v>
      </c>
      <c r="B21" s="2999"/>
      <c r="C21" s="2999"/>
      <c r="D21" s="2999"/>
      <c r="E21" s="2999"/>
      <c r="F21" s="2999"/>
      <c r="G21" s="2999"/>
      <c r="H21" s="1405">
        <v>0.1</v>
      </c>
      <c r="I21" s="1398">
        <f>ROUND(I10*H21,0)</f>
        <v>0</v>
      </c>
    </row>
    <row r="22" spans="1:9" ht="14.25">
      <c r="A22" s="3000" t="s">
        <v>1029</v>
      </c>
      <c r="B22" s="3001"/>
      <c r="C22" s="3002"/>
      <c r="D22" s="1406" t="s">
        <v>1003</v>
      </c>
      <c r="E22" s="1406" t="s">
        <v>1004</v>
      </c>
      <c r="F22" s="1407" t="s">
        <v>979</v>
      </c>
      <c r="G22" s="1407" t="s">
        <v>1005</v>
      </c>
      <c r="H22" s="1399" t="s">
        <v>993</v>
      </c>
      <c r="I22" s="1390" t="s">
        <v>980</v>
      </c>
    </row>
    <row r="23" spans="1:9" ht="14.25" thickBot="1">
      <c r="A23" s="3003"/>
      <c r="B23" s="3004"/>
      <c r="C23" s="3005"/>
      <c r="D23" s="1408"/>
      <c r="E23" s="1408"/>
      <c r="F23" s="1408"/>
      <c r="G23" s="1409"/>
      <c r="H23" s="1410"/>
      <c r="I23" s="1411">
        <f>ROUND(E23*D23*F23*(1-G23)/10000,0)</f>
        <v>0</v>
      </c>
    </row>
    <row r="26" spans="1:9">
      <c r="A26" s="1412" t="s">
        <v>1006</v>
      </c>
      <c r="B26" s="1412"/>
      <c r="C26" s="1412"/>
      <c r="D26" s="1412"/>
      <c r="E26" s="2993">
        <f>C27-C30-C31-C32</f>
        <v>0</v>
      </c>
      <c r="F26" s="2993"/>
      <c r="G26" s="2993"/>
      <c r="H26" s="1829" t="s">
        <v>1219</v>
      </c>
    </row>
    <row r="27" spans="1:9">
      <c r="A27" s="1413">
        <v>1</v>
      </c>
      <c r="B27" s="1414" t="s">
        <v>1007</v>
      </c>
      <c r="C27" s="1414">
        <f>C28+C29</f>
        <v>0</v>
      </c>
      <c r="D27" s="1414"/>
      <c r="E27" s="2994"/>
      <c r="F27" s="2994"/>
      <c r="G27" s="2994"/>
    </row>
    <row r="28" spans="1:9">
      <c r="A28" s="1415" t="s">
        <v>1008</v>
      </c>
      <c r="B28" s="1414" t="s">
        <v>1009</v>
      </c>
      <c r="C28" s="1414"/>
      <c r="D28" s="1414"/>
      <c r="E28" s="2994"/>
      <c r="F28" s="2994"/>
      <c r="G28" s="2994"/>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5"/>
      <c r="F32" s="2995"/>
      <c r="G32" s="2995"/>
    </row>
    <row r="33" spans="1:7" hidden="1">
      <c r="A33" s="2990" t="s">
        <v>1018</v>
      </c>
      <c r="B33" s="2991"/>
      <c r="C33" s="2991"/>
      <c r="D33" s="2992"/>
      <c r="E33" s="2993"/>
      <c r="F33" s="2993"/>
      <c r="G33" s="2993"/>
    </row>
    <row r="34" spans="1:7" hidden="1">
      <c r="A34" s="1417">
        <v>1</v>
      </c>
      <c r="B34" s="1414" t="s">
        <v>1019</v>
      </c>
      <c r="C34" s="1414"/>
      <c r="D34" s="1414"/>
      <c r="E34" s="2994"/>
      <c r="F34" s="2994"/>
      <c r="G34" s="2994"/>
    </row>
    <row r="35" spans="1:7" hidden="1">
      <c r="A35" s="1417">
        <v>2</v>
      </c>
      <c r="B35" s="1414" t="s">
        <v>1020</v>
      </c>
      <c r="C35" s="1414"/>
      <c r="D35" s="1414"/>
      <c r="E35" s="2994"/>
      <c r="F35" s="2994"/>
      <c r="G35" s="2994"/>
    </row>
    <row r="36" spans="1:7" hidden="1">
      <c r="A36" s="1417">
        <v>3</v>
      </c>
      <c r="B36" s="1414" t="s">
        <v>1021</v>
      </c>
      <c r="C36" s="1414"/>
      <c r="D36" s="1414"/>
      <c r="E36" s="2994"/>
      <c r="F36" s="2994"/>
      <c r="G36" s="2994"/>
    </row>
    <row r="37" spans="1:7" hidden="1">
      <c r="A37" s="1417">
        <v>4</v>
      </c>
      <c r="B37" s="1414" t="s">
        <v>1022</v>
      </c>
      <c r="C37" s="1414"/>
      <c r="D37" s="1414"/>
      <c r="E37" s="2994"/>
      <c r="F37" s="2994"/>
      <c r="G37" s="2994"/>
    </row>
    <row r="38" spans="1:7" hidden="1">
      <c r="A38" s="2990" t="s">
        <v>1023</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4" t="s">
        <v>2307</v>
      </c>
      <c r="D4" s="3015"/>
      <c r="E4" s="3015"/>
      <c r="F4" s="3015"/>
      <c r="G4" s="3015"/>
      <c r="H4" s="3015"/>
      <c r="I4" s="3015"/>
      <c r="J4" s="3015"/>
      <c r="K4" s="3015"/>
      <c r="L4" s="3015"/>
      <c r="M4" s="3015"/>
      <c r="N4" s="3015"/>
      <c r="O4" s="3015"/>
      <c r="P4" s="3015"/>
      <c r="Q4" s="3015"/>
      <c r="R4" s="3015"/>
      <c r="S4" s="301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9" zoomScale="90" zoomScaleNormal="90" workbookViewId="0">
      <selection activeCell="B76" sqref="B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2823</v>
      </c>
      <c r="D1" s="2381"/>
      <c r="E1" s="2382" t="s">
        <v>2827</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1062903</v>
      </c>
      <c r="C2" s="163" t="str">
        <f>'数据-取费表'!B3</f>
        <v>元</v>
      </c>
      <c r="D2" s="2384" t="s">
        <v>1254</v>
      </c>
      <c r="E2" s="1843">
        <f ca="1">SUMIF(INDIRECT("'"&amp;G2&amp;"'"&amp;"!A:A"),"承租人权益价值",INDIRECT("'"&amp;G2&amp;"'"&amp;"!c:c"))</f>
        <v>-424328</v>
      </c>
      <c r="F2" s="2385" t="str">
        <f>C2</f>
        <v>元</v>
      </c>
      <c r="G2" s="2386" t="s">
        <v>2828</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17819</v>
      </c>
      <c r="C3" s="379" t="s">
        <v>2339</v>
      </c>
      <c r="D3" s="378">
        <f>IF(C1="仅计算典型户型",'数据-取费表'!E5,'数据-取费表'!B5)</f>
        <v>59.65</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50" t="s">
        <v>2341</v>
      </c>
      <c r="D4" s="3051"/>
      <c r="E4" s="3052" t="s">
        <v>2342</v>
      </c>
      <c r="F4" s="3053"/>
      <c r="G4" s="3050" t="s">
        <v>2343</v>
      </c>
      <c r="H4" s="3051"/>
      <c r="I4" s="3050" t="s">
        <v>2344</v>
      </c>
      <c r="J4" s="3051"/>
      <c r="K4" s="2395"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7" t="s">
        <v>2343</v>
      </c>
      <c r="AC4" s="3047" t="s">
        <v>2344</v>
      </c>
    </row>
    <row r="5" spans="1:29" ht="44.25" customHeight="1" thickBot="1">
      <c r="A5" s="383"/>
      <c r="B5" s="384"/>
      <c r="C5" s="3061" t="s">
        <v>2915</v>
      </c>
      <c r="D5" s="3062"/>
      <c r="E5" s="3035" t="s">
        <v>2916</v>
      </c>
      <c r="F5" s="3036"/>
      <c r="G5" s="3035" t="s">
        <v>2902</v>
      </c>
      <c r="H5" s="3036"/>
      <c r="I5" s="3035" t="s">
        <v>2902</v>
      </c>
      <c r="J5" s="3036"/>
      <c r="K5" s="2396"/>
      <c r="L5" s="1243"/>
      <c r="M5" s="1244"/>
      <c r="N5" s="1244"/>
      <c r="O5" s="1244"/>
      <c r="P5" s="3056"/>
      <c r="Q5" s="3057"/>
      <c r="R5" s="3041"/>
      <c r="S5" s="3042"/>
      <c r="T5" s="3041"/>
      <c r="U5" s="3042"/>
      <c r="V5" s="3060"/>
      <c r="W5" s="3060"/>
      <c r="X5" s="1900"/>
      <c r="Y5" s="3041"/>
      <c r="Z5" s="3042"/>
      <c r="AA5" s="3048"/>
      <c r="AB5" s="3048"/>
      <c r="AC5" s="3048"/>
    </row>
    <row r="6" spans="1:29" ht="15.75" hidden="1" thickBot="1">
      <c r="A6" s="385"/>
      <c r="B6" s="386"/>
      <c r="C6" s="3033" t="s">
        <v>2351</v>
      </c>
      <c r="D6" s="3034"/>
      <c r="E6" s="3063" t="s">
        <v>2351</v>
      </c>
      <c r="F6" s="3064"/>
      <c r="G6" s="3033" t="s">
        <v>2351</v>
      </c>
      <c r="H6" s="3034"/>
      <c r="I6" s="3033" t="s">
        <v>2351</v>
      </c>
      <c r="J6" s="3034"/>
      <c r="K6" s="2396"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v>43252</v>
      </c>
      <c r="F7" s="392">
        <f>SUMIF(58:58,YEAR(E7)&amp;"-"&amp;MONTH(E7),59:59)</f>
        <v>100</v>
      </c>
      <c r="G7" s="391">
        <v>43252</v>
      </c>
      <c r="H7" s="390">
        <f>SUMIF(58:58,YEAR(G7)&amp;"-"&amp;MONTH(G7),59:59)</f>
        <v>100</v>
      </c>
      <c r="I7" s="391">
        <v>43252</v>
      </c>
      <c r="J7" s="390">
        <f>SUMIF(58:58,YEAR(I7)&amp;"-"&amp;MONTH(I7),59:59)</f>
        <v>100</v>
      </c>
      <c r="K7" s="2397"/>
      <c r="L7" s="1245"/>
      <c r="M7" s="1246"/>
      <c r="N7" s="1246"/>
      <c r="O7" s="1246"/>
      <c r="P7" s="3037" t="s">
        <v>2354</v>
      </c>
      <c r="Q7" s="3045"/>
      <c r="R7" s="749" t="s">
        <v>34</v>
      </c>
      <c r="S7" s="750">
        <f t="shared" ref="S7:S15" si="0">F7</f>
        <v>100</v>
      </c>
      <c r="T7" s="749" t="s">
        <v>34</v>
      </c>
      <c r="U7" s="750">
        <f t="shared" ref="U7:U15" si="1">H7</f>
        <v>100</v>
      </c>
      <c r="V7" s="749" t="s">
        <v>34</v>
      </c>
      <c r="W7" s="750">
        <f t="shared" ref="W7:W15" si="2">J7</f>
        <v>100</v>
      </c>
      <c r="X7" s="751"/>
      <c r="Y7" s="3037" t="s">
        <v>2354</v>
      </c>
      <c r="Z7" s="3038"/>
      <c r="AA7" s="752">
        <f>D7/F7</f>
        <v>1</v>
      </c>
      <c r="AB7" s="752">
        <f>D7/H7</f>
        <v>1</v>
      </c>
      <c r="AC7" s="752">
        <f>D7/J7</f>
        <v>1</v>
      </c>
    </row>
    <row r="8" spans="1:29" s="35" customFormat="1" ht="15.75" thickBot="1">
      <c r="A8" s="387" t="s">
        <v>2355</v>
      </c>
      <c r="B8" s="388"/>
      <c r="C8" s="394" t="s">
        <v>2356</v>
      </c>
      <c r="D8" s="390">
        <v>100</v>
      </c>
      <c r="E8" s="2398" t="s">
        <v>2903</v>
      </c>
      <c r="F8" s="392">
        <f>SUMIF(61:61,E8,62:62)-SUMIF(61:61,C8,62:62)+100</f>
        <v>102</v>
      </c>
      <c r="G8" s="394" t="s">
        <v>2903</v>
      </c>
      <c r="H8" s="390">
        <f>SUMIF(61:61,G8,62:62)-SUMIF(61:61,C8,62:62)+100</f>
        <v>102</v>
      </c>
      <c r="I8" s="2398" t="s">
        <v>2903</v>
      </c>
      <c r="J8" s="390">
        <f>SUMIF(61:61,I8,62:62)-SUMIF(61:61,C8,62:62)+100</f>
        <v>102</v>
      </c>
      <c r="K8" s="2397"/>
      <c r="L8" s="1245"/>
      <c r="M8" s="1246"/>
      <c r="N8" s="1246"/>
      <c r="O8" s="1246"/>
      <c r="P8" s="3037" t="s">
        <v>2357</v>
      </c>
      <c r="Q8" s="3038"/>
      <c r="R8" s="749" t="s">
        <v>34</v>
      </c>
      <c r="S8" s="750">
        <f t="shared" si="0"/>
        <v>102</v>
      </c>
      <c r="T8" s="749" t="s">
        <v>34</v>
      </c>
      <c r="U8" s="750">
        <f t="shared" si="1"/>
        <v>102</v>
      </c>
      <c r="V8" s="749" t="s">
        <v>34</v>
      </c>
      <c r="W8" s="750">
        <f t="shared" si="2"/>
        <v>102</v>
      </c>
      <c r="X8" s="751"/>
      <c r="Y8" s="3037" t="s">
        <v>2357</v>
      </c>
      <c r="Z8" s="3038"/>
      <c r="AA8" s="752">
        <f t="shared" ref="AA8:AA46" si="3">D8/F8</f>
        <v>0.98039215686274506</v>
      </c>
      <c r="AB8" s="752">
        <f t="shared" ref="AB8:AB46" si="4">D8/H8</f>
        <v>0.98039215686274506</v>
      </c>
      <c r="AC8" s="752">
        <f t="shared" ref="AC8:AC46" si="5">D8/J8</f>
        <v>0.98039215686274506</v>
      </c>
    </row>
    <row r="9" spans="1:29" s="35" customFormat="1">
      <c r="A9" s="395" t="s">
        <v>2358</v>
      </c>
      <c r="B9" s="28" t="s">
        <v>2359</v>
      </c>
      <c r="C9" s="2754" t="s">
        <v>2918</v>
      </c>
      <c r="D9" s="51">
        <v>100</v>
      </c>
      <c r="E9" s="397" t="s">
        <v>2917</v>
      </c>
      <c r="F9" s="398">
        <f>SUMIF(63:63,E9,64:64)-SUMIF(63:63,C9,64:64)+100</f>
        <v>100</v>
      </c>
      <c r="G9" s="399" t="s">
        <v>2917</v>
      </c>
      <c r="H9" s="51">
        <f>SUMIF(63:63,G9,64:64)-SUMIF(63:63,C9,64:64)+100</f>
        <v>100</v>
      </c>
      <c r="I9" s="399" t="s">
        <v>2917</v>
      </c>
      <c r="J9" s="51">
        <f>SUMIF(63:63,I9,64:64)-SUMIF(63:63,C9,64:64)+100</f>
        <v>100</v>
      </c>
      <c r="K9" s="2397"/>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75" thickBot="1">
      <c r="A10" s="401"/>
      <c r="B10" s="402" t="s">
        <v>2362</v>
      </c>
      <c r="C10" s="403" t="s">
        <v>2920</v>
      </c>
      <c r="D10" s="52">
        <v>100</v>
      </c>
      <c r="E10" s="404" t="s">
        <v>2920</v>
      </c>
      <c r="F10" s="405">
        <f>SUMIF(65:65,E10,66:66)-SUMIF(65:65,C10,66:66)+100</f>
        <v>100</v>
      </c>
      <c r="G10" s="403" t="s">
        <v>2920</v>
      </c>
      <c r="H10" s="52">
        <f>SUMIF(65:65,G10,66:66)-SUMIF(65:65,C10,66:66)+100</f>
        <v>100</v>
      </c>
      <c r="I10" s="403" t="s">
        <v>2920</v>
      </c>
      <c r="J10" s="52">
        <f>SUMIF(65:65,I10,66:66)-SUMIF(65:65,C10,66:66)+100</f>
        <v>100</v>
      </c>
      <c r="K10" s="406">
        <v>2</v>
      </c>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46"/>
      <c r="Q11" s="1887" t="str">
        <f t="shared" si="6"/>
        <v>容积率</v>
      </c>
      <c r="R11" s="749" t="s">
        <v>28</v>
      </c>
      <c r="S11" s="750">
        <f t="shared" si="0"/>
        <v>100</v>
      </c>
      <c r="T11" s="749" t="s">
        <v>28</v>
      </c>
      <c r="U11" s="750">
        <f t="shared" si="1"/>
        <v>100</v>
      </c>
      <c r="V11" s="749" t="s">
        <v>28</v>
      </c>
      <c r="W11" s="750">
        <f t="shared" si="2"/>
        <v>100</v>
      </c>
      <c r="X11" s="751"/>
      <c r="Y11" s="2849"/>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46"/>
      <c r="Q12" s="1887">
        <f t="shared" si="6"/>
        <v>111</v>
      </c>
      <c r="R12" s="749" t="s">
        <v>28</v>
      </c>
      <c r="S12" s="750">
        <f t="shared" si="0"/>
        <v>100</v>
      </c>
      <c r="T12" s="749" t="s">
        <v>28</v>
      </c>
      <c r="U12" s="750">
        <f t="shared" si="1"/>
        <v>100</v>
      </c>
      <c r="V12" s="749" t="s">
        <v>28</v>
      </c>
      <c r="W12" s="750">
        <f t="shared" si="2"/>
        <v>100</v>
      </c>
      <c r="X12" s="751"/>
      <c r="Y12" s="2849"/>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46"/>
      <c r="Q13" s="1887">
        <f t="shared" si="6"/>
        <v>111</v>
      </c>
      <c r="R13" s="749" t="s">
        <v>28</v>
      </c>
      <c r="S13" s="750">
        <f t="shared" si="0"/>
        <v>100</v>
      </c>
      <c r="T13" s="749" t="s">
        <v>28</v>
      </c>
      <c r="U13" s="750">
        <f t="shared" si="1"/>
        <v>100</v>
      </c>
      <c r="V13" s="749" t="s">
        <v>28</v>
      </c>
      <c r="W13" s="750">
        <f t="shared" si="2"/>
        <v>100</v>
      </c>
      <c r="X13" s="751"/>
      <c r="Y13" s="2849"/>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46"/>
      <c r="Q14" s="1887">
        <f t="shared" si="6"/>
        <v>111</v>
      </c>
      <c r="R14" s="749" t="s">
        <v>28</v>
      </c>
      <c r="S14" s="750">
        <f t="shared" si="0"/>
        <v>100</v>
      </c>
      <c r="T14" s="749" t="s">
        <v>28</v>
      </c>
      <c r="U14" s="750">
        <f t="shared" si="1"/>
        <v>100</v>
      </c>
      <c r="V14" s="749" t="s">
        <v>28</v>
      </c>
      <c r="W14" s="750">
        <f t="shared" si="2"/>
        <v>100</v>
      </c>
      <c r="X14" s="751"/>
      <c r="Y14" s="2849"/>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估价对象周边有首创新悦都、原香小镇、万科长阳天地、九州溪雅苑等居住小区，小区规模和社区发展完善程度较好，综合评价居住社区成熟度较好</v>
      </c>
      <c r="D15" s="420">
        <v>100</v>
      </c>
      <c r="E15" s="2739" t="s">
        <v>2879</v>
      </c>
      <c r="F15" s="422">
        <f>SUMIF(76:76,E16,77:77)-SUMIF(76:76,C16,77:77)+100</f>
        <v>100</v>
      </c>
      <c r="G15" s="2739" t="s">
        <v>2879</v>
      </c>
      <c r="H15" s="420">
        <f>SUMIF(76:76,G16,77:77)-SUMIF(76:76,C16,77:77)+100</f>
        <v>100</v>
      </c>
      <c r="I15" s="2739" t="s">
        <v>2879</v>
      </c>
      <c r="J15" s="420">
        <f>SUMIF(76:76,I16,77:77)-SUMIF(76:76,C16,77:77)+100</f>
        <v>100</v>
      </c>
      <c r="K15" s="424">
        <v>1</v>
      </c>
      <c r="L15" s="1253"/>
      <c r="M15" s="1244"/>
      <c r="N15" s="1244"/>
      <c r="O15" s="1244"/>
      <c r="P15" s="3024" t="s">
        <v>2365</v>
      </c>
      <c r="Q15" s="1899" t="str">
        <f t="shared" si="6"/>
        <v>居住社区成熟度</v>
      </c>
      <c r="R15" s="753" t="s">
        <v>28</v>
      </c>
      <c r="S15" s="754">
        <f t="shared" si="0"/>
        <v>100</v>
      </c>
      <c r="T15" s="753" t="s">
        <v>28</v>
      </c>
      <c r="U15" s="754">
        <f t="shared" si="1"/>
        <v>100</v>
      </c>
      <c r="V15" s="753" t="s">
        <v>28</v>
      </c>
      <c r="W15" s="754">
        <f t="shared" si="2"/>
        <v>100</v>
      </c>
      <c r="X15" s="1900"/>
      <c r="Y15" s="3026"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25"/>
      <c r="Q16" s="1899"/>
      <c r="R16" s="753"/>
      <c r="S16" s="754"/>
      <c r="T16" s="753"/>
      <c r="U16" s="754"/>
      <c r="V16" s="753"/>
      <c r="W16" s="754"/>
      <c r="X16" s="1900"/>
      <c r="Y16" s="3027"/>
      <c r="Z16" s="1902"/>
      <c r="AA16" s="1903">
        <v>1</v>
      </c>
      <c r="AB16" s="1903">
        <v>1</v>
      </c>
      <c r="AC16" s="1903">
        <v>1</v>
      </c>
    </row>
    <row r="17" spans="1:29" ht="129.75" customHeight="1">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2752" t="s">
        <v>2887</v>
      </c>
      <c r="F17" s="433">
        <f>SUMIF(78:78,E18,79:79)-SUMIF(78:78,C18,79:79)+100</f>
        <v>100</v>
      </c>
      <c r="G17" s="2740" t="s">
        <v>2881</v>
      </c>
      <c r="H17" s="435">
        <f>SUMIF(78:78,G18,79:79)-SUMIF(78:78,C18,79:79)+100</f>
        <v>100</v>
      </c>
      <c r="I17" s="2740" t="s">
        <v>2881</v>
      </c>
      <c r="J17" s="435">
        <f>SUMIF(78:78,I18,79:79)-SUMIF(78:78,C18,79:79)+100</f>
        <v>100</v>
      </c>
      <c r="K17" s="424">
        <v>1</v>
      </c>
      <c r="L17" s="1253"/>
      <c r="M17" s="1244"/>
      <c r="N17" s="1244"/>
      <c r="O17" s="1244"/>
      <c r="P17" s="3025"/>
      <c r="Q17" s="1899" t="str">
        <f>B17</f>
        <v>交通便捷度</v>
      </c>
      <c r="R17" s="753" t="s">
        <v>28</v>
      </c>
      <c r="S17" s="754">
        <f>F17</f>
        <v>100</v>
      </c>
      <c r="T17" s="753" t="s">
        <v>28</v>
      </c>
      <c r="U17" s="754">
        <f>H17</f>
        <v>100</v>
      </c>
      <c r="V17" s="753" t="s">
        <v>28</v>
      </c>
      <c r="W17" s="754">
        <f>J17</f>
        <v>100</v>
      </c>
      <c r="X17" s="1900"/>
      <c r="Y17" s="3027"/>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2829</v>
      </c>
      <c r="F19" s="439">
        <f>SUMIF(80:80,E20,81:81)-SUMIF(80:80,C20,81:81)+100</f>
        <v>100</v>
      </c>
      <c r="G19" s="2741" t="s">
        <v>2830</v>
      </c>
      <c r="H19" s="430">
        <f>SUMIF(80:80,G20,81:81)-SUMIF(80:80,C20,81:81)+100</f>
        <v>100</v>
      </c>
      <c r="I19" s="2741" t="s">
        <v>2829</v>
      </c>
      <c r="J19" s="430">
        <f>SUMIF(80:80,I20,81:81)-SUMIF(80:80,C20,81:81)+100</f>
        <v>100</v>
      </c>
      <c r="K19" s="424">
        <v>1</v>
      </c>
      <c r="L19" s="1253"/>
      <c r="M19" s="1244"/>
      <c r="N19" s="1244"/>
      <c r="O19" s="1244"/>
      <c r="P19" s="3025"/>
      <c r="Q19" s="1899" t="str">
        <f>B19</f>
        <v>公共配套设施</v>
      </c>
      <c r="R19" s="753" t="s">
        <v>28</v>
      </c>
      <c r="S19" s="754">
        <f>F19</f>
        <v>100</v>
      </c>
      <c r="T19" s="753" t="s">
        <v>28</v>
      </c>
      <c r="U19" s="754">
        <f>H19</f>
        <v>100</v>
      </c>
      <c r="V19" s="753" t="s">
        <v>28</v>
      </c>
      <c r="W19" s="754">
        <f>J19</f>
        <v>100</v>
      </c>
      <c r="X19" s="1900"/>
      <c r="Y19" s="3027"/>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1751</v>
      </c>
      <c r="C21" s="2406" t="str">
        <f>估价对象房地状况!C8</f>
        <v>估价对象所在区域基础设施水平——七通</v>
      </c>
      <c r="D21" s="435">
        <v>100</v>
      </c>
      <c r="E21" s="2741" t="s">
        <v>2831</v>
      </c>
      <c r="F21" s="439">
        <f>SUMIF(82:82,E22,83:83)-SUMIF(82:82,C22,83:83)+100</f>
        <v>100</v>
      </c>
      <c r="G21" s="2741" t="s">
        <v>2822</v>
      </c>
      <c r="H21" s="430">
        <f>SUMIF(82:82,G22,83:83)-SUMIF(82:82,C22,83:83)+100</f>
        <v>100</v>
      </c>
      <c r="I21" s="2741" t="s">
        <v>2832</v>
      </c>
      <c r="J21" s="430">
        <f>SUMIF(82:82,I22,83:83)-SUMIF(82:82,C22,83:83)+100</f>
        <v>100</v>
      </c>
      <c r="K21" s="424">
        <v>1</v>
      </c>
      <c r="L21" s="1253"/>
      <c r="M21" s="1244"/>
      <c r="N21" s="1244"/>
      <c r="O21" s="1244"/>
      <c r="P21" s="3025"/>
      <c r="Q21" s="1899" t="str">
        <f>B21</f>
        <v>基础设施水平</v>
      </c>
      <c r="R21" s="753" t="s">
        <v>28</v>
      </c>
      <c r="S21" s="754">
        <f>F21</f>
        <v>100</v>
      </c>
      <c r="T21" s="753" t="s">
        <v>28</v>
      </c>
      <c r="U21" s="754">
        <f>H21</f>
        <v>100</v>
      </c>
      <c r="V21" s="753" t="s">
        <v>28</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t="s">
        <v>2833</v>
      </c>
      <c r="D22" s="427"/>
      <c r="E22" s="426" t="s">
        <v>2833</v>
      </c>
      <c r="F22" s="429"/>
      <c r="G22" s="426" t="s">
        <v>2833</v>
      </c>
      <c r="H22" s="427"/>
      <c r="I22" s="426" t="s">
        <v>2833</v>
      </c>
      <c r="J22" s="427"/>
      <c r="K22" s="2409"/>
      <c r="L22" s="1253"/>
      <c r="M22" s="1244"/>
      <c r="N22" s="1244"/>
      <c r="O22" s="1244"/>
      <c r="P22" s="3025"/>
      <c r="Q22" s="1899"/>
      <c r="R22" s="753"/>
      <c r="S22" s="754"/>
      <c r="T22" s="753"/>
      <c r="U22" s="754"/>
      <c r="V22" s="753"/>
      <c r="W22" s="754"/>
      <c r="X22" s="1900"/>
      <c r="Y22" s="3027"/>
      <c r="Z22" s="1902"/>
      <c r="AA22" s="1903">
        <v>1</v>
      </c>
      <c r="AB22" s="1903">
        <v>1</v>
      </c>
      <c r="AC22" s="1903">
        <v>1</v>
      </c>
    </row>
    <row r="23" spans="1:29" ht="84.75" customHeight="1">
      <c r="A23" s="408"/>
      <c r="B23" s="431" t="s">
        <v>1755</v>
      </c>
      <c r="C23" s="2406" t="str">
        <f>估价对象房地状况!C9</f>
        <v>自然环境：长阳公园等；人文环境：国福东旭高尔夫练习场等，综合评价环境状况一般</v>
      </c>
      <c r="D23" s="430">
        <v>100</v>
      </c>
      <c r="E23" s="2742" t="s">
        <v>2884</v>
      </c>
      <c r="F23" s="433">
        <f>SUMIF(84:84,E24,85:85)-SUMIF(84:84,C24,85:85)+100</f>
        <v>100</v>
      </c>
      <c r="G23" s="2742" t="s">
        <v>2884</v>
      </c>
      <c r="H23" s="430">
        <f>SUMIF(84:84,G24,85:85)-SUMIF(84:84,C24,85:85)+100</f>
        <v>100</v>
      </c>
      <c r="I23" s="2742" t="s">
        <v>2884</v>
      </c>
      <c r="J23" s="430">
        <f>SUMIF(84:84,I24,85:85)-SUMIF(84:84,C24,85:85)+100</f>
        <v>100</v>
      </c>
      <c r="K23" s="424">
        <v>1</v>
      </c>
      <c r="L23" s="1253"/>
      <c r="M23" s="1244"/>
      <c r="N23" s="1244"/>
      <c r="O23" s="1244"/>
      <c r="P23" s="3025"/>
      <c r="Q23" s="1899" t="str">
        <f>B23</f>
        <v>自然及人文环境</v>
      </c>
      <c r="R23" s="753" t="s">
        <v>28</v>
      </c>
      <c r="S23" s="754">
        <f>F23</f>
        <v>100</v>
      </c>
      <c r="T23" s="753" t="s">
        <v>28</v>
      </c>
      <c r="U23" s="754">
        <f>H23</f>
        <v>100</v>
      </c>
      <c r="V23" s="753" t="s">
        <v>28</v>
      </c>
      <c r="W23" s="754">
        <f>J23</f>
        <v>100</v>
      </c>
      <c r="X23" s="1900"/>
      <c r="Y23" s="3027"/>
      <c r="Z23" s="1902" t="str">
        <f>Q23</f>
        <v>自然及人文环境</v>
      </c>
      <c r="AA23" s="1903">
        <f t="shared" si="3"/>
        <v>1</v>
      </c>
      <c r="AB23" s="1903">
        <f t="shared" si="4"/>
        <v>1</v>
      </c>
      <c r="AC23" s="1903">
        <f t="shared" si="5"/>
        <v>1</v>
      </c>
    </row>
    <row r="24" spans="1:29" ht="15">
      <c r="A24" s="408"/>
      <c r="B24" s="436"/>
      <c r="C24" s="426" t="s">
        <v>31</v>
      </c>
      <c r="D24" s="427"/>
      <c r="E24" s="428" t="s">
        <v>31</v>
      </c>
      <c r="F24" s="429"/>
      <c r="G24" s="2404" t="s">
        <v>31</v>
      </c>
      <c r="H24" s="427"/>
      <c r="I24" s="428" t="s">
        <v>31</v>
      </c>
      <c r="J24" s="427"/>
      <c r="K24" s="2405"/>
      <c r="L24" s="1253"/>
      <c r="M24" s="1244"/>
      <c r="N24" s="1244"/>
      <c r="O24" s="1244"/>
      <c r="P24" s="3025"/>
      <c r="Q24" s="1899"/>
      <c r="R24" s="753"/>
      <c r="S24" s="754"/>
      <c r="T24" s="753"/>
      <c r="U24" s="754"/>
      <c r="V24" s="753"/>
      <c r="W24" s="754"/>
      <c r="X24" s="1900"/>
      <c r="Y24" s="3027"/>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25"/>
      <c r="Q25" s="1899" t="str">
        <f t="shared" ref="Q25:Q46" si="11">B25</f>
        <v>楼层-1</v>
      </c>
      <c r="R25" s="753" t="s">
        <v>28</v>
      </c>
      <c r="S25" s="754">
        <f>F25</f>
        <v>100</v>
      </c>
      <c r="T25" s="753" t="s">
        <v>28</v>
      </c>
      <c r="U25" s="754">
        <f>H25</f>
        <v>100</v>
      </c>
      <c r="V25" s="753" t="s">
        <v>28</v>
      </c>
      <c r="W25" s="754">
        <f>J25</f>
        <v>100</v>
      </c>
      <c r="X25" s="1900"/>
      <c r="Y25" s="3027"/>
      <c r="Z25" s="1902" t="str">
        <f>Q25</f>
        <v>楼层-1</v>
      </c>
      <c r="AA25" s="1903">
        <f t="shared" si="3"/>
        <v>1</v>
      </c>
      <c r="AB25" s="1903">
        <f t="shared" si="4"/>
        <v>1</v>
      </c>
      <c r="AC25" s="1903">
        <f t="shared" si="5"/>
        <v>1</v>
      </c>
    </row>
    <row r="26" spans="1:29" ht="15">
      <c r="A26" s="408"/>
      <c r="B26" s="402" t="s">
        <v>2367</v>
      </c>
      <c r="C26" s="441" t="s">
        <v>2892</v>
      </c>
      <c r="D26" s="415">
        <v>100</v>
      </c>
      <c r="E26" s="2410" t="s">
        <v>2905</v>
      </c>
      <c r="F26" s="442">
        <f>SUMIF(88:88,E26,89:89)-SUMIF(88:88,C26,89:89)+100</f>
        <v>93</v>
      </c>
      <c r="G26" s="2411" t="s">
        <v>2899</v>
      </c>
      <c r="H26" s="415">
        <f>SUMIF(88:88,G26,89:89)-SUMIF(88:88,C26,89:89)+100</f>
        <v>94</v>
      </c>
      <c r="I26" s="2410" t="s">
        <v>2898</v>
      </c>
      <c r="J26" s="415">
        <f>SUMIF(88:88,I26,89:89)-SUMIF(88:88,C26,89:89)+100</f>
        <v>98</v>
      </c>
      <c r="K26" s="406">
        <v>1</v>
      </c>
      <c r="L26" s="1253"/>
      <c r="M26" s="1244"/>
      <c r="N26" s="1244"/>
      <c r="O26" s="1244"/>
      <c r="P26" s="3025"/>
      <c r="Q26" s="1899" t="str">
        <f t="shared" si="11"/>
        <v>朝向</v>
      </c>
      <c r="R26" s="753" t="s">
        <v>28</v>
      </c>
      <c r="S26" s="754">
        <f>F26</f>
        <v>93</v>
      </c>
      <c r="T26" s="753" t="s">
        <v>28</v>
      </c>
      <c r="U26" s="754">
        <f>H26</f>
        <v>94</v>
      </c>
      <c r="V26" s="753" t="s">
        <v>28</v>
      </c>
      <c r="W26" s="754">
        <f>J26</f>
        <v>98</v>
      </c>
      <c r="X26" s="1900"/>
      <c r="Y26" s="3027"/>
      <c r="Z26" s="1902" t="str">
        <f>Q26</f>
        <v>朝向</v>
      </c>
      <c r="AA26" s="1903">
        <f t="shared" si="3"/>
        <v>1.075268817204301</v>
      </c>
      <c r="AB26" s="1903">
        <f t="shared" si="4"/>
        <v>1.0638297872340425</v>
      </c>
      <c r="AC26" s="1903">
        <f t="shared" si="5"/>
        <v>1.0204081632653061</v>
      </c>
    </row>
    <row r="27" spans="1:29" s="35" customFormat="1" ht="15">
      <c r="A27" s="411"/>
      <c r="B27" s="2399" t="s">
        <v>2368</v>
      </c>
      <c r="C27" s="2751" t="s">
        <v>2889</v>
      </c>
      <c r="D27" s="443">
        <v>100</v>
      </c>
      <c r="E27" s="2751" t="s">
        <v>2888</v>
      </c>
      <c r="F27" s="445">
        <f>SUMIF(90:90,E27,91:91)-SUMIF(90:90,C27,91:91)+100</f>
        <v>100</v>
      </c>
      <c r="G27" s="2751" t="s">
        <v>2888</v>
      </c>
      <c r="H27" s="443">
        <f>SUMIF(90:90,G27,91:91)-SUMIF(90:90,C27,91:91)+100</f>
        <v>100</v>
      </c>
      <c r="I27" s="2751" t="s">
        <v>2888</v>
      </c>
      <c r="J27" s="443">
        <f>SUMIF(90:90,I27,91:91)-SUMIF(90:90,C27,91:91)+100</f>
        <v>100</v>
      </c>
      <c r="K27" s="2400"/>
      <c r="L27" s="1245"/>
      <c r="M27" s="1246"/>
      <c r="N27" s="1246"/>
      <c r="O27" s="1246"/>
      <c r="P27" s="3025"/>
      <c r="Q27" s="1887" t="str">
        <f t="shared" si="11"/>
        <v>道路级别</v>
      </c>
      <c r="R27" s="749" t="s">
        <v>28</v>
      </c>
      <c r="S27" s="750">
        <f>F27</f>
        <v>100</v>
      </c>
      <c r="T27" s="749" t="s">
        <v>28</v>
      </c>
      <c r="U27" s="750">
        <f>H27</f>
        <v>100</v>
      </c>
      <c r="V27" s="749" t="s">
        <v>28</v>
      </c>
      <c r="W27" s="750">
        <f>J27</f>
        <v>100</v>
      </c>
      <c r="X27" s="751"/>
      <c r="Y27" s="3027"/>
      <c r="Z27" s="23" t="str">
        <f>Q27</f>
        <v>道路级别</v>
      </c>
      <c r="AA27" s="1903">
        <f>D27/F27</f>
        <v>1</v>
      </c>
      <c r="AB27" s="1903">
        <f>D27/H27</f>
        <v>1</v>
      </c>
      <c r="AC27" s="1903">
        <f>D27/J27</f>
        <v>1</v>
      </c>
    </row>
    <row r="28" spans="1:29" ht="15.75" thickBot="1">
      <c r="A28" s="408"/>
      <c r="B28" s="2745" t="s">
        <v>2848</v>
      </c>
      <c r="C28" s="2753" t="s">
        <v>2893</v>
      </c>
      <c r="D28" s="415">
        <v>100</v>
      </c>
      <c r="E28" s="2753" t="s">
        <v>2906</v>
      </c>
      <c r="F28" s="442">
        <f>SUMIF(92:92,E28,93:93)-SUMIF(92:92,C28,93:93)+100</f>
        <v>104</v>
      </c>
      <c r="G28" s="2753" t="s">
        <v>2919</v>
      </c>
      <c r="H28" s="415">
        <f>SUMIF(92:92,G28,93:93)-SUMIF(92:92,C28,93:93)+100</f>
        <v>102</v>
      </c>
      <c r="I28" s="2757" t="s">
        <v>2907</v>
      </c>
      <c r="J28" s="415">
        <f>SUMIF(92:92,I28,93:93)-SUMIF(92:92,C28,93:93)+100</f>
        <v>102</v>
      </c>
      <c r="K28" s="2400"/>
      <c r="L28" s="1253"/>
      <c r="M28" s="1244"/>
      <c r="N28" s="1244"/>
      <c r="O28" s="1244"/>
      <c r="P28" s="3025"/>
      <c r="Q28" s="1899" t="str">
        <f t="shared" si="11"/>
        <v>楼层</v>
      </c>
      <c r="R28" s="753" t="s">
        <v>28</v>
      </c>
      <c r="S28" s="754">
        <f t="shared" ref="S28:S46" si="12">F28</f>
        <v>104</v>
      </c>
      <c r="T28" s="753" t="s">
        <v>28</v>
      </c>
      <c r="U28" s="754">
        <f t="shared" ref="U28:U46" si="13">H28</f>
        <v>102</v>
      </c>
      <c r="V28" s="753" t="s">
        <v>28</v>
      </c>
      <c r="W28" s="754">
        <f t="shared" ref="W28:W46" si="14">J28</f>
        <v>102</v>
      </c>
      <c r="X28" s="1900"/>
      <c r="Y28" s="3027"/>
      <c r="Z28" s="1902" t="str">
        <f t="shared" ref="Z28:Z46" si="15">Q28</f>
        <v>楼层</v>
      </c>
      <c r="AA28" s="1903">
        <f t="shared" si="3"/>
        <v>0.96153846153846156</v>
      </c>
      <c r="AB28" s="1903">
        <f t="shared" si="4"/>
        <v>0.98039215686274506</v>
      </c>
      <c r="AC28" s="1903">
        <f t="shared" si="5"/>
        <v>0.98039215686274506</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25"/>
      <c r="Q29" s="1899">
        <f t="shared" si="11"/>
        <v>111</v>
      </c>
      <c r="R29" s="753" t="s">
        <v>28</v>
      </c>
      <c r="S29" s="754">
        <f t="shared" si="12"/>
        <v>100</v>
      </c>
      <c r="T29" s="753" t="s">
        <v>28</v>
      </c>
      <c r="U29" s="754">
        <f t="shared" si="13"/>
        <v>100</v>
      </c>
      <c r="V29" s="753" t="s">
        <v>28</v>
      </c>
      <c r="W29" s="754">
        <f t="shared" si="14"/>
        <v>100</v>
      </c>
      <c r="X29" s="1900"/>
      <c r="Y29" s="3027"/>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25"/>
      <c r="Q30" s="1899">
        <f t="shared" si="11"/>
        <v>111</v>
      </c>
      <c r="R30" s="753" t="s">
        <v>28</v>
      </c>
      <c r="S30" s="754">
        <f t="shared" si="12"/>
        <v>100</v>
      </c>
      <c r="T30" s="753" t="s">
        <v>28</v>
      </c>
      <c r="U30" s="754">
        <f t="shared" si="13"/>
        <v>100</v>
      </c>
      <c r="V30" s="753" t="s">
        <v>28</v>
      </c>
      <c r="W30" s="754">
        <f t="shared" si="14"/>
        <v>100</v>
      </c>
      <c r="X30" s="1900"/>
      <c r="Y30" s="3027"/>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25"/>
      <c r="Q31" s="1899">
        <f t="shared" si="11"/>
        <v>111</v>
      </c>
      <c r="R31" s="753" t="s">
        <v>28</v>
      </c>
      <c r="S31" s="754">
        <f t="shared" si="12"/>
        <v>100</v>
      </c>
      <c r="T31" s="753" t="s">
        <v>28</v>
      </c>
      <c r="U31" s="754">
        <f t="shared" si="13"/>
        <v>100</v>
      </c>
      <c r="V31" s="753" t="s">
        <v>28</v>
      </c>
      <c r="W31" s="754">
        <f t="shared" si="14"/>
        <v>100</v>
      </c>
      <c r="X31" s="1900"/>
      <c r="Y31" s="3027"/>
      <c r="Z31" s="1902">
        <f t="shared" si="15"/>
        <v>111</v>
      </c>
      <c r="AA31" s="1903">
        <f t="shared" si="3"/>
        <v>1</v>
      </c>
      <c r="AB31" s="1903">
        <f t="shared" si="4"/>
        <v>1</v>
      </c>
      <c r="AC31" s="1903">
        <f t="shared" si="5"/>
        <v>1</v>
      </c>
    </row>
    <row r="32" spans="1:29" ht="15">
      <c r="A32" s="419" t="s">
        <v>2369</v>
      </c>
      <c r="B32" s="28" t="s">
        <v>2370</v>
      </c>
      <c r="C32" s="2413" t="s">
        <v>2894</v>
      </c>
      <c r="D32" s="448">
        <v>100</v>
      </c>
      <c r="E32" s="2414" t="s">
        <v>2894</v>
      </c>
      <c r="F32" s="442">
        <f>SUMIF(100:100,E32,101:101)-SUMIF(100:100,C32,101:101)+100</f>
        <v>100</v>
      </c>
      <c r="G32" s="2413" t="s">
        <v>2894</v>
      </c>
      <c r="H32" s="448">
        <f>SUMIF(100:100,G32,101:101)-SUMIF(100:100,C32,101:101)+100</f>
        <v>100</v>
      </c>
      <c r="I32" s="2413" t="s">
        <v>2894</v>
      </c>
      <c r="J32" s="415">
        <f>SUMIF(100:100,I32,101:101)-SUMIF(100:100,C32,101:101)+100</f>
        <v>100</v>
      </c>
      <c r="K32" s="406">
        <v>2</v>
      </c>
      <c r="L32" s="1253"/>
      <c r="M32" s="1244"/>
      <c r="N32" s="1244"/>
      <c r="O32" s="1244"/>
      <c r="P32" s="3028" t="s">
        <v>2371</v>
      </c>
      <c r="Q32" s="1899" t="str">
        <f t="shared" si="11"/>
        <v>建筑类型</v>
      </c>
      <c r="R32" s="753" t="s">
        <v>28</v>
      </c>
      <c r="S32" s="754">
        <f t="shared" si="12"/>
        <v>100</v>
      </c>
      <c r="T32" s="753" t="s">
        <v>28</v>
      </c>
      <c r="U32" s="754">
        <f t="shared" si="13"/>
        <v>100</v>
      </c>
      <c r="V32" s="753" t="s">
        <v>28</v>
      </c>
      <c r="W32" s="754">
        <f t="shared" si="14"/>
        <v>100</v>
      </c>
      <c r="X32" s="1900"/>
      <c r="Y32" s="3031"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59.65</v>
      </c>
      <c r="D33" s="52">
        <v>100</v>
      </c>
      <c r="E33" s="410">
        <v>49.26</v>
      </c>
      <c r="F33" s="405">
        <f>LOOKUP(E33,103:103,104:104)-LOOKUP(C33,103:103,104:104)+100</f>
        <v>100</v>
      </c>
      <c r="G33" s="409">
        <v>47.34</v>
      </c>
      <c r="H33" s="52">
        <f>LOOKUP(G33,103:103,104:104)-LOOKUP(C33,103:103,104:104)+100</f>
        <v>100</v>
      </c>
      <c r="I33" s="410">
        <v>49.26</v>
      </c>
      <c r="J33" s="52">
        <f>LOOKUP(I33,103:103,104:104)-LOOKUP(C33,103:103,104:104)+100</f>
        <v>100</v>
      </c>
      <c r="K33" s="2400"/>
      <c r="L33" s="1251"/>
      <c r="M33" s="1254"/>
      <c r="N33" s="1254"/>
      <c r="O33" s="1254"/>
      <c r="P33" s="3029"/>
      <c r="Q33" s="755" t="str">
        <f t="shared" si="11"/>
        <v>项目建筑规模</v>
      </c>
      <c r="R33" s="756" t="s">
        <v>28</v>
      </c>
      <c r="S33" s="757">
        <f t="shared" si="12"/>
        <v>100</v>
      </c>
      <c r="T33" s="756" t="s">
        <v>28</v>
      </c>
      <c r="U33" s="757">
        <f t="shared" si="13"/>
        <v>100</v>
      </c>
      <c r="V33" s="756" t="s">
        <v>28</v>
      </c>
      <c r="W33" s="757">
        <f t="shared" si="14"/>
        <v>100</v>
      </c>
      <c r="X33" s="758"/>
      <c r="Y33" s="3031"/>
      <c r="Z33" s="759" t="str">
        <f t="shared" si="15"/>
        <v>项目建筑规模</v>
      </c>
      <c r="AA33" s="1903">
        <f t="shared" si="3"/>
        <v>1</v>
      </c>
      <c r="AB33" s="1903">
        <f t="shared" si="4"/>
        <v>1</v>
      </c>
      <c r="AC33" s="1903">
        <f t="shared" si="5"/>
        <v>1</v>
      </c>
    </row>
    <row r="34" spans="1:29" ht="15">
      <c r="A34" s="453"/>
      <c r="B34" s="402" t="s">
        <v>2373</v>
      </c>
      <c r="C34" s="2415" t="s">
        <v>2895</v>
      </c>
      <c r="D34" s="415">
        <v>100</v>
      </c>
      <c r="E34" s="2416" t="s">
        <v>2895</v>
      </c>
      <c r="F34" s="442">
        <f>SUMIF(105:105,E34,106:106)-SUMIF(105:105,C34,106:106)+100</f>
        <v>100</v>
      </c>
      <c r="G34" s="2415" t="s">
        <v>2895</v>
      </c>
      <c r="H34" s="415">
        <f>SUMIF(105:105,G34,106:106)-SUMIF(105:105,C34,106:106)+100</f>
        <v>100</v>
      </c>
      <c r="I34" s="2416" t="s">
        <v>2895</v>
      </c>
      <c r="J34" s="415">
        <f>SUMIF(105:105,I34,106:106)-SUMIF(105:105,C34,106:106)+100</f>
        <v>100</v>
      </c>
      <c r="K34" s="406">
        <v>2</v>
      </c>
      <c r="L34" s="1253"/>
      <c r="M34" s="1244"/>
      <c r="N34" s="1244"/>
      <c r="O34" s="1244"/>
      <c r="P34" s="3029"/>
      <c r="Q34" s="1899" t="str">
        <f t="shared" si="11"/>
        <v>建筑结构</v>
      </c>
      <c r="R34" s="753" t="s">
        <v>28</v>
      </c>
      <c r="S34" s="754">
        <f t="shared" si="12"/>
        <v>100</v>
      </c>
      <c r="T34" s="753" t="s">
        <v>28</v>
      </c>
      <c r="U34" s="754">
        <f t="shared" si="13"/>
        <v>100</v>
      </c>
      <c r="V34" s="753" t="s">
        <v>28</v>
      </c>
      <c r="W34" s="754">
        <f t="shared" si="14"/>
        <v>100</v>
      </c>
      <c r="X34" s="1900"/>
      <c r="Y34" s="3031"/>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29"/>
      <c r="Q35" s="1899" t="str">
        <f t="shared" si="11"/>
        <v>建筑品质</v>
      </c>
      <c r="R35" s="753" t="s">
        <v>28</v>
      </c>
      <c r="S35" s="754">
        <f t="shared" si="12"/>
        <v>100</v>
      </c>
      <c r="T35" s="753" t="s">
        <v>28</v>
      </c>
      <c r="U35" s="754">
        <f t="shared" si="13"/>
        <v>100</v>
      </c>
      <c r="V35" s="753" t="s">
        <v>28</v>
      </c>
      <c r="W35" s="754">
        <f t="shared" si="14"/>
        <v>100</v>
      </c>
      <c r="X35" s="1900"/>
      <c r="Y35" s="3031"/>
      <c r="Z35" s="1902" t="str">
        <f t="shared" si="15"/>
        <v>建筑品质</v>
      </c>
      <c r="AA35" s="1903">
        <f t="shared" si="3"/>
        <v>1</v>
      </c>
      <c r="AB35" s="1903">
        <f t="shared" si="4"/>
        <v>1</v>
      </c>
      <c r="AC35" s="1903">
        <f t="shared" si="5"/>
        <v>1</v>
      </c>
    </row>
    <row r="36" spans="1:29" ht="15">
      <c r="A36" s="453"/>
      <c r="B36" s="402" t="s">
        <v>2375</v>
      </c>
      <c r="C36" s="2411" t="s">
        <v>2876</v>
      </c>
      <c r="D36" s="415">
        <v>100</v>
      </c>
      <c r="E36" s="2410" t="s">
        <v>2876</v>
      </c>
      <c r="F36" s="442">
        <f>SUMIF(109:109,E36,110:110)-SUMIF(109:109,C36,110:110)+100</f>
        <v>100</v>
      </c>
      <c r="G36" s="2411" t="s">
        <v>2876</v>
      </c>
      <c r="H36" s="415">
        <f>SUMIF(109:109,G36,110:110)-SUMIF(109:109,C36,110:110)+100</f>
        <v>100</v>
      </c>
      <c r="I36" s="2410" t="s">
        <v>2876</v>
      </c>
      <c r="J36" s="415">
        <f>SUMIF(109:109,I36,110:110)-SUMIF(109:109,C36,110:110)+100</f>
        <v>100</v>
      </c>
      <c r="K36" s="406">
        <v>3</v>
      </c>
      <c r="L36" s="1253"/>
      <c r="M36" s="1244"/>
      <c r="N36" s="1244"/>
      <c r="O36" s="1244"/>
      <c r="P36" s="3029"/>
      <c r="Q36" s="1899" t="str">
        <f t="shared" si="11"/>
        <v>公共部分装修</v>
      </c>
      <c r="R36" s="753" t="s">
        <v>28</v>
      </c>
      <c r="S36" s="754">
        <f t="shared" si="12"/>
        <v>100</v>
      </c>
      <c r="T36" s="753" t="s">
        <v>28</v>
      </c>
      <c r="U36" s="754">
        <f t="shared" si="13"/>
        <v>100</v>
      </c>
      <c r="V36" s="753" t="s">
        <v>28</v>
      </c>
      <c r="W36" s="754">
        <f t="shared" si="14"/>
        <v>100</v>
      </c>
      <c r="X36" s="1900"/>
      <c r="Y36" s="3031"/>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9"/>
      <c r="Q37" s="1887" t="str">
        <f t="shared" si="11"/>
        <v>成新度</v>
      </c>
      <c r="R37" s="749" t="s">
        <v>28</v>
      </c>
      <c r="S37" s="750">
        <f t="shared" si="12"/>
        <v>100</v>
      </c>
      <c r="T37" s="749" t="s">
        <v>28</v>
      </c>
      <c r="U37" s="750">
        <f t="shared" si="13"/>
        <v>100</v>
      </c>
      <c r="V37" s="749" t="s">
        <v>28</v>
      </c>
      <c r="W37" s="750">
        <f t="shared" si="14"/>
        <v>100</v>
      </c>
      <c r="X37" s="751"/>
      <c r="Y37" s="3031"/>
      <c r="Z37" s="23" t="str">
        <f t="shared" si="15"/>
        <v>成新度</v>
      </c>
      <c r="AA37" s="752">
        <f t="shared" si="3"/>
        <v>1</v>
      </c>
      <c r="AB37" s="752">
        <f t="shared" si="4"/>
        <v>1</v>
      </c>
      <c r="AC37" s="752">
        <f t="shared" si="5"/>
        <v>1</v>
      </c>
    </row>
    <row r="38" spans="1:29" ht="15">
      <c r="A38" s="453"/>
      <c r="B38" s="402" t="s">
        <v>2377</v>
      </c>
      <c r="C38" s="2411" t="s">
        <v>2890</v>
      </c>
      <c r="D38" s="415">
        <v>100</v>
      </c>
      <c r="E38" s="2410" t="s">
        <v>2890</v>
      </c>
      <c r="F38" s="442">
        <f>SUMIF(114:114,E38,115:115)-SUMIF(114:114,C38,115:115)+100</f>
        <v>100</v>
      </c>
      <c r="G38" s="2410" t="s">
        <v>2890</v>
      </c>
      <c r="H38" s="415">
        <f>SUMIF(114:114,G38,115:115)-SUMIF(114:114,C38,115:115)+100</f>
        <v>100</v>
      </c>
      <c r="I38" s="2410" t="s">
        <v>2890</v>
      </c>
      <c r="J38" s="415">
        <f>SUMIF(114:114,I38,115:115)-SUMIF(114:114,C38,115:115)+100</f>
        <v>100</v>
      </c>
      <c r="K38" s="406">
        <v>2</v>
      </c>
      <c r="L38" s="1253"/>
      <c r="M38" s="1244"/>
      <c r="N38" s="1244"/>
      <c r="O38" s="1244"/>
      <c r="P38" s="3029" t="s">
        <v>2371</v>
      </c>
      <c r="Q38" s="1899" t="str">
        <f t="shared" si="11"/>
        <v>物业管理</v>
      </c>
      <c r="R38" s="753" t="s">
        <v>28</v>
      </c>
      <c r="S38" s="754">
        <f t="shared" si="12"/>
        <v>100</v>
      </c>
      <c r="T38" s="753" t="s">
        <v>28</v>
      </c>
      <c r="U38" s="754">
        <f t="shared" si="13"/>
        <v>100</v>
      </c>
      <c r="V38" s="753" t="s">
        <v>28</v>
      </c>
      <c r="W38" s="754">
        <f t="shared" si="14"/>
        <v>100</v>
      </c>
      <c r="X38" s="1900"/>
      <c r="Y38" s="3031" t="s">
        <v>2371</v>
      </c>
      <c r="Z38" s="1902" t="str">
        <f t="shared" si="15"/>
        <v>物业管理</v>
      </c>
      <c r="AA38" s="1903">
        <f t="shared" si="3"/>
        <v>1</v>
      </c>
      <c r="AB38" s="1903">
        <f t="shared" si="4"/>
        <v>1</v>
      </c>
      <c r="AC38" s="1903">
        <f t="shared" si="5"/>
        <v>1</v>
      </c>
    </row>
    <row r="39" spans="1:29" ht="15">
      <c r="A39" s="453"/>
      <c r="B39" s="402" t="s">
        <v>2378</v>
      </c>
      <c r="C39" s="2411" t="s">
        <v>2878</v>
      </c>
      <c r="D39" s="415">
        <v>100</v>
      </c>
      <c r="E39" s="2410" t="s">
        <v>2878</v>
      </c>
      <c r="F39" s="442">
        <f>SUMIF(116:116,E39,117:117)-SUMIF(116:116,C39,117:117)+100</f>
        <v>100</v>
      </c>
      <c r="G39" s="2411" t="s">
        <v>2878</v>
      </c>
      <c r="H39" s="415">
        <f>SUMIF(116:116,G39,117:117)-SUMIF(116:116,C39,117:117)+100</f>
        <v>100</v>
      </c>
      <c r="I39" s="2410" t="s">
        <v>2878</v>
      </c>
      <c r="J39" s="415">
        <f>SUMIF(116:116,I39,117:117)-SUMIF(116:116,C39,117:117)+100</f>
        <v>100</v>
      </c>
      <c r="K39" s="406">
        <v>2</v>
      </c>
      <c r="L39" s="1253"/>
      <c r="M39" s="1244"/>
      <c r="N39" s="1244"/>
      <c r="O39" s="1244"/>
      <c r="P39" s="3029"/>
      <c r="Q39" s="1899" t="str">
        <f t="shared" si="11"/>
        <v>市政基础设施</v>
      </c>
      <c r="R39" s="753" t="s">
        <v>28</v>
      </c>
      <c r="S39" s="754">
        <f t="shared" si="12"/>
        <v>100</v>
      </c>
      <c r="T39" s="753" t="s">
        <v>28</v>
      </c>
      <c r="U39" s="754">
        <f t="shared" si="13"/>
        <v>100</v>
      </c>
      <c r="V39" s="753" t="s">
        <v>28</v>
      </c>
      <c r="W39" s="754">
        <f t="shared" si="14"/>
        <v>100</v>
      </c>
      <c r="X39" s="1900"/>
      <c r="Y39" s="3031"/>
      <c r="Z39" s="1902" t="str">
        <f t="shared" si="15"/>
        <v>市政基础设施</v>
      </c>
      <c r="AA39" s="1903">
        <f t="shared" si="3"/>
        <v>1</v>
      </c>
      <c r="AB39" s="1903">
        <f t="shared" si="4"/>
        <v>1</v>
      </c>
      <c r="AC39" s="1903">
        <f t="shared" si="5"/>
        <v>1</v>
      </c>
    </row>
    <row r="40" spans="1:29" ht="15">
      <c r="A40" s="453"/>
      <c r="B40" s="402" t="s">
        <v>2379</v>
      </c>
      <c r="C40" s="2411" t="s">
        <v>2896</v>
      </c>
      <c r="D40" s="415">
        <v>100</v>
      </c>
      <c r="E40" s="2411" t="s">
        <v>2896</v>
      </c>
      <c r="F40" s="442">
        <f>SUMIF(118:118,E40,119:119)-SUMIF(118:118,C40,119:119)+100</f>
        <v>100</v>
      </c>
      <c r="G40" s="2411" t="s">
        <v>2896</v>
      </c>
      <c r="H40" s="415">
        <f>SUMIF(118:118,G40,119:119)-SUMIF(118:118,C40,119:119)+100</f>
        <v>100</v>
      </c>
      <c r="I40" s="2411" t="s">
        <v>2896</v>
      </c>
      <c r="J40" s="415">
        <f>SUMIF(118:118,I40,119:119)-SUMIF(118:118,C40,119:119)+100</f>
        <v>100</v>
      </c>
      <c r="K40" s="406">
        <v>3</v>
      </c>
      <c r="L40" s="1253"/>
      <c r="M40" s="1244"/>
      <c r="N40" s="1244"/>
      <c r="O40" s="1244"/>
      <c r="P40" s="3029"/>
      <c r="Q40" s="1899" t="str">
        <f t="shared" si="11"/>
        <v>房型</v>
      </c>
      <c r="R40" s="753" t="s">
        <v>28</v>
      </c>
      <c r="S40" s="754">
        <f t="shared" si="12"/>
        <v>100</v>
      </c>
      <c r="T40" s="753" t="s">
        <v>28</v>
      </c>
      <c r="U40" s="754">
        <f t="shared" si="13"/>
        <v>100</v>
      </c>
      <c r="V40" s="753" t="s">
        <v>28</v>
      </c>
      <c r="W40" s="754">
        <f t="shared" si="14"/>
        <v>100</v>
      </c>
      <c r="X40" s="1900"/>
      <c r="Y40" s="3031"/>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29"/>
      <c r="Q41" s="755" t="str">
        <f t="shared" si="11"/>
        <v>单套/主力户型建筑面积</v>
      </c>
      <c r="R41" s="756" t="s">
        <v>28</v>
      </c>
      <c r="S41" s="757">
        <f t="shared" si="12"/>
        <v>100</v>
      </c>
      <c r="T41" s="756" t="s">
        <v>28</v>
      </c>
      <c r="U41" s="757">
        <f t="shared" si="13"/>
        <v>100</v>
      </c>
      <c r="V41" s="756" t="s">
        <v>28</v>
      </c>
      <c r="W41" s="757">
        <f t="shared" si="14"/>
        <v>100</v>
      </c>
      <c r="X41" s="758"/>
      <c r="Y41" s="3031"/>
      <c r="Z41" s="759" t="str">
        <f t="shared" si="15"/>
        <v>单套/主力户型建筑面积</v>
      </c>
      <c r="AA41" s="1903">
        <f t="shared" si="3"/>
        <v>1</v>
      </c>
      <c r="AB41" s="1903">
        <f t="shared" si="4"/>
        <v>1</v>
      </c>
      <c r="AC41" s="1903">
        <f t="shared" si="5"/>
        <v>1</v>
      </c>
    </row>
    <row r="42" spans="1:29" ht="15">
      <c r="A42" s="453"/>
      <c r="B42" s="402" t="s">
        <v>2381</v>
      </c>
      <c r="C42" s="2411" t="s">
        <v>2876</v>
      </c>
      <c r="D42" s="415">
        <v>100</v>
      </c>
      <c r="E42" s="2410" t="s">
        <v>2876</v>
      </c>
      <c r="F42" s="442">
        <f>SUMIF(122:122,E42,123:123)-SUMIF(122:122,C42,123:123)+100</f>
        <v>100</v>
      </c>
      <c r="G42" s="2411" t="s">
        <v>2910</v>
      </c>
      <c r="H42" s="415">
        <f>SUMIF(122:122,G42,123:123)-SUMIF(122:122,C42,123:123)+100</f>
        <v>102</v>
      </c>
      <c r="I42" s="2410" t="s">
        <v>2910</v>
      </c>
      <c r="J42" s="415">
        <f>SUMIF(122:122,I42,123:123)-SUMIF(122:122,C42,123:123)+100</f>
        <v>102</v>
      </c>
      <c r="K42" s="406">
        <v>2</v>
      </c>
      <c r="L42" s="1253"/>
      <c r="M42" s="1244"/>
      <c r="N42" s="1244"/>
      <c r="O42" s="1244"/>
      <c r="P42" s="3029"/>
      <c r="Q42" s="1899" t="str">
        <f t="shared" si="11"/>
        <v>内部装修</v>
      </c>
      <c r="R42" s="753" t="s">
        <v>28</v>
      </c>
      <c r="S42" s="754">
        <f t="shared" si="12"/>
        <v>100</v>
      </c>
      <c r="T42" s="753" t="s">
        <v>28</v>
      </c>
      <c r="U42" s="754">
        <f t="shared" si="13"/>
        <v>102</v>
      </c>
      <c r="V42" s="753" t="s">
        <v>28</v>
      </c>
      <c r="W42" s="754">
        <f t="shared" si="14"/>
        <v>102</v>
      </c>
      <c r="X42" s="1900"/>
      <c r="Y42" s="3031"/>
      <c r="Z42" s="1902" t="str">
        <f t="shared" si="15"/>
        <v>内部装修</v>
      </c>
      <c r="AA42" s="1903">
        <f t="shared" si="3"/>
        <v>1</v>
      </c>
      <c r="AB42" s="1903">
        <f t="shared" si="4"/>
        <v>0.98039215686274506</v>
      </c>
      <c r="AC42" s="1903">
        <f t="shared" si="5"/>
        <v>0.98039215686274506</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29"/>
      <c r="Q43" s="1899" t="str">
        <f t="shared" si="11"/>
        <v>内部装修维护情况</v>
      </c>
      <c r="R43" s="753" t="s">
        <v>28</v>
      </c>
      <c r="S43" s="754">
        <f t="shared" si="12"/>
        <v>100</v>
      </c>
      <c r="T43" s="753" t="s">
        <v>28</v>
      </c>
      <c r="U43" s="754">
        <f t="shared" si="13"/>
        <v>100</v>
      </c>
      <c r="V43" s="753" t="s">
        <v>28</v>
      </c>
      <c r="W43" s="754">
        <f t="shared" si="14"/>
        <v>100</v>
      </c>
      <c r="X43" s="1900"/>
      <c r="Y43" s="3031"/>
      <c r="Z43" s="1902" t="str">
        <f t="shared" si="15"/>
        <v>内部装修维护情况</v>
      </c>
      <c r="AA43" s="1903">
        <f t="shared" si="3"/>
        <v>1</v>
      </c>
      <c r="AB43" s="1903">
        <f t="shared" si="4"/>
        <v>1</v>
      </c>
      <c r="AC43" s="1903">
        <f t="shared" si="5"/>
        <v>1</v>
      </c>
    </row>
    <row r="44" spans="1:29" s="35" customFormat="1" ht="15.75" thickBot="1">
      <c r="A44" s="454"/>
      <c r="B44" s="2745" t="s">
        <v>2874</v>
      </c>
      <c r="C44" s="450">
        <v>2007</v>
      </c>
      <c r="D44" s="52">
        <v>100</v>
      </c>
      <c r="E44" s="450">
        <v>2005</v>
      </c>
      <c r="F44" s="405">
        <f>SUMIF(126:126,E44,127:127)-SUMIF(126:126,C44,127:127)+100</f>
        <v>99</v>
      </c>
      <c r="G44" s="450">
        <v>2005</v>
      </c>
      <c r="H44" s="52">
        <f>SUMIF(126:126,G44,127:127)-SUMIF(126:126,C44,127:127)+100</f>
        <v>99</v>
      </c>
      <c r="I44" s="450">
        <v>2005</v>
      </c>
      <c r="J44" s="52">
        <f>SUMIF(126:126,I44,127:127)-SUMIF(126:126,C44,127:127)+100</f>
        <v>99</v>
      </c>
      <c r="K44" s="2400"/>
      <c r="L44" s="1245"/>
      <c r="M44" s="1246"/>
      <c r="N44" s="1246"/>
      <c r="O44" s="1246"/>
      <c r="P44" s="3029"/>
      <c r="Q44" s="1887" t="str">
        <f t="shared" si="11"/>
        <v>建成年代</v>
      </c>
      <c r="R44" s="749" t="s">
        <v>28</v>
      </c>
      <c r="S44" s="750">
        <f t="shared" si="12"/>
        <v>99</v>
      </c>
      <c r="T44" s="749" t="s">
        <v>28</v>
      </c>
      <c r="U44" s="750">
        <f t="shared" si="13"/>
        <v>99</v>
      </c>
      <c r="V44" s="749" t="s">
        <v>28</v>
      </c>
      <c r="W44" s="750">
        <f t="shared" si="14"/>
        <v>99</v>
      </c>
      <c r="X44" s="751"/>
      <c r="Y44" s="3031"/>
      <c r="Z44" s="23" t="str">
        <f t="shared" si="15"/>
        <v>建成年代</v>
      </c>
      <c r="AA44" s="752">
        <f t="shared" si="3"/>
        <v>1.0101010101010102</v>
      </c>
      <c r="AB44" s="752">
        <f t="shared" si="4"/>
        <v>1.0101010101010102</v>
      </c>
      <c r="AC44" s="752">
        <f t="shared" si="5"/>
        <v>1.0101010101010102</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3"/>
      <c r="M45" s="1244"/>
      <c r="N45" s="1244"/>
      <c r="O45" s="1244"/>
      <c r="P45" s="3029"/>
      <c r="Q45" s="1899">
        <f t="shared" si="11"/>
        <v>111</v>
      </c>
      <c r="R45" s="753" t="s">
        <v>28</v>
      </c>
      <c r="S45" s="754">
        <f t="shared" si="12"/>
        <v>100</v>
      </c>
      <c r="T45" s="753" t="s">
        <v>28</v>
      </c>
      <c r="U45" s="754">
        <f t="shared" si="13"/>
        <v>100</v>
      </c>
      <c r="V45" s="753" t="s">
        <v>28</v>
      </c>
      <c r="W45" s="754">
        <f t="shared" si="14"/>
        <v>100</v>
      </c>
      <c r="X45" s="1900"/>
      <c r="Y45" s="3031"/>
      <c r="Z45" s="1902">
        <f t="shared" si="15"/>
        <v>111</v>
      </c>
      <c r="AA45" s="1903">
        <f t="shared" si="3"/>
        <v>1</v>
      </c>
      <c r="AB45" s="1903">
        <f t="shared" si="4"/>
        <v>1</v>
      </c>
      <c r="AC45" s="1903">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3"/>
      <c r="M46" s="1244"/>
      <c r="N46" s="1244"/>
      <c r="O46" s="1244"/>
      <c r="P46" s="3030"/>
      <c r="Q46" s="1899">
        <f t="shared" si="11"/>
        <v>111</v>
      </c>
      <c r="R46" s="753" t="s">
        <v>27</v>
      </c>
      <c r="S46" s="754">
        <f t="shared" si="12"/>
        <v>100</v>
      </c>
      <c r="T46" s="753" t="s">
        <v>27</v>
      </c>
      <c r="U46" s="754">
        <f t="shared" si="13"/>
        <v>100</v>
      </c>
      <c r="V46" s="753" t="s">
        <v>27</v>
      </c>
      <c r="W46" s="754">
        <f t="shared" si="14"/>
        <v>100</v>
      </c>
      <c r="X46" s="1900"/>
      <c r="Y46" s="3032"/>
      <c r="Z46" s="1902">
        <f t="shared" si="15"/>
        <v>111</v>
      </c>
      <c r="AA46" s="1903">
        <f t="shared" si="3"/>
        <v>1</v>
      </c>
      <c r="AB46" s="1903">
        <f t="shared" si="4"/>
        <v>1</v>
      </c>
      <c r="AC46" s="1903">
        <f t="shared" si="5"/>
        <v>1</v>
      </c>
    </row>
    <row r="47" spans="1:29" ht="15">
      <c r="A47" s="460" t="s">
        <v>2383</v>
      </c>
      <c r="B47" s="461"/>
      <c r="C47" s="1502" t="s">
        <v>26</v>
      </c>
      <c r="D47" s="1503"/>
      <c r="E47" s="1504">
        <v>16240</v>
      </c>
      <c r="F47" s="1505"/>
      <c r="G47" s="1506">
        <v>16899</v>
      </c>
      <c r="H47" s="1507"/>
      <c r="I47" s="1504">
        <v>20300</v>
      </c>
      <c r="J47" s="1507"/>
      <c r="K47" s="2417"/>
      <c r="L47" s="1256"/>
      <c r="M47" s="1257"/>
      <c r="N47" s="1244"/>
      <c r="O47" s="1257"/>
      <c r="P47" s="3023" t="str">
        <f>A47</f>
        <v>成交单价（元/平方米）</v>
      </c>
      <c r="Q47" s="3023"/>
      <c r="R47" s="3019">
        <f>E47</f>
        <v>16240</v>
      </c>
      <c r="S47" s="3019"/>
      <c r="T47" s="3019">
        <f>G47</f>
        <v>16899</v>
      </c>
      <c r="U47" s="3019"/>
      <c r="V47" s="3019">
        <f>I47</f>
        <v>20300</v>
      </c>
      <c r="W47" s="3019"/>
      <c r="X47" s="738"/>
      <c r="Y47" s="760"/>
      <c r="Z47" s="738"/>
      <c r="AA47" s="738"/>
      <c r="AB47" s="738"/>
      <c r="AC47" s="738"/>
    </row>
    <row r="48" spans="1:29" ht="15.75" thickBot="1">
      <c r="A48" s="467" t="s">
        <v>2384</v>
      </c>
      <c r="B48" s="468"/>
      <c r="C48" s="1508">
        <f>R49</f>
        <v>17819</v>
      </c>
      <c r="D48" s="1509"/>
      <c r="E48" s="1510">
        <f>R48</f>
        <v>16628</v>
      </c>
      <c r="F48" s="1510"/>
      <c r="G48" s="1508">
        <f>T48</f>
        <v>17112</v>
      </c>
      <c r="H48" s="1509"/>
      <c r="I48" s="1510">
        <f>V48</f>
        <v>19717</v>
      </c>
      <c r="J48" s="1509"/>
      <c r="K48" s="2418"/>
      <c r="L48" s="1256"/>
      <c r="M48" s="1257"/>
      <c r="N48" s="1257"/>
      <c r="O48" s="1257"/>
      <c r="P48" s="3023" t="str">
        <f>A48</f>
        <v>比较价值（元/平方米）</v>
      </c>
      <c r="Q48" s="3023"/>
      <c r="R48" s="3019">
        <f>IF(E1="售价",ROUND(PRODUCT(R47,AA7:AA46),0),ROUND(PRODUCT(R47,AA7:AA46),1))</f>
        <v>16628</v>
      </c>
      <c r="S48" s="3019"/>
      <c r="T48" s="3017">
        <f>IF(E1="售价",ROUND(PRODUCT(T47,AB7:AB46),0),ROUND(PRODUCT(T47,AB7:AB46),1))</f>
        <v>17112</v>
      </c>
      <c r="U48" s="3018"/>
      <c r="V48" s="3019">
        <f>IF(E1="售价",ROUND(PRODUCT(V47,AC7:AC46),0),ROUND(PRODUCT(V47,AC7:AC46),1))</f>
        <v>19717</v>
      </c>
      <c r="W48" s="3019"/>
      <c r="X48" s="738"/>
      <c r="Y48" s="738"/>
      <c r="Z48" s="738"/>
      <c r="AA48" s="738"/>
      <c r="AB48" s="738"/>
      <c r="AC48" s="738"/>
    </row>
    <row r="49" spans="1:29" ht="15.75" thickBot="1">
      <c r="A49" s="473" t="s">
        <v>2385</v>
      </c>
      <c r="B49" s="474"/>
      <c r="C49" s="1511">
        <f>R49</f>
        <v>17819</v>
      </c>
      <c r="D49" s="1512"/>
      <c r="E49" s="1512"/>
      <c r="F49" s="1512"/>
      <c r="G49" s="1512"/>
      <c r="H49" s="1512"/>
      <c r="I49" s="1512"/>
      <c r="J49" s="1512"/>
      <c r="K49" s="2419"/>
      <c r="L49" s="1256"/>
      <c r="M49" s="1257"/>
      <c r="N49" s="1257"/>
      <c r="O49" s="1257"/>
      <c r="P49" s="3020" t="str">
        <f>A49</f>
        <v>估价对象XX用房的比较价值（楼面单价，元/平方米）</v>
      </c>
      <c r="Q49" s="3021"/>
      <c r="R49" s="3022">
        <f>IF(E1="售价",ROUND(AVERAGE(R48:V48),0),ROUND(AVERAGE(R48:V48),1))</f>
        <v>17819</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2.3891625615763523E-2</v>
      </c>
      <c r="F52" s="481" t="str">
        <f>IF(OR(E52&gt;=0.3,E52&lt;=-0.3),"超过30%","")</f>
        <v/>
      </c>
      <c r="G52" s="480">
        <f>IF(G47&lt;G48,G48/G47-1,G47/G48-1)</f>
        <v>1.2604296112195934E-2</v>
      </c>
      <c r="H52" s="481" t="str">
        <f>IF(OR(G52&gt;=0.3,G52&lt;=-0.3),"超过30%","")</f>
        <v/>
      </c>
      <c r="I52" s="480">
        <f>IF(I47&lt;I48,I48/I47-1,I47/I48-1)</f>
        <v>2.9568392757518991E-2</v>
      </c>
      <c r="J52" s="481" t="str">
        <f>IF(OR(I52&gt;=0.3,I52&lt;=-0.3),"超过30%","")</f>
        <v/>
      </c>
      <c r="K52" s="1262"/>
      <c r="L52" s="1258"/>
      <c r="M52" s="1257"/>
      <c r="N52" s="1257"/>
      <c r="O52" s="1257"/>
    </row>
    <row r="53" spans="1:29" ht="13.5" customHeight="1">
      <c r="A53" s="1257"/>
      <c r="B53" s="1257"/>
      <c r="C53" s="478" t="s">
        <v>2387</v>
      </c>
      <c r="D53" s="482"/>
      <c r="E53" s="480">
        <f>IF(E48&lt;G48,G48/E48-1,E48/G48-1)</f>
        <v>2.91075294683667E-2</v>
      </c>
      <c r="F53" s="481" t="str">
        <f>IF(OR(E53&gt;=0.2,E53&lt;=-0.2),"超过20%","")</f>
        <v/>
      </c>
      <c r="G53" s="480">
        <f>IF(G48&lt;I48,I48/G48-1,G48/I48-1)</f>
        <v>0.15223235156615234</v>
      </c>
      <c r="H53" s="481" t="str">
        <f>IF(OR(G53&gt;=0.2,G53&lt;=-0.2),"超过20%","")</f>
        <v/>
      </c>
      <c r="I53" s="480">
        <f>IF(I48&lt;E48,E48/I48-1,I48/E48-1)</f>
        <v>0.18577098869376951</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4.057881773399008E-2</v>
      </c>
      <c r="F54" s="481" t="str">
        <f>IF(OR(E54&gt;=0.3,E54&lt;=-0.3),"超过30%","")</f>
        <v/>
      </c>
      <c r="G54" s="480">
        <f>IF(G47&lt;I47,I47/G47-1,G47/I47-1)</f>
        <v>0.20125451210130785</v>
      </c>
      <c r="H54" s="481" t="str">
        <f>IF(OR(G54&gt;=0.3,G54&lt;=-0.3),"超过30%","")</f>
        <v/>
      </c>
      <c r="I54" s="480">
        <f>IF(I47&lt;E47,E47/I47-1,I47/E47-1)</f>
        <v>0.25</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2756" t="s">
        <v>2904</v>
      </c>
      <c r="E61" s="504"/>
      <c r="F61" s="504"/>
      <c r="G61" s="504"/>
      <c r="H61" s="504"/>
      <c r="I61" s="504"/>
      <c r="J61" s="504"/>
      <c r="K61" s="504"/>
      <c r="L61" s="505"/>
      <c r="M61" s="506"/>
      <c r="N61" s="1266"/>
      <c r="O61" s="1266"/>
      <c r="P61" s="2425"/>
      <c r="Q61" s="485"/>
    </row>
    <row r="62" spans="1:29" s="35" customFormat="1" ht="15.75" thickBot="1">
      <c r="A62" s="502"/>
      <c r="B62" s="491"/>
      <c r="C62" s="492">
        <v>100</v>
      </c>
      <c r="D62" s="493">
        <v>102</v>
      </c>
      <c r="E62" s="493"/>
      <c r="F62" s="493"/>
      <c r="G62" s="493"/>
      <c r="H62" s="493"/>
      <c r="I62" s="493"/>
      <c r="J62" s="493"/>
      <c r="K62" s="493"/>
      <c r="L62" s="493"/>
      <c r="M62" s="495"/>
      <c r="N62" s="1266"/>
      <c r="O62" s="1266"/>
      <c r="P62" s="2424"/>
      <c r="Q62" s="485"/>
    </row>
    <row r="63" spans="1:29">
      <c r="A63" s="508" t="s">
        <v>2394</v>
      </c>
      <c r="B63" s="509" t="s">
        <v>2359</v>
      </c>
      <c r="C63" s="510" t="str">
        <f>C9</f>
        <v>公寓式酒店</v>
      </c>
      <c r="D63" s="2747" t="s">
        <v>2897</v>
      </c>
      <c r="E63" s="511"/>
      <c r="F63" s="511"/>
      <c r="G63" s="511"/>
      <c r="H63" s="511"/>
      <c r="I63" s="511"/>
      <c r="J63" s="511"/>
      <c r="K63" s="512"/>
      <c r="L63" s="513"/>
      <c r="M63" s="514"/>
      <c r="N63" s="1267"/>
      <c r="O63" s="1267"/>
      <c r="P63" s="2426"/>
      <c r="Q63" s="485"/>
    </row>
    <row r="64" spans="1:29" ht="15.75" thickBot="1">
      <c r="A64" s="516"/>
      <c r="B64" s="517"/>
      <c r="C64" s="518">
        <v>100</v>
      </c>
      <c r="D64" s="518">
        <v>100</v>
      </c>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2834</v>
      </c>
      <c r="D88" s="2743" t="s">
        <v>2835</v>
      </c>
      <c r="E88" s="2743" t="s">
        <v>2836</v>
      </c>
      <c r="F88" s="2743" t="s">
        <v>2837</v>
      </c>
      <c r="G88" s="2743" t="s">
        <v>2838</v>
      </c>
      <c r="H88" s="2743" t="s">
        <v>2839</v>
      </c>
      <c r="I88" s="2743" t="s">
        <v>2840</v>
      </c>
      <c r="J88" s="2743" t="s">
        <v>2841</v>
      </c>
      <c r="K88" s="2744" t="s">
        <v>2842</v>
      </c>
      <c r="L88" s="2744" t="s">
        <v>2900</v>
      </c>
      <c r="M88" s="2755" t="s">
        <v>2901</v>
      </c>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2843</v>
      </c>
      <c r="D90" s="2743" t="s">
        <v>2844</v>
      </c>
      <c r="E90" s="2743" t="s">
        <v>2845</v>
      </c>
      <c r="F90" s="2743" t="s">
        <v>2846</v>
      </c>
      <c r="G90" s="2743" t="s">
        <v>2847</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thickTop="1">
      <c r="A92" s="516"/>
      <c r="B92" s="521" t="str">
        <f>B28</f>
        <v>楼层</v>
      </c>
      <c r="C92" s="2753" t="s">
        <v>2893</v>
      </c>
      <c r="D92" s="2753" t="s">
        <v>2908</v>
      </c>
      <c r="E92" s="2757" t="s">
        <v>2909</v>
      </c>
      <c r="F92" s="2753"/>
      <c r="G92" s="567"/>
      <c r="H92" s="567"/>
      <c r="I92" s="567"/>
      <c r="J92" s="567"/>
      <c r="K92" s="568"/>
      <c r="L92" s="569"/>
      <c r="M92" s="570"/>
      <c r="N92" s="1267"/>
      <c r="O92" s="1267"/>
      <c r="P92" s="2426"/>
      <c r="Q92" s="485"/>
    </row>
    <row r="93" spans="1:17" ht="15.75" thickBot="1">
      <c r="A93" s="516"/>
      <c r="B93" s="526"/>
      <c r="C93" s="544">
        <v>100</v>
      </c>
      <c r="D93" s="544">
        <v>104</v>
      </c>
      <c r="E93" s="518">
        <v>102</v>
      </c>
      <c r="F93" s="518"/>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2849</v>
      </c>
      <c r="D100" s="2746" t="s">
        <v>2850</v>
      </c>
      <c r="E100" s="2747" t="s">
        <v>2851</v>
      </c>
      <c r="F100" s="2746" t="s">
        <v>2852</v>
      </c>
      <c r="G100" s="2746" t="s">
        <v>2853</v>
      </c>
      <c r="H100" s="2748" t="s">
        <v>2854</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0(含)-30</v>
      </c>
      <c r="D102" s="562" t="str">
        <f t="shared" ref="D102:L102" si="23">D103&amp;"(含)"&amp;"-"&amp;E103</f>
        <v>30(含)-60</v>
      </c>
      <c r="E102" s="562" t="str">
        <f t="shared" si="23"/>
        <v>60(含)-90</v>
      </c>
      <c r="F102" s="562" t="str">
        <f t="shared" si="23"/>
        <v>90(含)-120</v>
      </c>
      <c r="G102" s="562" t="str">
        <f t="shared" si="23"/>
        <v>120(含)-150</v>
      </c>
      <c r="H102" s="562" t="str">
        <f t="shared" si="23"/>
        <v>150(含)-180</v>
      </c>
      <c r="I102" s="562" t="str">
        <f t="shared" si="23"/>
        <v>180(含)-210</v>
      </c>
      <c r="J102" s="562" t="str">
        <f t="shared" si="23"/>
        <v>210(含)-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30</v>
      </c>
      <c r="E103" s="579">
        <v>60</v>
      </c>
      <c r="F103" s="579">
        <v>90</v>
      </c>
      <c r="G103" s="579">
        <v>120</v>
      </c>
      <c r="H103" s="579">
        <v>150</v>
      </c>
      <c r="I103" s="579">
        <v>180</v>
      </c>
      <c r="J103" s="580">
        <v>210</v>
      </c>
      <c r="K103" s="580"/>
      <c r="L103" s="581"/>
      <c r="M103" s="582"/>
      <c r="N103" s="1269"/>
      <c r="O103" s="1269"/>
      <c r="P103" s="2427"/>
      <c r="Q103" s="543"/>
    </row>
    <row r="104" spans="1:17" s="452" customFormat="1" ht="15.75" thickBot="1">
      <c r="A104" s="536"/>
      <c r="B104" s="526"/>
      <c r="C104" s="544">
        <v>100</v>
      </c>
      <c r="D104" s="518">
        <v>98</v>
      </c>
      <c r="E104" s="518">
        <v>96</v>
      </c>
      <c r="F104" s="518">
        <v>94</v>
      </c>
      <c r="G104" s="518">
        <v>92</v>
      </c>
      <c r="H104" s="518">
        <v>90</v>
      </c>
      <c r="I104" s="518">
        <v>88</v>
      </c>
      <c r="J104" s="518">
        <v>86</v>
      </c>
      <c r="K104" s="518"/>
      <c r="L104" s="518"/>
      <c r="M104" s="518"/>
      <c r="N104" s="1268"/>
      <c r="O104" s="1268"/>
      <c r="P104" s="2427"/>
      <c r="Q104" s="543"/>
    </row>
    <row r="105" spans="1:17" ht="15" thickTop="1">
      <c r="A105" s="583"/>
      <c r="B105" s="521" t="s">
        <v>2420</v>
      </c>
      <c r="C105" s="2743" t="s">
        <v>2855</v>
      </c>
      <c r="D105" s="2743" t="s">
        <v>2856</v>
      </c>
      <c r="E105" s="2749" t="s">
        <v>2857</v>
      </c>
      <c r="F105" s="2749" t="s">
        <v>2858</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2859</v>
      </c>
      <c r="D107" s="2743" t="s">
        <v>2860</v>
      </c>
      <c r="E107" s="2743" t="s">
        <v>2861</v>
      </c>
      <c r="F107" s="2749" t="s">
        <v>2862</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2859</v>
      </c>
      <c r="D109" s="2743" t="s">
        <v>2860</v>
      </c>
      <c r="E109" s="2743" t="s">
        <v>2861</v>
      </c>
      <c r="F109" s="2749" t="s">
        <v>2862</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2863</v>
      </c>
      <c r="D114" s="2743" t="s">
        <v>2864</v>
      </c>
      <c r="E114" s="2750" t="s">
        <v>2865</v>
      </c>
      <c r="F114" s="2750" t="s">
        <v>2875</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2866</v>
      </c>
      <c r="D116" s="2743" t="s">
        <v>2867</v>
      </c>
      <c r="E116" s="2743" t="s">
        <v>2868</v>
      </c>
      <c r="F116" s="2743" t="s">
        <v>2869</v>
      </c>
      <c r="G116" s="2743" t="s">
        <v>2870</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2871</v>
      </c>
      <c r="D118" s="2748" t="s">
        <v>2891</v>
      </c>
      <c r="E118" s="2750" t="s">
        <v>2872</v>
      </c>
      <c r="F118" s="2749" t="s">
        <v>2873</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2859</v>
      </c>
      <c r="D122" s="2743" t="s">
        <v>2860</v>
      </c>
      <c r="E122" s="2743" t="s">
        <v>2861</v>
      </c>
      <c r="F122" s="2749" t="s">
        <v>2862</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2007</v>
      </c>
      <c r="D126" s="537">
        <v>2005</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v>
      </c>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44"/>
      <c r="E129" s="544"/>
      <c r="F129" s="544"/>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D94" sqref="D94"/>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59.65</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60"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60"/>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60"/>
      <c r="AC6" s="3049"/>
    </row>
    <row r="7" spans="1:29" s="35" customFormat="1" ht="15.75" thickBot="1">
      <c r="A7" s="387" t="s">
        <v>2353</v>
      </c>
      <c r="B7" s="388"/>
      <c r="C7" s="389">
        <f>'数据-取费表'!B2</f>
        <v>43277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46"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46"/>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46"/>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46"/>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46"/>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46"/>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26" t="s">
        <v>2450</v>
      </c>
      <c r="C15" s="2403" t="str">
        <f>估价对象房地状况!C4</f>
        <v>估价对象周边有首创新悦都、原香小镇、万科长阳天地、九州溪雅苑等居住小区，小区规模和社区发展完善程度较好，综合评价居住社区成熟度较好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24" t="s">
        <v>2365</v>
      </c>
      <c r="Q15" s="1899" t="str">
        <f t="shared" si="6"/>
        <v>商业繁华度</v>
      </c>
      <c r="R15" s="753" t="s">
        <v>25</v>
      </c>
      <c r="S15" s="754">
        <f t="shared" si="0"/>
        <v>100</v>
      </c>
      <c r="T15" s="753" t="s">
        <v>25</v>
      </c>
      <c r="U15" s="754">
        <f t="shared" si="1"/>
        <v>100</v>
      </c>
      <c r="V15" s="753" t="s">
        <v>25</v>
      </c>
      <c r="W15" s="754">
        <f t="shared" si="2"/>
        <v>100</v>
      </c>
      <c r="X15" s="1900"/>
      <c r="Y15" s="3026"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25"/>
      <c r="Q16" s="1899"/>
      <c r="R16" s="753"/>
      <c r="S16" s="754"/>
      <c r="T16" s="753"/>
      <c r="U16" s="754"/>
      <c r="V16" s="753"/>
      <c r="W16" s="754"/>
      <c r="X16" s="1900"/>
      <c r="Y16" s="3027"/>
      <c r="Z16" s="1902"/>
      <c r="AA16" s="1903">
        <v>1</v>
      </c>
      <c r="AB16" s="1903">
        <v>1</v>
      </c>
      <c r="AC16" s="1903">
        <v>1</v>
      </c>
    </row>
    <row r="17" spans="1:29" ht="142.5">
      <c r="A17" s="408"/>
      <c r="B17" s="431" t="s">
        <v>1750</v>
      </c>
      <c r="C17" s="2406" t="str">
        <f>估价对象房地状况!C6</f>
        <v>估价对象紧邻城市快速路——京良路，周边有地铁房山线（篱笆房站）、有房15路、房18路、房31路、房37路等十多条公交线路，综合评价交通便捷度较好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5"/>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25"/>
      <c r="Q18" s="1899"/>
      <c r="R18" s="753"/>
      <c r="S18" s="754"/>
      <c r="T18" s="753"/>
      <c r="U18" s="754"/>
      <c r="V18" s="753"/>
      <c r="W18" s="754"/>
      <c r="X18" s="1900"/>
      <c r="Y18" s="3027"/>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5"/>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25"/>
      <c r="Q20" s="1899"/>
      <c r="R20" s="753"/>
      <c r="S20" s="754"/>
      <c r="T20" s="753"/>
      <c r="U20" s="754"/>
      <c r="V20" s="753"/>
      <c r="W20" s="754"/>
      <c r="X20" s="1900"/>
      <c r="Y20" s="3027"/>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5"/>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25"/>
      <c r="Q22" s="1899"/>
      <c r="R22" s="753"/>
      <c r="S22" s="754"/>
      <c r="T22" s="753"/>
      <c r="U22" s="754"/>
      <c r="V22" s="753"/>
      <c r="W22" s="754"/>
      <c r="X22" s="1900"/>
      <c r="Y22" s="3027"/>
      <c r="Z22" s="1902"/>
      <c r="AA22" s="1903">
        <v>1</v>
      </c>
      <c r="AB22" s="1903">
        <v>1</v>
      </c>
      <c r="AC22" s="1903">
        <v>1</v>
      </c>
    </row>
    <row r="23" spans="1:29" ht="85.5">
      <c r="A23" s="408"/>
      <c r="B23" s="431" t="s">
        <v>1755</v>
      </c>
      <c r="C23" s="2457" t="str">
        <f>估价对象房地状况!C9</f>
        <v>自然环境：长阳公园等；人文环境：国福东旭高尔夫练习场等，综合评价环境状况一般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5"/>
      <c r="Q23" s="1899" t="str">
        <f>B23</f>
        <v>自然及人文环境</v>
      </c>
      <c r="R23" s="753" t="s">
        <v>25</v>
      </c>
      <c r="S23" s="754">
        <f>F23</f>
        <v>100</v>
      </c>
      <c r="T23" s="753" t="s">
        <v>25</v>
      </c>
      <c r="U23" s="754">
        <f>H23</f>
        <v>100</v>
      </c>
      <c r="V23" s="753" t="s">
        <v>25</v>
      </c>
      <c r="W23" s="754">
        <f>J23</f>
        <v>100</v>
      </c>
      <c r="X23" s="1900"/>
      <c r="Y23" s="3027"/>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25"/>
      <c r="Q24" s="1899"/>
      <c r="R24" s="753"/>
      <c r="S24" s="754"/>
      <c r="T24" s="753"/>
      <c r="U24" s="754"/>
      <c r="V24" s="753"/>
      <c r="W24" s="754"/>
      <c r="X24" s="1900"/>
      <c r="Y24" s="3027"/>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5"/>
      <c r="Q25" s="1899" t="str">
        <f t="shared" ref="Q25:Q46" si="11">B25</f>
        <v>临街状况</v>
      </c>
      <c r="R25" s="753" t="s">
        <v>25</v>
      </c>
      <c r="S25" s="754">
        <f>F25</f>
        <v>100</v>
      </c>
      <c r="T25" s="753" t="s">
        <v>25</v>
      </c>
      <c r="U25" s="754">
        <f>H25</f>
        <v>100</v>
      </c>
      <c r="V25" s="753" t="s">
        <v>25</v>
      </c>
      <c r="W25" s="754">
        <f>J25</f>
        <v>100</v>
      </c>
      <c r="X25" s="1900"/>
      <c r="Y25" s="3027"/>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5"/>
      <c r="Q26" s="1899" t="str">
        <f t="shared" si="11"/>
        <v>平面位置/可视性</v>
      </c>
      <c r="R26" s="753" t="s">
        <v>25</v>
      </c>
      <c r="S26" s="754">
        <f>F26</f>
        <v>100</v>
      </c>
      <c r="T26" s="753" t="s">
        <v>25</v>
      </c>
      <c r="U26" s="754">
        <f>H26</f>
        <v>100</v>
      </c>
      <c r="V26" s="753" t="s">
        <v>25</v>
      </c>
      <c r="W26" s="754">
        <f>J26</f>
        <v>100</v>
      </c>
      <c r="X26" s="1900"/>
      <c r="Y26" s="3027"/>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25"/>
      <c r="Q27" s="1887" t="str">
        <f t="shared" si="11"/>
        <v>人流量</v>
      </c>
      <c r="R27" s="749" t="s">
        <v>25</v>
      </c>
      <c r="S27" s="750">
        <f>F27</f>
        <v>100</v>
      </c>
      <c r="T27" s="749" t="s">
        <v>25</v>
      </c>
      <c r="U27" s="750">
        <f>H27</f>
        <v>100</v>
      </c>
      <c r="V27" s="749" t="s">
        <v>25</v>
      </c>
      <c r="W27" s="750">
        <f>J27</f>
        <v>100</v>
      </c>
      <c r="X27" s="751"/>
      <c r="Y27" s="3027"/>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7"/>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5"/>
      <c r="Q29" s="1899">
        <f t="shared" si="11"/>
        <v>111</v>
      </c>
      <c r="R29" s="753" t="s">
        <v>25</v>
      </c>
      <c r="S29" s="754">
        <f t="shared" si="12"/>
        <v>100</v>
      </c>
      <c r="T29" s="753" t="s">
        <v>25</v>
      </c>
      <c r="U29" s="754">
        <f t="shared" si="13"/>
        <v>100</v>
      </c>
      <c r="V29" s="753" t="s">
        <v>25</v>
      </c>
      <c r="W29" s="754">
        <f t="shared" si="14"/>
        <v>100</v>
      </c>
      <c r="X29" s="1900"/>
      <c r="Y29" s="3027"/>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5"/>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5"/>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28" t="s">
        <v>2371</v>
      </c>
      <c r="Q32" s="1899" t="str">
        <f t="shared" si="11"/>
        <v>商业类型</v>
      </c>
      <c r="R32" s="753" t="s">
        <v>25</v>
      </c>
      <c r="S32" s="754">
        <f t="shared" si="12"/>
        <v>100</v>
      </c>
      <c r="T32" s="753" t="s">
        <v>25</v>
      </c>
      <c r="U32" s="754">
        <f t="shared" si="13"/>
        <v>100</v>
      </c>
      <c r="V32" s="753" t="s">
        <v>25</v>
      </c>
      <c r="W32" s="754">
        <f t="shared" si="14"/>
        <v>100</v>
      </c>
      <c r="X32" s="1900"/>
      <c r="Y32" s="3031"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9"/>
      <c r="Q33" s="755" t="str">
        <f t="shared" si="11"/>
        <v>项目建筑规模</v>
      </c>
      <c r="R33" s="756" t="s">
        <v>25</v>
      </c>
      <c r="S33" s="757" t="e">
        <f t="shared" si="12"/>
        <v>#N/A</v>
      </c>
      <c r="T33" s="756" t="s">
        <v>25</v>
      </c>
      <c r="U33" s="757" t="e">
        <f t="shared" si="13"/>
        <v>#N/A</v>
      </c>
      <c r="V33" s="756" t="s">
        <v>25</v>
      </c>
      <c r="W33" s="757" t="e">
        <f t="shared" si="14"/>
        <v>#N/A</v>
      </c>
      <c r="X33" s="758"/>
      <c r="Y33" s="3031"/>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29"/>
      <c r="Q34" s="1899" t="str">
        <f t="shared" si="11"/>
        <v>建筑结构</v>
      </c>
      <c r="R34" s="753" t="s">
        <v>25</v>
      </c>
      <c r="S34" s="754">
        <f t="shared" si="12"/>
        <v>100</v>
      </c>
      <c r="T34" s="753" t="s">
        <v>25</v>
      </c>
      <c r="U34" s="754">
        <f t="shared" si="13"/>
        <v>100</v>
      </c>
      <c r="V34" s="753" t="s">
        <v>25</v>
      </c>
      <c r="W34" s="754">
        <f t="shared" si="14"/>
        <v>100</v>
      </c>
      <c r="X34" s="1900"/>
      <c r="Y34" s="3031"/>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29"/>
      <c r="Q35" s="1899" t="str">
        <f t="shared" si="11"/>
        <v>公共部分装修</v>
      </c>
      <c r="R35" s="753" t="s">
        <v>25</v>
      </c>
      <c r="S35" s="754">
        <f t="shared" si="12"/>
        <v>100</v>
      </c>
      <c r="T35" s="753" t="s">
        <v>25</v>
      </c>
      <c r="U35" s="754">
        <f t="shared" si="13"/>
        <v>100</v>
      </c>
      <c r="V35" s="753" t="s">
        <v>25</v>
      </c>
      <c r="W35" s="754">
        <f t="shared" si="14"/>
        <v>100</v>
      </c>
      <c r="X35" s="1900"/>
      <c r="Y35" s="3031"/>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9"/>
      <c r="Q36" s="1899" t="str">
        <f t="shared" si="11"/>
        <v>成新度</v>
      </c>
      <c r="R36" s="753" t="s">
        <v>25</v>
      </c>
      <c r="S36" s="754" t="e">
        <f t="shared" si="12"/>
        <v>#N/A</v>
      </c>
      <c r="T36" s="753" t="s">
        <v>25</v>
      </c>
      <c r="U36" s="754" t="e">
        <f t="shared" si="13"/>
        <v>#N/A</v>
      </c>
      <c r="V36" s="753" t="s">
        <v>25</v>
      </c>
      <c r="W36" s="754" t="e">
        <f t="shared" si="14"/>
        <v>#N/A</v>
      </c>
      <c r="X36" s="1900"/>
      <c r="Y36" s="3031"/>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29"/>
      <c r="Q37" s="1887" t="str">
        <f t="shared" si="11"/>
        <v>市政基础设施</v>
      </c>
      <c r="R37" s="749" t="s">
        <v>25</v>
      </c>
      <c r="S37" s="750">
        <f t="shared" si="12"/>
        <v>100</v>
      </c>
      <c r="T37" s="749" t="s">
        <v>25</v>
      </c>
      <c r="U37" s="750">
        <f t="shared" si="13"/>
        <v>100</v>
      </c>
      <c r="V37" s="749" t="s">
        <v>25</v>
      </c>
      <c r="W37" s="750">
        <f t="shared" si="14"/>
        <v>100</v>
      </c>
      <c r="X37" s="751"/>
      <c r="Y37" s="3031"/>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29" t="s">
        <v>2371</v>
      </c>
      <c r="Q38" s="1899" t="str">
        <f t="shared" si="11"/>
        <v>业态</v>
      </c>
      <c r="R38" s="753" t="s">
        <v>25</v>
      </c>
      <c r="S38" s="754">
        <f t="shared" si="12"/>
        <v>100</v>
      </c>
      <c r="T38" s="753" t="s">
        <v>25</v>
      </c>
      <c r="U38" s="754">
        <f t="shared" si="13"/>
        <v>100</v>
      </c>
      <c r="V38" s="753" t="s">
        <v>25</v>
      </c>
      <c r="W38" s="754">
        <f t="shared" si="14"/>
        <v>100</v>
      </c>
      <c r="X38" s="1900"/>
      <c r="Y38" s="3031"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29"/>
      <c r="Q39" s="1899" t="str">
        <f t="shared" si="11"/>
        <v>层高</v>
      </c>
      <c r="R39" s="753" t="s">
        <v>25</v>
      </c>
      <c r="S39" s="754">
        <f t="shared" si="12"/>
        <v>100</v>
      </c>
      <c r="T39" s="753" t="s">
        <v>25</v>
      </c>
      <c r="U39" s="754">
        <f t="shared" si="13"/>
        <v>100</v>
      </c>
      <c r="V39" s="753" t="s">
        <v>25</v>
      </c>
      <c r="W39" s="754">
        <f t="shared" si="14"/>
        <v>100</v>
      </c>
      <c r="X39" s="1900"/>
      <c r="Y39" s="3031"/>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9"/>
      <c r="Q40" s="1899" t="str">
        <f t="shared" si="11"/>
        <v>单套建筑面积</v>
      </c>
      <c r="R40" s="753" t="s">
        <v>25</v>
      </c>
      <c r="S40" s="754">
        <f t="shared" si="12"/>
        <v>100</v>
      </c>
      <c r="T40" s="753" t="s">
        <v>25</v>
      </c>
      <c r="U40" s="754">
        <f t="shared" si="13"/>
        <v>100</v>
      </c>
      <c r="V40" s="753" t="s">
        <v>25</v>
      </c>
      <c r="W40" s="754">
        <f t="shared" si="14"/>
        <v>100</v>
      </c>
      <c r="X40" s="1900"/>
      <c r="Y40" s="3031"/>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9"/>
      <c r="Q41" s="755" t="str">
        <f t="shared" si="11"/>
        <v>进深比</v>
      </c>
      <c r="R41" s="756" t="s">
        <v>25</v>
      </c>
      <c r="S41" s="757">
        <f t="shared" si="12"/>
        <v>100</v>
      </c>
      <c r="T41" s="756" t="s">
        <v>25</v>
      </c>
      <c r="U41" s="757">
        <f t="shared" si="13"/>
        <v>100</v>
      </c>
      <c r="V41" s="756" t="s">
        <v>25</v>
      </c>
      <c r="W41" s="757">
        <f t="shared" si="14"/>
        <v>100</v>
      </c>
      <c r="X41" s="758"/>
      <c r="Y41" s="3031"/>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29"/>
      <c r="Q42" s="1899" t="str">
        <f t="shared" si="11"/>
        <v>内部装修</v>
      </c>
      <c r="R42" s="753" t="s">
        <v>25</v>
      </c>
      <c r="S42" s="754">
        <f t="shared" si="12"/>
        <v>100</v>
      </c>
      <c r="T42" s="753" t="s">
        <v>25</v>
      </c>
      <c r="U42" s="754">
        <f t="shared" si="13"/>
        <v>100</v>
      </c>
      <c r="V42" s="753" t="s">
        <v>25</v>
      </c>
      <c r="W42" s="754">
        <f t="shared" si="14"/>
        <v>100</v>
      </c>
      <c r="X42" s="1900"/>
      <c r="Y42" s="3031"/>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29"/>
      <c r="Q43" s="1899" t="str">
        <f t="shared" si="11"/>
        <v>内部装修维护情况</v>
      </c>
      <c r="R43" s="753" t="s">
        <v>25</v>
      </c>
      <c r="S43" s="754">
        <f t="shared" si="12"/>
        <v>100</v>
      </c>
      <c r="T43" s="753" t="s">
        <v>25</v>
      </c>
      <c r="U43" s="754">
        <f t="shared" si="13"/>
        <v>100</v>
      </c>
      <c r="V43" s="753" t="s">
        <v>25</v>
      </c>
      <c r="W43" s="754">
        <f t="shared" si="14"/>
        <v>100</v>
      </c>
      <c r="X43" s="1900"/>
      <c r="Y43" s="3031"/>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9"/>
      <c r="Q44" s="1887">
        <f t="shared" si="11"/>
        <v>111</v>
      </c>
      <c r="R44" s="749" t="s">
        <v>25</v>
      </c>
      <c r="S44" s="750">
        <f t="shared" si="12"/>
        <v>100</v>
      </c>
      <c r="T44" s="749" t="s">
        <v>25</v>
      </c>
      <c r="U44" s="750">
        <f t="shared" si="13"/>
        <v>100</v>
      </c>
      <c r="V44" s="749" t="s">
        <v>25</v>
      </c>
      <c r="W44" s="750">
        <f t="shared" si="14"/>
        <v>100</v>
      </c>
      <c r="X44" s="751"/>
      <c r="Y44" s="3031"/>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9"/>
      <c r="Q45" s="1899">
        <f t="shared" si="11"/>
        <v>111</v>
      </c>
      <c r="R45" s="753" t="s">
        <v>25</v>
      </c>
      <c r="S45" s="754">
        <f t="shared" si="12"/>
        <v>100</v>
      </c>
      <c r="T45" s="753" t="s">
        <v>25</v>
      </c>
      <c r="U45" s="754">
        <f t="shared" si="13"/>
        <v>100</v>
      </c>
      <c r="V45" s="753" t="s">
        <v>25</v>
      </c>
      <c r="W45" s="754">
        <f t="shared" si="14"/>
        <v>100</v>
      </c>
      <c r="X45" s="1900"/>
      <c r="Y45" s="3031"/>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30"/>
      <c r="Q46" s="1899">
        <f t="shared" si="11"/>
        <v>111</v>
      </c>
      <c r="R46" s="753" t="s">
        <v>25</v>
      </c>
      <c r="S46" s="754">
        <f t="shared" si="12"/>
        <v>100</v>
      </c>
      <c r="T46" s="753" t="s">
        <v>25</v>
      </c>
      <c r="U46" s="754">
        <f t="shared" si="13"/>
        <v>100</v>
      </c>
      <c r="V46" s="753" t="s">
        <v>25</v>
      </c>
      <c r="W46" s="754">
        <f t="shared" si="14"/>
        <v>100</v>
      </c>
      <c r="X46" s="1900"/>
      <c r="Y46" s="3032"/>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3" t="str">
        <f>A47</f>
        <v>成交单价（元/平方米）</v>
      </c>
      <c r="Q47" s="3023"/>
      <c r="R47" s="3019">
        <f>E47</f>
        <v>0</v>
      </c>
      <c r="S47" s="3019"/>
      <c r="T47" s="3019">
        <f>G47</f>
        <v>0</v>
      </c>
      <c r="U47" s="3019"/>
      <c r="V47" s="3019">
        <f>I47</f>
        <v>0</v>
      </c>
      <c r="W47" s="3019"/>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20" t="str">
        <f>A49</f>
        <v>估价对象XX用房的比较价值（楼面单价，元/平方米）</v>
      </c>
      <c r="Q49" s="3021"/>
      <c r="R49" s="3022" t="e">
        <f>IF(E1="售价",ROUND(AVERAGE(R48:V48),0),ROUND(AVERAGE(R48:V48),1))</f>
        <v>#DIV/0!</v>
      </c>
      <c r="S49" s="3022"/>
      <c r="T49" s="3022"/>
      <c r="U49" s="3022"/>
      <c r="V49" s="3022"/>
      <c r="W49" s="3022"/>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2018-6</v>
      </c>
      <c r="D58" s="1679">
        <f>EDATE(C58,-1)</f>
        <v>43221</v>
      </c>
      <c r="E58" s="1679">
        <f t="shared" ref="E58:O58" si="16">EDATE(D58,-1)</f>
        <v>43191</v>
      </c>
      <c r="F58" s="1679">
        <f t="shared" si="16"/>
        <v>43160</v>
      </c>
      <c r="G58" s="1679">
        <f t="shared" si="16"/>
        <v>43132</v>
      </c>
      <c r="H58" s="1679">
        <f t="shared" si="16"/>
        <v>43101</v>
      </c>
      <c r="I58" s="1679">
        <f t="shared" si="16"/>
        <v>43070</v>
      </c>
      <c r="J58" s="1679">
        <f t="shared" si="16"/>
        <v>43040</v>
      </c>
      <c r="K58" s="1679">
        <f t="shared" si="16"/>
        <v>43009</v>
      </c>
      <c r="L58" s="1679">
        <f t="shared" si="16"/>
        <v>42979</v>
      </c>
      <c r="M58" s="1679">
        <f t="shared" si="16"/>
        <v>42948</v>
      </c>
      <c r="N58" s="1679">
        <f t="shared" si="16"/>
        <v>42917</v>
      </c>
      <c r="O58" s="1679">
        <f t="shared" si="16"/>
        <v>42887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59.65</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73" t="s">
        <v>2346</v>
      </c>
      <c r="Q4" s="3055"/>
      <c r="R4" s="3039" t="s">
        <v>2342</v>
      </c>
      <c r="S4" s="3040"/>
      <c r="T4" s="3039" t="s">
        <v>2343</v>
      </c>
      <c r="U4" s="3040"/>
      <c r="V4" s="3060" t="s">
        <v>2344</v>
      </c>
      <c r="W4" s="3060"/>
      <c r="X4" s="1900"/>
      <c r="Y4" s="3039" t="s">
        <v>2346</v>
      </c>
      <c r="Z4" s="3040"/>
      <c r="AA4" s="3047" t="s">
        <v>2342</v>
      </c>
      <c r="AB4" s="3047"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74"/>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75"/>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45"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45" t="s">
        <v>2357</v>
      </c>
      <c r="Q8" s="3038"/>
      <c r="R8" s="749" t="s">
        <v>25</v>
      </c>
      <c r="S8" s="750">
        <f t="shared" si="0"/>
        <v>0</v>
      </c>
      <c r="T8" s="749" t="s">
        <v>25</v>
      </c>
      <c r="U8" s="750">
        <f t="shared" si="1"/>
        <v>0</v>
      </c>
      <c r="V8" s="749" t="s">
        <v>25</v>
      </c>
      <c r="W8" s="750">
        <f t="shared" si="2"/>
        <v>0</v>
      </c>
      <c r="X8" s="751"/>
      <c r="Y8" s="3037" t="s">
        <v>2357</v>
      </c>
      <c r="Z8" s="3038"/>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1"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1"/>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1"/>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1"/>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1"/>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1"/>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55" t="s">
        <v>2365</v>
      </c>
      <c r="Q15" s="1899" t="str">
        <f t="shared" si="6"/>
        <v>办公集聚程度</v>
      </c>
      <c r="R15" s="753" t="s">
        <v>25</v>
      </c>
      <c r="S15" s="754">
        <f t="shared" si="0"/>
        <v>100</v>
      </c>
      <c r="T15" s="753" t="s">
        <v>25</v>
      </c>
      <c r="U15" s="754">
        <f t="shared" si="1"/>
        <v>100</v>
      </c>
      <c r="V15" s="753" t="s">
        <v>25</v>
      </c>
      <c r="W15" s="754">
        <f t="shared" si="2"/>
        <v>100</v>
      </c>
      <c r="X15" s="1900"/>
      <c r="Y15" s="3026"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7"/>
      <c r="Q16" s="1899"/>
      <c r="R16" s="753"/>
      <c r="S16" s="754"/>
      <c r="T16" s="753"/>
      <c r="U16" s="754"/>
      <c r="V16" s="753"/>
      <c r="W16" s="754"/>
      <c r="X16" s="1900"/>
      <c r="Y16" s="3027"/>
      <c r="Z16" s="1902"/>
      <c r="AA16" s="1903">
        <v>1</v>
      </c>
      <c r="AB16" s="1903">
        <v>1</v>
      </c>
      <c r="AC16" s="1903">
        <v>1</v>
      </c>
    </row>
    <row r="17" spans="1:29" ht="142.5">
      <c r="A17" s="408"/>
      <c r="B17" s="615" t="s">
        <v>1750</v>
      </c>
      <c r="C17" s="2468" t="str">
        <f>估价对象房地状况!C6</f>
        <v>估价对象紧邻城市快速路——京良路，周边有地铁房山线（篱笆房站）、有房15路、房18路、房31路、房37路等十多条公交线路，综合评价交通便捷度较好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57"/>
      <c r="Q18" s="1899"/>
      <c r="R18" s="753"/>
      <c r="S18" s="754"/>
      <c r="T18" s="753"/>
      <c r="U18" s="754"/>
      <c r="V18" s="753"/>
      <c r="W18" s="754"/>
      <c r="X18" s="1900"/>
      <c r="Y18" s="3027"/>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57"/>
      <c r="Q20" s="1899"/>
      <c r="R20" s="753"/>
      <c r="S20" s="754"/>
      <c r="T20" s="753"/>
      <c r="U20" s="754"/>
      <c r="V20" s="753"/>
      <c r="W20" s="754"/>
      <c r="X20" s="1900"/>
      <c r="Y20" s="3027"/>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57"/>
      <c r="Q22" s="1899"/>
      <c r="R22" s="753"/>
      <c r="S22" s="754"/>
      <c r="T22" s="753"/>
      <c r="U22" s="754"/>
      <c r="V22" s="753"/>
      <c r="W22" s="754"/>
      <c r="X22" s="1900"/>
      <c r="Y22" s="3027"/>
      <c r="Z22" s="1902"/>
      <c r="AA22" s="1903">
        <v>1</v>
      </c>
      <c r="AB22" s="1903">
        <v>1</v>
      </c>
      <c r="AC22" s="1903">
        <v>1</v>
      </c>
    </row>
    <row r="23" spans="1:29" ht="85.5">
      <c r="A23" s="408"/>
      <c r="B23" s="615" t="s">
        <v>2482</v>
      </c>
      <c r="C23" s="2468" t="str">
        <f>估价对象房地状况!C9</f>
        <v>自然环境：长阳公园等；人文环境：国福东旭高尔夫练习场等，综合评价环境状况一般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57"/>
      <c r="Q24" s="1899"/>
      <c r="R24" s="753"/>
      <c r="S24" s="754"/>
      <c r="T24" s="753"/>
      <c r="U24" s="754"/>
      <c r="V24" s="753"/>
      <c r="W24" s="754"/>
      <c r="X24" s="1900"/>
      <c r="Y24" s="3027"/>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57"/>
      <c r="Q25" s="1899" t="str">
        <f>B25</f>
        <v>毗邻道路的类型与等级</v>
      </c>
      <c r="R25" s="753" t="s">
        <v>25</v>
      </c>
      <c r="S25" s="754">
        <f>F25</f>
        <v>100</v>
      </c>
      <c r="T25" s="753" t="s">
        <v>25</v>
      </c>
      <c r="U25" s="754">
        <f>H25</f>
        <v>100</v>
      </c>
      <c r="V25" s="753" t="s">
        <v>25</v>
      </c>
      <c r="W25" s="754">
        <f>J25</f>
        <v>100</v>
      </c>
      <c r="X25" s="1900"/>
      <c r="Y25" s="3027"/>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7"/>
      <c r="Q26" s="1899"/>
      <c r="R26" s="753"/>
      <c r="S26" s="754"/>
      <c r="T26" s="753"/>
      <c r="U26" s="754"/>
      <c r="V26" s="753"/>
      <c r="W26" s="754"/>
      <c r="X26" s="1900"/>
      <c r="Y26" s="3027"/>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7"/>
      <c r="Q27" s="1899" t="str">
        <f t="shared" ref="Q27:Q47" si="11">B27</f>
        <v>楼层</v>
      </c>
      <c r="R27" s="753" t="s">
        <v>25</v>
      </c>
      <c r="S27" s="754">
        <f>F27</f>
        <v>100</v>
      </c>
      <c r="T27" s="753" t="s">
        <v>25</v>
      </c>
      <c r="U27" s="754">
        <f>H27</f>
        <v>100</v>
      </c>
      <c r="V27" s="753" t="s">
        <v>25</v>
      </c>
      <c r="W27" s="754">
        <f>J27</f>
        <v>100</v>
      </c>
      <c r="X27" s="1900"/>
      <c r="Y27" s="3027"/>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57"/>
      <c r="Q28" s="1887" t="str">
        <f t="shared" si="11"/>
        <v>朝向</v>
      </c>
      <c r="R28" s="749" t="s">
        <v>25</v>
      </c>
      <c r="S28" s="750">
        <f>F28</f>
        <v>100</v>
      </c>
      <c r="T28" s="749" t="s">
        <v>25</v>
      </c>
      <c r="U28" s="750">
        <f>H28</f>
        <v>100</v>
      </c>
      <c r="V28" s="749" t="s">
        <v>25</v>
      </c>
      <c r="W28" s="750">
        <f>J28</f>
        <v>100</v>
      </c>
      <c r="X28" s="751"/>
      <c r="Y28" s="3027"/>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7"/>
      <c r="Q29" s="1899">
        <f t="shared" si="11"/>
        <v>111</v>
      </c>
      <c r="R29" s="753" t="s">
        <v>25</v>
      </c>
      <c r="S29" s="754">
        <f t="shared" ref="S29:S47" si="12">F29</f>
        <v>100</v>
      </c>
      <c r="T29" s="753" t="s">
        <v>25</v>
      </c>
      <c r="U29" s="754">
        <f t="shared" ref="U29:U47" si="13">H29</f>
        <v>100</v>
      </c>
      <c r="V29" s="753" t="s">
        <v>25</v>
      </c>
      <c r="W29" s="754">
        <f t="shared" ref="W29:W47" si="14">J29</f>
        <v>100</v>
      </c>
      <c r="X29" s="1900"/>
      <c r="Y29" s="3027"/>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7"/>
      <c r="Q30" s="1899">
        <f t="shared" si="11"/>
        <v>111</v>
      </c>
      <c r="R30" s="753" t="s">
        <v>25</v>
      </c>
      <c r="S30" s="754">
        <f t="shared" si="12"/>
        <v>100</v>
      </c>
      <c r="T30" s="753" t="s">
        <v>25</v>
      </c>
      <c r="U30" s="754">
        <f t="shared" si="13"/>
        <v>100</v>
      </c>
      <c r="V30" s="753" t="s">
        <v>25</v>
      </c>
      <c r="W30" s="754">
        <f t="shared" si="14"/>
        <v>100</v>
      </c>
      <c r="X30" s="1900"/>
      <c r="Y30" s="3027"/>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7"/>
      <c r="Q31" s="1899">
        <f t="shared" si="11"/>
        <v>111</v>
      </c>
      <c r="R31" s="753" t="s">
        <v>25</v>
      </c>
      <c r="S31" s="754">
        <f t="shared" si="12"/>
        <v>100</v>
      </c>
      <c r="T31" s="753" t="s">
        <v>25</v>
      </c>
      <c r="U31" s="754">
        <f t="shared" si="13"/>
        <v>100</v>
      </c>
      <c r="V31" s="753" t="s">
        <v>25</v>
      </c>
      <c r="W31" s="754">
        <f t="shared" si="14"/>
        <v>100</v>
      </c>
      <c r="X31" s="1900"/>
      <c r="Y31" s="3027"/>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7"/>
      <c r="Q32" s="1899">
        <f t="shared" si="11"/>
        <v>111</v>
      </c>
      <c r="R32" s="753" t="s">
        <v>25</v>
      </c>
      <c r="S32" s="754">
        <f t="shared" si="12"/>
        <v>100</v>
      </c>
      <c r="T32" s="753" t="s">
        <v>25</v>
      </c>
      <c r="U32" s="754">
        <f t="shared" si="13"/>
        <v>100</v>
      </c>
      <c r="V32" s="753" t="s">
        <v>25</v>
      </c>
      <c r="W32" s="754">
        <f t="shared" si="14"/>
        <v>100</v>
      </c>
      <c r="X32" s="1900"/>
      <c r="Y32" s="3027"/>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0" t="s">
        <v>2371</v>
      </c>
      <c r="Q33" s="1899" t="str">
        <f t="shared" si="11"/>
        <v>建筑类型</v>
      </c>
      <c r="R33" s="753" t="s">
        <v>25</v>
      </c>
      <c r="S33" s="754">
        <f t="shared" si="12"/>
        <v>100</v>
      </c>
      <c r="T33" s="753" t="s">
        <v>25</v>
      </c>
      <c r="U33" s="754">
        <f t="shared" si="13"/>
        <v>100</v>
      </c>
      <c r="V33" s="753" t="s">
        <v>25</v>
      </c>
      <c r="W33" s="754">
        <f t="shared" si="14"/>
        <v>100</v>
      </c>
      <c r="X33" s="1900"/>
      <c r="Y33" s="3031"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1"/>
      <c r="Q34" s="755" t="str">
        <f t="shared" si="11"/>
        <v>项目建筑规模</v>
      </c>
      <c r="R34" s="756" t="s">
        <v>25</v>
      </c>
      <c r="S34" s="757" t="e">
        <f t="shared" si="12"/>
        <v>#N/A</v>
      </c>
      <c r="T34" s="756" t="s">
        <v>25</v>
      </c>
      <c r="U34" s="757" t="e">
        <f t="shared" si="13"/>
        <v>#N/A</v>
      </c>
      <c r="V34" s="756" t="s">
        <v>25</v>
      </c>
      <c r="W34" s="757" t="e">
        <f t="shared" si="14"/>
        <v>#N/A</v>
      </c>
      <c r="X34" s="758"/>
      <c r="Y34" s="3031"/>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1"/>
      <c r="Q35" s="1899" t="str">
        <f t="shared" si="11"/>
        <v>建筑结构</v>
      </c>
      <c r="R35" s="753" t="s">
        <v>25</v>
      </c>
      <c r="S35" s="754">
        <f t="shared" si="12"/>
        <v>100</v>
      </c>
      <c r="T35" s="753" t="s">
        <v>25</v>
      </c>
      <c r="U35" s="754">
        <f t="shared" si="13"/>
        <v>100</v>
      </c>
      <c r="V35" s="753" t="s">
        <v>25</v>
      </c>
      <c r="W35" s="754">
        <f t="shared" si="14"/>
        <v>100</v>
      </c>
      <c r="X35" s="1900"/>
      <c r="Y35" s="3031"/>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1"/>
      <c r="Q36" s="1899" t="str">
        <f t="shared" si="11"/>
        <v>公共部分装修</v>
      </c>
      <c r="R36" s="753" t="s">
        <v>25</v>
      </c>
      <c r="S36" s="754">
        <f t="shared" si="12"/>
        <v>100</v>
      </c>
      <c r="T36" s="753" t="s">
        <v>25</v>
      </c>
      <c r="U36" s="754">
        <f t="shared" si="13"/>
        <v>100</v>
      </c>
      <c r="V36" s="753" t="s">
        <v>25</v>
      </c>
      <c r="W36" s="754">
        <f t="shared" si="14"/>
        <v>100</v>
      </c>
      <c r="X36" s="1900"/>
      <c r="Y36" s="3031"/>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1"/>
      <c r="Q37" s="1899" t="str">
        <f t="shared" si="11"/>
        <v>成新度</v>
      </c>
      <c r="R37" s="753" t="s">
        <v>25</v>
      </c>
      <c r="S37" s="754" t="e">
        <f t="shared" si="12"/>
        <v>#N/A</v>
      </c>
      <c r="T37" s="753" t="s">
        <v>25</v>
      </c>
      <c r="U37" s="754" t="e">
        <f t="shared" si="13"/>
        <v>#N/A</v>
      </c>
      <c r="V37" s="753" t="s">
        <v>25</v>
      </c>
      <c r="W37" s="754" t="e">
        <f t="shared" si="14"/>
        <v>#N/A</v>
      </c>
      <c r="X37" s="1900"/>
      <c r="Y37" s="3031"/>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1"/>
      <c r="Q38" s="1887" t="str">
        <f t="shared" si="11"/>
        <v>写字楼等级</v>
      </c>
      <c r="R38" s="749" t="s">
        <v>25</v>
      </c>
      <c r="S38" s="750">
        <f t="shared" si="12"/>
        <v>100</v>
      </c>
      <c r="T38" s="749" t="s">
        <v>25</v>
      </c>
      <c r="U38" s="750">
        <f t="shared" si="13"/>
        <v>100</v>
      </c>
      <c r="V38" s="749" t="s">
        <v>25</v>
      </c>
      <c r="W38" s="750">
        <f t="shared" si="14"/>
        <v>100</v>
      </c>
      <c r="X38" s="751"/>
      <c r="Y38" s="3031"/>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1" t="s">
        <v>2371</v>
      </c>
      <c r="Q39" s="1899" t="str">
        <f t="shared" si="11"/>
        <v>物业管理</v>
      </c>
      <c r="R39" s="753" t="s">
        <v>25</v>
      </c>
      <c r="S39" s="754">
        <f t="shared" si="12"/>
        <v>100</v>
      </c>
      <c r="T39" s="753" t="s">
        <v>25</v>
      </c>
      <c r="U39" s="754">
        <f t="shared" si="13"/>
        <v>100</v>
      </c>
      <c r="V39" s="753" t="s">
        <v>25</v>
      </c>
      <c r="W39" s="754">
        <f t="shared" si="14"/>
        <v>100</v>
      </c>
      <c r="X39" s="1900"/>
      <c r="Y39" s="3031"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1"/>
      <c r="Q40" s="1899" t="str">
        <f t="shared" si="11"/>
        <v>市政基础设施</v>
      </c>
      <c r="R40" s="753" t="s">
        <v>25</v>
      </c>
      <c r="S40" s="754">
        <f t="shared" si="12"/>
        <v>100</v>
      </c>
      <c r="T40" s="753" t="s">
        <v>25</v>
      </c>
      <c r="U40" s="754">
        <f t="shared" si="13"/>
        <v>100</v>
      </c>
      <c r="V40" s="753" t="s">
        <v>25</v>
      </c>
      <c r="W40" s="754">
        <f t="shared" si="14"/>
        <v>100</v>
      </c>
      <c r="X40" s="1900"/>
      <c r="Y40" s="3031"/>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1"/>
      <c r="Q41" s="1899" t="str">
        <f t="shared" si="11"/>
        <v>层高</v>
      </c>
      <c r="R41" s="753" t="s">
        <v>25</v>
      </c>
      <c r="S41" s="754">
        <f t="shared" si="12"/>
        <v>100</v>
      </c>
      <c r="T41" s="753" t="s">
        <v>25</v>
      </c>
      <c r="U41" s="754">
        <f t="shared" si="13"/>
        <v>100</v>
      </c>
      <c r="V41" s="753" t="s">
        <v>25</v>
      </c>
      <c r="W41" s="754">
        <f t="shared" si="14"/>
        <v>100</v>
      </c>
      <c r="X41" s="1900"/>
      <c r="Y41" s="3031"/>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1"/>
      <c r="Q42" s="755" t="str">
        <f t="shared" si="11"/>
        <v>单套建筑面积</v>
      </c>
      <c r="R42" s="756" t="s">
        <v>25</v>
      </c>
      <c r="S42" s="757">
        <f t="shared" si="12"/>
        <v>100</v>
      </c>
      <c r="T42" s="756" t="s">
        <v>25</v>
      </c>
      <c r="U42" s="757">
        <f t="shared" si="13"/>
        <v>100</v>
      </c>
      <c r="V42" s="756" t="s">
        <v>25</v>
      </c>
      <c r="W42" s="757">
        <f t="shared" si="14"/>
        <v>100</v>
      </c>
      <c r="X42" s="758"/>
      <c r="Y42" s="3031"/>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1"/>
      <c r="Q43" s="1899" t="str">
        <f t="shared" si="11"/>
        <v>内部装修</v>
      </c>
      <c r="R43" s="753" t="s">
        <v>25</v>
      </c>
      <c r="S43" s="754">
        <f t="shared" si="12"/>
        <v>100</v>
      </c>
      <c r="T43" s="753" t="s">
        <v>25</v>
      </c>
      <c r="U43" s="754">
        <f t="shared" si="13"/>
        <v>100</v>
      </c>
      <c r="V43" s="753" t="s">
        <v>25</v>
      </c>
      <c r="W43" s="754">
        <f t="shared" si="14"/>
        <v>100</v>
      </c>
      <c r="X43" s="1900"/>
      <c r="Y43" s="3031"/>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1"/>
      <c r="Q44" s="1899" t="str">
        <f t="shared" si="11"/>
        <v>内部装修维护情况</v>
      </c>
      <c r="R44" s="753" t="s">
        <v>25</v>
      </c>
      <c r="S44" s="754">
        <f t="shared" si="12"/>
        <v>100</v>
      </c>
      <c r="T44" s="753" t="s">
        <v>25</v>
      </c>
      <c r="U44" s="754">
        <f t="shared" si="13"/>
        <v>100</v>
      </c>
      <c r="V44" s="753" t="s">
        <v>25</v>
      </c>
      <c r="W44" s="754">
        <f t="shared" si="14"/>
        <v>100</v>
      </c>
      <c r="X44" s="1900"/>
      <c r="Y44" s="3031"/>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1"/>
      <c r="Q45" s="1887">
        <f t="shared" si="11"/>
        <v>111</v>
      </c>
      <c r="R45" s="749" t="s">
        <v>25</v>
      </c>
      <c r="S45" s="750">
        <f t="shared" si="12"/>
        <v>100</v>
      </c>
      <c r="T45" s="749" t="s">
        <v>25</v>
      </c>
      <c r="U45" s="750">
        <f t="shared" si="13"/>
        <v>100</v>
      </c>
      <c r="V45" s="749" t="s">
        <v>25</v>
      </c>
      <c r="W45" s="750">
        <f t="shared" si="14"/>
        <v>100</v>
      </c>
      <c r="X45" s="751"/>
      <c r="Y45" s="3031"/>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1"/>
      <c r="Q46" s="1899">
        <f t="shared" si="11"/>
        <v>111</v>
      </c>
      <c r="R46" s="753" t="s">
        <v>25</v>
      </c>
      <c r="S46" s="754">
        <f t="shared" si="12"/>
        <v>100</v>
      </c>
      <c r="T46" s="753" t="s">
        <v>25</v>
      </c>
      <c r="U46" s="754">
        <f t="shared" si="13"/>
        <v>100</v>
      </c>
      <c r="V46" s="753" t="s">
        <v>25</v>
      </c>
      <c r="W46" s="754">
        <f t="shared" si="14"/>
        <v>100</v>
      </c>
      <c r="X46" s="1900"/>
      <c r="Y46" s="3031"/>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2"/>
      <c r="Q47" s="1899">
        <f t="shared" si="11"/>
        <v>111</v>
      </c>
      <c r="R47" s="753" t="s">
        <v>25</v>
      </c>
      <c r="S47" s="754">
        <f t="shared" si="12"/>
        <v>100</v>
      </c>
      <c r="T47" s="753" t="s">
        <v>25</v>
      </c>
      <c r="U47" s="754">
        <f t="shared" si="13"/>
        <v>100</v>
      </c>
      <c r="V47" s="753" t="s">
        <v>25</v>
      </c>
      <c r="W47" s="754">
        <f t="shared" si="14"/>
        <v>100</v>
      </c>
      <c r="X47" s="1900"/>
      <c r="Y47" s="3032"/>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21" t="str">
        <f>A48</f>
        <v>成交单价（元/平方米）</v>
      </c>
      <c r="Q48" s="3023"/>
      <c r="R48" s="3019">
        <f>E48</f>
        <v>0</v>
      </c>
      <c r="S48" s="3019"/>
      <c r="T48" s="3019">
        <f>G48</f>
        <v>0</v>
      </c>
      <c r="U48" s="3019"/>
      <c r="V48" s="3019">
        <f>I48</f>
        <v>0</v>
      </c>
      <c r="W48" s="3019"/>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9" t="str">
        <f>A50</f>
        <v>估价对象XX用房的比较价值（楼面单价，元/平方米）</v>
      </c>
      <c r="Q50" s="3021"/>
      <c r="R50" s="3022" t="e">
        <f>IF(E1="售价",ROUND(AVERAGE(R49:V49),0),ROUND(AVERAGE(R49:V49),1))</f>
        <v>#DIV/0!</v>
      </c>
      <c r="S50" s="3022"/>
      <c r="T50" s="3022"/>
      <c r="U50" s="3022"/>
      <c r="V50" s="3022"/>
      <c r="W50" s="3022"/>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2018-6</v>
      </c>
      <c r="D59" s="1679">
        <f>EDATE(C59,-1)</f>
        <v>43221</v>
      </c>
      <c r="E59" s="1679">
        <f t="shared" ref="E59:O59" si="16">EDATE(D59,-1)</f>
        <v>43191</v>
      </c>
      <c r="F59" s="1679">
        <f t="shared" si="16"/>
        <v>43160</v>
      </c>
      <c r="G59" s="1679">
        <f t="shared" si="16"/>
        <v>43132</v>
      </c>
      <c r="H59" s="1679">
        <f t="shared" si="16"/>
        <v>43101</v>
      </c>
      <c r="I59" s="1679">
        <f t="shared" si="16"/>
        <v>43070</v>
      </c>
      <c r="J59" s="1679">
        <f t="shared" si="16"/>
        <v>43040</v>
      </c>
      <c r="K59" s="1679">
        <f t="shared" si="16"/>
        <v>43009</v>
      </c>
      <c r="L59" s="1679">
        <f t="shared" si="16"/>
        <v>42979</v>
      </c>
      <c r="M59" s="1679">
        <f t="shared" si="16"/>
        <v>42948</v>
      </c>
      <c r="N59" s="1679">
        <f t="shared" si="16"/>
        <v>42917</v>
      </c>
      <c r="O59" s="1679">
        <f t="shared" si="16"/>
        <v>42887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7" t="s">
        <v>2357</v>
      </c>
      <c r="Q8" s="3038"/>
      <c r="R8" s="749" t="s">
        <v>25</v>
      </c>
      <c r="S8" s="750">
        <f t="shared" si="0"/>
        <v>100</v>
      </c>
      <c r="T8" s="749" t="s">
        <v>25</v>
      </c>
      <c r="U8" s="750">
        <f t="shared" si="1"/>
        <v>100</v>
      </c>
      <c r="V8" s="749" t="s">
        <v>25</v>
      </c>
      <c r="W8" s="750">
        <f t="shared" si="2"/>
        <v>100</v>
      </c>
      <c r="X8" s="751"/>
      <c r="Y8" s="3037" t="s">
        <v>2357</v>
      </c>
      <c r="Z8" s="3038"/>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27"/>
      <c r="Q18" s="1899"/>
      <c r="R18" s="753"/>
      <c r="S18" s="754"/>
      <c r="T18" s="753"/>
      <c r="U18" s="754"/>
      <c r="V18" s="753"/>
      <c r="W18" s="754"/>
      <c r="X18" s="1900"/>
      <c r="Y18" s="3027"/>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7"/>
      <c r="Q19" s="1899" t="str">
        <f>B19</f>
        <v>公共配套设施</v>
      </c>
      <c r="R19" s="753" t="s">
        <v>25</v>
      </c>
      <c r="S19" s="754">
        <f>F19</f>
        <v>100</v>
      </c>
      <c r="T19" s="753" t="s">
        <v>25</v>
      </c>
      <c r="U19" s="754">
        <f>H19</f>
        <v>100</v>
      </c>
      <c r="V19" s="753" t="s">
        <v>25</v>
      </c>
      <c r="W19" s="754">
        <f>J19</f>
        <v>100</v>
      </c>
      <c r="X19" s="1900"/>
      <c r="Y19" s="3027"/>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27"/>
      <c r="Q20" s="1899"/>
      <c r="R20" s="753"/>
      <c r="S20" s="754"/>
      <c r="T20" s="753"/>
      <c r="U20" s="754"/>
      <c r="V20" s="753"/>
      <c r="W20" s="754"/>
      <c r="X20" s="1900"/>
      <c r="Y20" s="3027"/>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7"/>
      <c r="Q21" s="1899" t="str">
        <f>B21</f>
        <v>基础设施水平</v>
      </c>
      <c r="R21" s="753" t="s">
        <v>25</v>
      </c>
      <c r="S21" s="754">
        <f>F21</f>
        <v>100</v>
      </c>
      <c r="T21" s="753" t="s">
        <v>25</v>
      </c>
      <c r="U21" s="754">
        <f>H21</f>
        <v>100</v>
      </c>
      <c r="V21" s="753" t="s">
        <v>25</v>
      </c>
      <c r="W21" s="754">
        <f>J21</f>
        <v>100</v>
      </c>
      <c r="X21" s="1900"/>
      <c r="Y21" s="3027"/>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27"/>
      <c r="Q22" s="1899"/>
      <c r="R22" s="753"/>
      <c r="S22" s="754"/>
      <c r="T22" s="753"/>
      <c r="U22" s="754"/>
      <c r="V22" s="753"/>
      <c r="W22" s="754"/>
      <c r="X22" s="1900"/>
      <c r="Y22" s="3027"/>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7"/>
      <c r="Q23" s="1899" t="str">
        <f>B23</f>
        <v>环境质量</v>
      </c>
      <c r="R23" s="753" t="s">
        <v>25</v>
      </c>
      <c r="S23" s="754">
        <f>F23</f>
        <v>100</v>
      </c>
      <c r="T23" s="753" t="s">
        <v>25</v>
      </c>
      <c r="U23" s="754">
        <f>H23</f>
        <v>100</v>
      </c>
      <c r="V23" s="753" t="s">
        <v>25</v>
      </c>
      <c r="W23" s="754">
        <f>J23</f>
        <v>100</v>
      </c>
      <c r="X23" s="1900"/>
      <c r="Y23" s="3027"/>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27"/>
      <c r="Q24" s="1899"/>
      <c r="R24" s="753"/>
      <c r="S24" s="754"/>
      <c r="T24" s="753"/>
      <c r="U24" s="754"/>
      <c r="V24" s="753"/>
      <c r="W24" s="754"/>
      <c r="X24" s="1900"/>
      <c r="Y24" s="3027"/>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7"/>
      <c r="Q25" s="1899">
        <f>B25</f>
        <v>111</v>
      </c>
      <c r="R25" s="753" t="s">
        <v>25</v>
      </c>
      <c r="S25" s="754">
        <f>F25</f>
        <v>100</v>
      </c>
      <c r="T25" s="753" t="s">
        <v>25</v>
      </c>
      <c r="U25" s="754">
        <f>H25</f>
        <v>100</v>
      </c>
      <c r="V25" s="753" t="s">
        <v>25</v>
      </c>
      <c r="W25" s="754">
        <f>J25</f>
        <v>100</v>
      </c>
      <c r="X25" s="1900"/>
      <c r="Y25" s="3027"/>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7"/>
      <c r="Q26" s="1899">
        <f t="shared" ref="Q26:Q40" si="11">B26</f>
        <v>111</v>
      </c>
      <c r="R26" s="753" t="s">
        <v>25</v>
      </c>
      <c r="S26" s="754">
        <f>F26</f>
        <v>100</v>
      </c>
      <c r="T26" s="753" t="s">
        <v>25</v>
      </c>
      <c r="U26" s="754">
        <f>H26</f>
        <v>100</v>
      </c>
      <c r="V26" s="753" t="s">
        <v>25</v>
      </c>
      <c r="W26" s="754">
        <f>J26</f>
        <v>100</v>
      </c>
      <c r="X26" s="1900"/>
      <c r="Y26" s="3027"/>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7"/>
      <c r="Q27" s="1887">
        <f t="shared" si="11"/>
        <v>111</v>
      </c>
      <c r="R27" s="749" t="s">
        <v>25</v>
      </c>
      <c r="S27" s="750">
        <f>F27</f>
        <v>100</v>
      </c>
      <c r="T27" s="749" t="s">
        <v>25</v>
      </c>
      <c r="U27" s="750">
        <f>H27</f>
        <v>100</v>
      </c>
      <c r="V27" s="749" t="s">
        <v>25</v>
      </c>
      <c r="W27" s="750">
        <f>J27</f>
        <v>100</v>
      </c>
      <c r="X27" s="751"/>
      <c r="Y27" s="3027"/>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7"/>
      <c r="Q28" s="1899">
        <f t="shared" si="11"/>
        <v>111</v>
      </c>
      <c r="R28" s="753" t="s">
        <v>25</v>
      </c>
      <c r="S28" s="754">
        <f t="shared" ref="S28:S40" si="12">F28</f>
        <v>100</v>
      </c>
      <c r="T28" s="753" t="s">
        <v>25</v>
      </c>
      <c r="U28" s="754">
        <f t="shared" ref="U28:U40" si="13">H28</f>
        <v>100</v>
      </c>
      <c r="V28" s="753" t="s">
        <v>25</v>
      </c>
      <c r="W28" s="754">
        <f t="shared" ref="W28:W40" si="14">J28</f>
        <v>100</v>
      </c>
      <c r="X28" s="1900"/>
      <c r="Y28" s="3027"/>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6" t="s">
        <v>2371</v>
      </c>
      <c r="Q29" s="1899" t="str">
        <f t="shared" si="11"/>
        <v>建筑类型</v>
      </c>
      <c r="R29" s="753" t="s">
        <v>25</v>
      </c>
      <c r="S29" s="754">
        <f t="shared" si="12"/>
        <v>100</v>
      </c>
      <c r="T29" s="753" t="s">
        <v>25</v>
      </c>
      <c r="U29" s="754">
        <f t="shared" si="13"/>
        <v>100</v>
      </c>
      <c r="V29" s="753" t="s">
        <v>25</v>
      </c>
      <c r="W29" s="754">
        <f t="shared" si="14"/>
        <v>100</v>
      </c>
      <c r="X29" s="1900"/>
      <c r="Y29" s="3031"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31"/>
      <c r="Q30" s="755" t="str">
        <f t="shared" si="11"/>
        <v>项目建筑规模</v>
      </c>
      <c r="R30" s="756" t="s">
        <v>25</v>
      </c>
      <c r="S30" s="757" t="e">
        <f t="shared" si="12"/>
        <v>#N/A</v>
      </c>
      <c r="T30" s="756" t="s">
        <v>25</v>
      </c>
      <c r="U30" s="757" t="e">
        <f t="shared" si="13"/>
        <v>#N/A</v>
      </c>
      <c r="V30" s="756" t="s">
        <v>25</v>
      </c>
      <c r="W30" s="757" t="e">
        <f t="shared" si="14"/>
        <v>#N/A</v>
      </c>
      <c r="X30" s="758"/>
      <c r="Y30" s="3031"/>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31"/>
      <c r="Q31" s="1899" t="str">
        <f t="shared" si="11"/>
        <v>建筑结构</v>
      </c>
      <c r="R31" s="753" t="s">
        <v>25</v>
      </c>
      <c r="S31" s="754">
        <f t="shared" si="12"/>
        <v>100</v>
      </c>
      <c r="T31" s="753" t="s">
        <v>25</v>
      </c>
      <c r="U31" s="754">
        <f t="shared" si="13"/>
        <v>100</v>
      </c>
      <c r="V31" s="753" t="s">
        <v>25</v>
      </c>
      <c r="W31" s="754">
        <f t="shared" si="14"/>
        <v>100</v>
      </c>
      <c r="X31" s="1900"/>
      <c r="Y31" s="3031"/>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31"/>
      <c r="Q32" s="1899" t="str">
        <f t="shared" si="11"/>
        <v>公共部分装修</v>
      </c>
      <c r="R32" s="753" t="s">
        <v>25</v>
      </c>
      <c r="S32" s="754">
        <f t="shared" si="12"/>
        <v>100</v>
      </c>
      <c r="T32" s="753" t="s">
        <v>25</v>
      </c>
      <c r="U32" s="754">
        <f t="shared" si="13"/>
        <v>100</v>
      </c>
      <c r="V32" s="753" t="s">
        <v>25</v>
      </c>
      <c r="W32" s="754">
        <f t="shared" si="14"/>
        <v>100</v>
      </c>
      <c r="X32" s="1900"/>
      <c r="Y32" s="3031"/>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31"/>
      <c r="Q33" s="1899" t="str">
        <f t="shared" si="11"/>
        <v>成新度</v>
      </c>
      <c r="R33" s="753" t="s">
        <v>25</v>
      </c>
      <c r="S33" s="754" t="e">
        <f t="shared" si="12"/>
        <v>#N/A</v>
      </c>
      <c r="T33" s="753" t="s">
        <v>25</v>
      </c>
      <c r="U33" s="754" t="e">
        <f t="shared" si="13"/>
        <v>#N/A</v>
      </c>
      <c r="V33" s="753" t="s">
        <v>25</v>
      </c>
      <c r="W33" s="754" t="e">
        <f t="shared" si="14"/>
        <v>#N/A</v>
      </c>
      <c r="X33" s="1900"/>
      <c r="Y33" s="3031"/>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31"/>
      <c r="Q34" s="1887" t="str">
        <f t="shared" si="11"/>
        <v>物业管理</v>
      </c>
      <c r="R34" s="749" t="s">
        <v>25</v>
      </c>
      <c r="S34" s="750">
        <f t="shared" si="12"/>
        <v>100</v>
      </c>
      <c r="T34" s="749" t="s">
        <v>25</v>
      </c>
      <c r="U34" s="750">
        <f t="shared" si="13"/>
        <v>100</v>
      </c>
      <c r="V34" s="749" t="s">
        <v>25</v>
      </c>
      <c r="W34" s="750">
        <f t="shared" si="14"/>
        <v>100</v>
      </c>
      <c r="X34" s="751"/>
      <c r="Y34" s="3031"/>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31" t="s">
        <v>2371</v>
      </c>
      <c r="Q35" s="1899" t="str">
        <f t="shared" si="11"/>
        <v>市政基础设施</v>
      </c>
      <c r="R35" s="753" t="s">
        <v>25</v>
      </c>
      <c r="S35" s="754">
        <f t="shared" si="12"/>
        <v>100</v>
      </c>
      <c r="T35" s="753" t="s">
        <v>25</v>
      </c>
      <c r="U35" s="754">
        <f t="shared" si="13"/>
        <v>100</v>
      </c>
      <c r="V35" s="753" t="s">
        <v>25</v>
      </c>
      <c r="W35" s="754">
        <f t="shared" si="14"/>
        <v>100</v>
      </c>
      <c r="X35" s="1900"/>
      <c r="Y35" s="3031"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31"/>
      <c r="Q36" s="1899" t="str">
        <f t="shared" si="11"/>
        <v>内部装修</v>
      </c>
      <c r="R36" s="753" t="s">
        <v>25</v>
      </c>
      <c r="S36" s="754">
        <f t="shared" si="12"/>
        <v>100</v>
      </c>
      <c r="T36" s="753" t="s">
        <v>25</v>
      </c>
      <c r="U36" s="754">
        <f t="shared" si="13"/>
        <v>100</v>
      </c>
      <c r="V36" s="753" t="s">
        <v>25</v>
      </c>
      <c r="W36" s="754">
        <f t="shared" si="14"/>
        <v>100</v>
      </c>
      <c r="X36" s="1900"/>
      <c r="Y36" s="3031"/>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31"/>
      <c r="Q37" s="1899" t="str">
        <f t="shared" si="11"/>
        <v>内部装修状况</v>
      </c>
      <c r="R37" s="753" t="s">
        <v>25</v>
      </c>
      <c r="S37" s="754">
        <f t="shared" si="12"/>
        <v>0</v>
      </c>
      <c r="T37" s="753" t="s">
        <v>25</v>
      </c>
      <c r="U37" s="754">
        <f t="shared" si="13"/>
        <v>0</v>
      </c>
      <c r="V37" s="753" t="s">
        <v>25</v>
      </c>
      <c r="W37" s="754">
        <f t="shared" si="14"/>
        <v>0</v>
      </c>
      <c r="X37" s="1900"/>
      <c r="Y37" s="3031"/>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31"/>
      <c r="Q38" s="755">
        <f t="shared" si="11"/>
        <v>111</v>
      </c>
      <c r="R38" s="756" t="s">
        <v>25</v>
      </c>
      <c r="S38" s="757">
        <f t="shared" si="12"/>
        <v>100</v>
      </c>
      <c r="T38" s="756" t="s">
        <v>25</v>
      </c>
      <c r="U38" s="757">
        <f t="shared" si="13"/>
        <v>100</v>
      </c>
      <c r="V38" s="756" t="s">
        <v>25</v>
      </c>
      <c r="W38" s="757">
        <f t="shared" si="14"/>
        <v>100</v>
      </c>
      <c r="X38" s="758"/>
      <c r="Y38" s="3031"/>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31"/>
      <c r="Q39" s="1899">
        <f t="shared" si="11"/>
        <v>111</v>
      </c>
      <c r="R39" s="753" t="s">
        <v>25</v>
      </c>
      <c r="S39" s="754">
        <f t="shared" si="12"/>
        <v>100</v>
      </c>
      <c r="T39" s="753" t="s">
        <v>25</v>
      </c>
      <c r="U39" s="754">
        <f t="shared" si="13"/>
        <v>100</v>
      </c>
      <c r="V39" s="753" t="s">
        <v>25</v>
      </c>
      <c r="W39" s="754">
        <f t="shared" si="14"/>
        <v>100</v>
      </c>
      <c r="X39" s="1900"/>
      <c r="Y39" s="3031"/>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32"/>
      <c r="Q40" s="1899">
        <f t="shared" si="11"/>
        <v>111</v>
      </c>
      <c r="R40" s="753" t="s">
        <v>25</v>
      </c>
      <c r="S40" s="754">
        <f t="shared" si="12"/>
        <v>100</v>
      </c>
      <c r="T40" s="753" t="s">
        <v>25</v>
      </c>
      <c r="U40" s="754">
        <f t="shared" si="13"/>
        <v>100</v>
      </c>
      <c r="V40" s="753" t="s">
        <v>25</v>
      </c>
      <c r="W40" s="754">
        <f t="shared" si="14"/>
        <v>100</v>
      </c>
      <c r="X40" s="1900"/>
      <c r="Y40" s="3032"/>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3" t="str">
        <f>A41</f>
        <v>成交单价（元/平方米）</v>
      </c>
      <c r="Q41" s="3023"/>
      <c r="R41" s="3019">
        <f>E41</f>
        <v>0</v>
      </c>
      <c r="S41" s="3019"/>
      <c r="T41" s="3019">
        <f>G41</f>
        <v>0</v>
      </c>
      <c r="U41" s="3019"/>
      <c r="V41" s="3019">
        <f>I41</f>
        <v>0</v>
      </c>
      <c r="W41" s="3019"/>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20" t="str">
        <f>A43</f>
        <v>估价对象XX用房的比较价值（楼面单价，元/平方米）</v>
      </c>
      <c r="Q43" s="3021"/>
      <c r="R43" s="3022" t="e">
        <f>IF(E1="售价",ROUND(AVERAGE(R42:V42),0),ROUND(AVERAGE(R42:V42),1))</f>
        <v>#DIV/0!</v>
      </c>
      <c r="S43" s="3022"/>
      <c r="T43" s="3022"/>
      <c r="U43" s="3022"/>
      <c r="V43" s="3022"/>
      <c r="W43" s="3022"/>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2018-6</v>
      </c>
      <c r="D52" s="1679">
        <f>EDATE(C52,-1)</f>
        <v>43221</v>
      </c>
      <c r="E52" s="1680">
        <f t="shared" ref="E52:O52" si="16">EDATE(D52,-1)</f>
        <v>43191</v>
      </c>
      <c r="F52" s="1680">
        <f t="shared" si="16"/>
        <v>43160</v>
      </c>
      <c r="G52" s="1680">
        <f t="shared" si="16"/>
        <v>43132</v>
      </c>
      <c r="H52" s="1680">
        <f t="shared" si="16"/>
        <v>43101</v>
      </c>
      <c r="I52" s="1680">
        <f t="shared" si="16"/>
        <v>43070</v>
      </c>
      <c r="J52" s="1680">
        <f t="shared" si="16"/>
        <v>43040</v>
      </c>
      <c r="K52" s="1680">
        <f t="shared" si="16"/>
        <v>43009</v>
      </c>
      <c r="L52" s="1680">
        <f t="shared" si="16"/>
        <v>42979</v>
      </c>
      <c r="M52" s="1680">
        <f t="shared" si="16"/>
        <v>42948</v>
      </c>
      <c r="N52" s="1680">
        <f t="shared" si="16"/>
        <v>42917</v>
      </c>
      <c r="O52" s="1680">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59.65</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514"/>
      <c r="M4" s="425"/>
      <c r="N4" s="425"/>
      <c r="O4" s="425"/>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514"/>
      <c r="M5" s="425"/>
      <c r="N5" s="425"/>
      <c r="O5" s="425"/>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514"/>
      <c r="M6" s="425"/>
      <c r="N6" s="425"/>
      <c r="O6" s="425"/>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7" t="s">
        <v>2357</v>
      </c>
      <c r="Q8" s="3038"/>
      <c r="R8" s="749" t="s">
        <v>25</v>
      </c>
      <c r="S8" s="750">
        <f t="shared" si="0"/>
        <v>0</v>
      </c>
      <c r="T8" s="749" t="s">
        <v>25</v>
      </c>
      <c r="U8" s="750">
        <f t="shared" si="1"/>
        <v>0</v>
      </c>
      <c r="V8" s="749" t="s">
        <v>25</v>
      </c>
      <c r="W8" s="750">
        <f t="shared" si="2"/>
        <v>0</v>
      </c>
      <c r="X8" s="751"/>
      <c r="Y8" s="3037" t="s">
        <v>2357</v>
      </c>
      <c r="Z8" s="3038"/>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估价对象紧邻城市快速路——京良路，周边有地铁房山线（篱笆房站）、有房15路、房18路、房31路、房37路等十多条公交线路，综合评价交通便捷度较好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7"/>
      <c r="Q15" s="1899"/>
      <c r="R15" s="753"/>
      <c r="S15" s="754"/>
      <c r="T15" s="753"/>
      <c r="U15" s="754"/>
      <c r="V15" s="753"/>
      <c r="W15" s="754"/>
      <c r="X15" s="1900"/>
      <c r="Y15" s="3027"/>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7"/>
      <c r="Q17" s="1899"/>
      <c r="R17" s="753"/>
      <c r="S17" s="754"/>
      <c r="T17" s="753"/>
      <c r="U17" s="754"/>
      <c r="V17" s="753"/>
      <c r="W17" s="754"/>
      <c r="X17" s="1900"/>
      <c r="Y17" s="3027"/>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7"/>
      <c r="Q19" s="1899"/>
      <c r="R19" s="753"/>
      <c r="S19" s="754"/>
      <c r="T19" s="753"/>
      <c r="U19" s="754"/>
      <c r="V19" s="753"/>
      <c r="W19" s="754"/>
      <c r="X19" s="1900"/>
      <c r="Y19" s="3027"/>
      <c r="Z19" s="1902"/>
      <c r="AA19" s="1903">
        <v>1</v>
      </c>
      <c r="AB19" s="1903">
        <v>1</v>
      </c>
      <c r="AC19" s="1903">
        <v>1</v>
      </c>
    </row>
    <row r="20" spans="1:29" ht="85.5">
      <c r="A20" s="383"/>
      <c r="B20" s="615" t="s">
        <v>2509</v>
      </c>
      <c r="C20" s="1482" t="str">
        <f>IF(B1="工业",估价对象房地状况!G7,估价对象房地状况!C9)</f>
        <v>自然环境：长阳公园等；人文环境：国福东旭高尔夫练习场等，综合评价环境状况一般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7"/>
      <c r="Q21" s="1899"/>
      <c r="R21" s="753"/>
      <c r="S21" s="754"/>
      <c r="T21" s="753"/>
      <c r="U21" s="754"/>
      <c r="V21" s="753"/>
      <c r="W21" s="754"/>
      <c r="X21" s="1900"/>
      <c r="Y21" s="3027"/>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7"/>
      <c r="Q24" s="1899">
        <f t="shared" ref="Q24:Q36"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31"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31"/>
      <c r="Q27" s="755" t="str">
        <f t="shared" si="11"/>
        <v>项目停车位配比</v>
      </c>
      <c r="R27" s="756" t="s">
        <v>25</v>
      </c>
      <c r="S27" s="757">
        <f t="shared" si="12"/>
        <v>100</v>
      </c>
      <c r="T27" s="756" t="s">
        <v>25</v>
      </c>
      <c r="U27" s="757">
        <f t="shared" si="13"/>
        <v>100</v>
      </c>
      <c r="V27" s="756" t="s">
        <v>25</v>
      </c>
      <c r="W27" s="757">
        <f t="shared" si="14"/>
        <v>100</v>
      </c>
      <c r="X27" s="758"/>
      <c r="Y27" s="3031"/>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31"/>
      <c r="Q28" s="1899" t="str">
        <f t="shared" si="11"/>
        <v>公共部分装修</v>
      </c>
      <c r="R28" s="753" t="s">
        <v>25</v>
      </c>
      <c r="S28" s="754">
        <f t="shared" si="12"/>
        <v>100</v>
      </c>
      <c r="T28" s="753" t="s">
        <v>25</v>
      </c>
      <c r="U28" s="754">
        <f t="shared" si="13"/>
        <v>100</v>
      </c>
      <c r="V28" s="753" t="s">
        <v>25</v>
      </c>
      <c r="W28" s="754">
        <f t="shared" si="14"/>
        <v>100</v>
      </c>
      <c r="X28" s="1900"/>
      <c r="Y28" s="3031"/>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31"/>
      <c r="Q29" s="1899" t="str">
        <f t="shared" si="11"/>
        <v>成新率</v>
      </c>
      <c r="R29" s="753" t="s">
        <v>25</v>
      </c>
      <c r="S29" s="754" t="e">
        <f t="shared" si="12"/>
        <v>#N/A</v>
      </c>
      <c r="T29" s="753" t="s">
        <v>25</v>
      </c>
      <c r="U29" s="754" t="e">
        <f t="shared" si="13"/>
        <v>#N/A</v>
      </c>
      <c r="V29" s="753" t="s">
        <v>25</v>
      </c>
      <c r="W29" s="754" t="e">
        <f t="shared" si="14"/>
        <v>#N/A</v>
      </c>
      <c r="X29" s="1900"/>
      <c r="Y29" s="3031"/>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31"/>
      <c r="Q30" s="1899" t="str">
        <f t="shared" si="11"/>
        <v>物业等级</v>
      </c>
      <c r="R30" s="753" t="s">
        <v>25</v>
      </c>
      <c r="S30" s="754">
        <f t="shared" si="12"/>
        <v>100</v>
      </c>
      <c r="T30" s="753" t="s">
        <v>25</v>
      </c>
      <c r="U30" s="754">
        <f t="shared" si="13"/>
        <v>100</v>
      </c>
      <c r="V30" s="753" t="s">
        <v>25</v>
      </c>
      <c r="W30" s="754">
        <f t="shared" si="14"/>
        <v>100</v>
      </c>
      <c r="X30" s="1900"/>
      <c r="Y30" s="3031"/>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31"/>
      <c r="Q31" s="1887" t="str">
        <f t="shared" si="11"/>
        <v>停车位面积</v>
      </c>
      <c r="R31" s="749" t="s">
        <v>25</v>
      </c>
      <c r="S31" s="750" t="e">
        <f t="shared" si="12"/>
        <v>#N/A</v>
      </c>
      <c r="T31" s="749" t="s">
        <v>25</v>
      </c>
      <c r="U31" s="750" t="e">
        <f t="shared" si="13"/>
        <v>#N/A</v>
      </c>
      <c r="V31" s="749" t="s">
        <v>25</v>
      </c>
      <c r="W31" s="750" t="e">
        <f t="shared" si="14"/>
        <v>#N/A</v>
      </c>
      <c r="X31" s="751"/>
      <c r="Y31" s="3031"/>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31" t="s">
        <v>2371</v>
      </c>
      <c r="Q32" s="1899" t="str">
        <f t="shared" si="11"/>
        <v>车位类型</v>
      </c>
      <c r="R32" s="753" t="s">
        <v>25</v>
      </c>
      <c r="S32" s="754">
        <f t="shared" si="12"/>
        <v>100</v>
      </c>
      <c r="T32" s="753" t="s">
        <v>25</v>
      </c>
      <c r="U32" s="754">
        <f t="shared" si="13"/>
        <v>100</v>
      </c>
      <c r="V32" s="753" t="s">
        <v>25</v>
      </c>
      <c r="W32" s="754">
        <f t="shared" si="14"/>
        <v>100</v>
      </c>
      <c r="X32" s="1900"/>
      <c r="Y32" s="3031"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31"/>
      <c r="Q33" s="1899" t="str">
        <f t="shared" si="11"/>
        <v>是否直接入户</v>
      </c>
      <c r="R33" s="753" t="s">
        <v>25</v>
      </c>
      <c r="S33" s="754">
        <f t="shared" si="12"/>
        <v>100</v>
      </c>
      <c r="T33" s="753" t="s">
        <v>25</v>
      </c>
      <c r="U33" s="754">
        <f t="shared" si="13"/>
        <v>100</v>
      </c>
      <c r="V33" s="753" t="s">
        <v>25</v>
      </c>
      <c r="W33" s="754">
        <f t="shared" si="14"/>
        <v>100</v>
      </c>
      <c r="X33" s="1900"/>
      <c r="Y33" s="3031"/>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31"/>
      <c r="Q35" s="755">
        <f t="shared" si="11"/>
        <v>111</v>
      </c>
      <c r="R35" s="756" t="s">
        <v>25</v>
      </c>
      <c r="S35" s="757">
        <f t="shared" si="12"/>
        <v>100</v>
      </c>
      <c r="T35" s="756" t="s">
        <v>25</v>
      </c>
      <c r="U35" s="757">
        <f t="shared" si="13"/>
        <v>100</v>
      </c>
      <c r="V35" s="756" t="s">
        <v>25</v>
      </c>
      <c r="W35" s="757">
        <f t="shared" si="14"/>
        <v>100</v>
      </c>
      <c r="X35" s="758"/>
      <c r="Y35" s="3031"/>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31"/>
      <c r="Q36" s="1899">
        <f t="shared" si="11"/>
        <v>111</v>
      </c>
      <c r="R36" s="753" t="s">
        <v>25</v>
      </c>
      <c r="S36" s="754">
        <f t="shared" si="12"/>
        <v>100</v>
      </c>
      <c r="T36" s="753" t="s">
        <v>25</v>
      </c>
      <c r="U36" s="754">
        <f t="shared" si="13"/>
        <v>100</v>
      </c>
      <c r="V36" s="753" t="s">
        <v>25</v>
      </c>
      <c r="W36" s="754">
        <f t="shared" si="14"/>
        <v>100</v>
      </c>
      <c r="X36" s="1900"/>
      <c r="Y36" s="3031"/>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3" t="str">
        <f>A37</f>
        <v>成交单价</v>
      </c>
      <c r="Q37" s="3023"/>
      <c r="R37" s="3019">
        <f>E37</f>
        <v>0</v>
      </c>
      <c r="S37" s="3019"/>
      <c r="T37" s="3019">
        <f>G37</f>
        <v>0</v>
      </c>
      <c r="U37" s="3019"/>
      <c r="V37" s="3019">
        <f>I37</f>
        <v>0</v>
      </c>
      <c r="W37" s="3019"/>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20" t="str">
        <f>A39</f>
        <v>估价对象XX用房的比较价值（楼面单价，元/平方米）</v>
      </c>
      <c r="Q39" s="3021"/>
      <c r="R39" s="3022" t="e">
        <f>IF(E1="售价",ROUND(AVERAGE(R38:V38),0),ROUND(AVERAGE(R38:V38),1))</f>
        <v>#DIV/0!</v>
      </c>
      <c r="S39" s="3022"/>
      <c r="T39" s="3022"/>
      <c r="U39" s="3022"/>
      <c r="V39" s="3022"/>
      <c r="W39" s="3022"/>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2018-6</v>
      </c>
      <c r="D48" s="1679">
        <f>EDATE(C48,-1)</f>
        <v>43221</v>
      </c>
      <c r="E48" s="1679">
        <f t="shared" ref="E48:O48" si="16">EDATE(D48,-1)</f>
        <v>43191</v>
      </c>
      <c r="F48" s="1679">
        <f t="shared" si="16"/>
        <v>43160</v>
      </c>
      <c r="G48" s="1679">
        <f t="shared" si="16"/>
        <v>43132</v>
      </c>
      <c r="H48" s="1679">
        <f t="shared" si="16"/>
        <v>43101</v>
      </c>
      <c r="I48" s="1679">
        <f t="shared" si="16"/>
        <v>43070</v>
      </c>
      <c r="J48" s="1679">
        <f t="shared" si="16"/>
        <v>43040</v>
      </c>
      <c r="K48" s="1679">
        <f t="shared" si="16"/>
        <v>43009</v>
      </c>
      <c r="L48" s="1679">
        <f t="shared" si="16"/>
        <v>42979</v>
      </c>
      <c r="M48" s="1679">
        <f t="shared" si="16"/>
        <v>42948</v>
      </c>
      <c r="N48" s="1679">
        <f t="shared" si="16"/>
        <v>42917</v>
      </c>
      <c r="O48" s="1679">
        <f t="shared" si="16"/>
        <v>42887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59.65</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37" t="s">
        <v>2354</v>
      </c>
      <c r="Q7" s="3045"/>
      <c r="R7" s="749" t="s">
        <v>25</v>
      </c>
      <c r="S7" s="750">
        <f t="shared" ref="S7:S14" si="0">F7</f>
        <v>0</v>
      </c>
      <c r="T7" s="749" t="s">
        <v>25</v>
      </c>
      <c r="U7" s="750">
        <f t="shared" ref="U7:U14" si="1">H7</f>
        <v>0</v>
      </c>
      <c r="V7" s="749" t="s">
        <v>25</v>
      </c>
      <c r="W7" s="750">
        <f t="shared" ref="W7:W14" si="2">J7</f>
        <v>0</v>
      </c>
      <c r="X7" s="751"/>
      <c r="Y7" s="3037" t="s">
        <v>2354</v>
      </c>
      <c r="Z7" s="3038"/>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3" t="s">
        <v>2360</v>
      </c>
      <c r="Q9" s="1887" t="str">
        <f t="shared" ref="Q9:Q14" si="6">B9</f>
        <v>用途</v>
      </c>
      <c r="R9" s="749" t="s">
        <v>25</v>
      </c>
      <c r="S9" s="750">
        <f t="shared" si="0"/>
        <v>100</v>
      </c>
      <c r="T9" s="749" t="s">
        <v>25</v>
      </c>
      <c r="U9" s="750">
        <f t="shared" si="1"/>
        <v>100</v>
      </c>
      <c r="V9" s="749" t="s">
        <v>25</v>
      </c>
      <c r="W9" s="750">
        <f t="shared" si="2"/>
        <v>100</v>
      </c>
      <c r="X9" s="751"/>
      <c r="Y9" s="2849"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3"/>
      <c r="Q10" s="1887" t="str">
        <f t="shared" si="6"/>
        <v>土地使用年限（年）</v>
      </c>
      <c r="R10" s="749" t="s">
        <v>25</v>
      </c>
      <c r="S10" s="750">
        <f t="shared" si="0"/>
        <v>100</v>
      </c>
      <c r="T10" s="749" t="s">
        <v>25</v>
      </c>
      <c r="U10" s="750">
        <f t="shared" si="1"/>
        <v>100</v>
      </c>
      <c r="V10" s="749" t="s">
        <v>25</v>
      </c>
      <c r="W10" s="750">
        <f t="shared" si="2"/>
        <v>100</v>
      </c>
      <c r="X10" s="751"/>
      <c r="Y10" s="2849"/>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3"/>
      <c r="Q11" s="1887">
        <f t="shared" si="6"/>
        <v>111</v>
      </c>
      <c r="R11" s="749" t="s">
        <v>25</v>
      </c>
      <c r="S11" s="750">
        <f t="shared" si="0"/>
        <v>100</v>
      </c>
      <c r="T11" s="749" t="s">
        <v>25</v>
      </c>
      <c r="U11" s="750">
        <f t="shared" si="1"/>
        <v>100</v>
      </c>
      <c r="V11" s="749" t="s">
        <v>25</v>
      </c>
      <c r="W11" s="750">
        <f t="shared" si="2"/>
        <v>100</v>
      </c>
      <c r="X11" s="751"/>
      <c r="Y11" s="2849"/>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估价对象紧邻城市快速路——京良路，周边有地铁房山线（篱笆房站）、有房15路、房18路、房31路、房37路等十多条公交线路，综合评价交通便捷度较好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26" t="s">
        <v>2365</v>
      </c>
      <c r="Q14" s="1899" t="str">
        <f t="shared" si="6"/>
        <v>交通便捷度</v>
      </c>
      <c r="R14" s="753" t="s">
        <v>25</v>
      </c>
      <c r="S14" s="754">
        <f t="shared" si="0"/>
        <v>100</v>
      </c>
      <c r="T14" s="753" t="s">
        <v>25</v>
      </c>
      <c r="U14" s="754">
        <f t="shared" si="1"/>
        <v>100</v>
      </c>
      <c r="V14" s="753" t="s">
        <v>25</v>
      </c>
      <c r="W14" s="754">
        <f t="shared" si="2"/>
        <v>100</v>
      </c>
      <c r="X14" s="1900"/>
      <c r="Y14" s="3026"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7"/>
      <c r="Q15" s="1899"/>
      <c r="R15" s="753"/>
      <c r="S15" s="754"/>
      <c r="T15" s="753"/>
      <c r="U15" s="754"/>
      <c r="V15" s="753"/>
      <c r="W15" s="754"/>
      <c r="X15" s="1900"/>
      <c r="Y15" s="3027"/>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7"/>
      <c r="Q16" s="1899" t="str">
        <f>B16</f>
        <v>公共配套设施</v>
      </c>
      <c r="R16" s="753" t="s">
        <v>25</v>
      </c>
      <c r="S16" s="754">
        <f>F16</f>
        <v>100</v>
      </c>
      <c r="T16" s="753" t="s">
        <v>25</v>
      </c>
      <c r="U16" s="754">
        <f>H16</f>
        <v>100</v>
      </c>
      <c r="V16" s="753" t="s">
        <v>25</v>
      </c>
      <c r="W16" s="754">
        <f>J16</f>
        <v>100</v>
      </c>
      <c r="X16" s="1900"/>
      <c r="Y16" s="3027"/>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7"/>
      <c r="Q17" s="1899"/>
      <c r="R17" s="753"/>
      <c r="S17" s="754"/>
      <c r="T17" s="753"/>
      <c r="U17" s="754"/>
      <c r="V17" s="753"/>
      <c r="W17" s="754"/>
      <c r="X17" s="1900"/>
      <c r="Y17" s="3027"/>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7"/>
      <c r="Q18" s="1899" t="str">
        <f>B18</f>
        <v>基础设施水平</v>
      </c>
      <c r="R18" s="753" t="s">
        <v>25</v>
      </c>
      <c r="S18" s="754">
        <f>F18</f>
        <v>100</v>
      </c>
      <c r="T18" s="753" t="s">
        <v>25</v>
      </c>
      <c r="U18" s="754">
        <f>H18</f>
        <v>100</v>
      </c>
      <c r="V18" s="753" t="s">
        <v>25</v>
      </c>
      <c r="W18" s="754">
        <f>J18</f>
        <v>100</v>
      </c>
      <c r="X18" s="1900"/>
      <c r="Y18" s="3027"/>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7"/>
      <c r="Q19" s="1899"/>
      <c r="R19" s="753"/>
      <c r="S19" s="754"/>
      <c r="T19" s="753"/>
      <c r="U19" s="754"/>
      <c r="V19" s="753"/>
      <c r="W19" s="754"/>
      <c r="X19" s="1900"/>
      <c r="Y19" s="3027"/>
      <c r="Z19" s="1902"/>
      <c r="AA19" s="1903">
        <v>1</v>
      </c>
      <c r="AB19" s="1903">
        <v>1</v>
      </c>
      <c r="AC19" s="1903">
        <v>1</v>
      </c>
    </row>
    <row r="20" spans="1:29" ht="85.5">
      <c r="A20" s="408"/>
      <c r="B20" s="431" t="s">
        <v>2509</v>
      </c>
      <c r="C20" s="2406" t="str">
        <f>IF(B1="工业",估价对象房地状况!G7,估价对象房地状况!C9)</f>
        <v>自然环境：长阳公园等；人文环境：国福东旭高尔夫练习场等，综合评价环境状况一般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7"/>
      <c r="Q20" s="1899" t="str">
        <f>B20</f>
        <v>自然及人文环境</v>
      </c>
      <c r="R20" s="753" t="s">
        <v>25</v>
      </c>
      <c r="S20" s="754">
        <f>F20</f>
        <v>100</v>
      </c>
      <c r="T20" s="753" t="s">
        <v>25</v>
      </c>
      <c r="U20" s="754">
        <f>H20</f>
        <v>100</v>
      </c>
      <c r="V20" s="753" t="s">
        <v>25</v>
      </c>
      <c r="W20" s="754">
        <f>J20</f>
        <v>100</v>
      </c>
      <c r="X20" s="1900"/>
      <c r="Y20" s="3027"/>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7"/>
      <c r="Q21" s="1899"/>
      <c r="R21" s="753"/>
      <c r="S21" s="754"/>
      <c r="T21" s="753"/>
      <c r="U21" s="754"/>
      <c r="V21" s="753"/>
      <c r="W21" s="754"/>
      <c r="X21" s="1900"/>
      <c r="Y21" s="3027"/>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7"/>
      <c r="Q22" s="1899" t="str">
        <f>B22</f>
        <v>楼层</v>
      </c>
      <c r="R22" s="753" t="s">
        <v>25</v>
      </c>
      <c r="S22" s="754">
        <f>F22</f>
        <v>100</v>
      </c>
      <c r="T22" s="753" t="s">
        <v>25</v>
      </c>
      <c r="U22" s="754">
        <f>H22</f>
        <v>100</v>
      </c>
      <c r="V22" s="753" t="s">
        <v>25</v>
      </c>
      <c r="W22" s="754">
        <f>J22</f>
        <v>100</v>
      </c>
      <c r="X22" s="1900"/>
      <c r="Y22" s="3027"/>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7"/>
      <c r="Q23" s="1899">
        <f>B23</f>
        <v>111</v>
      </c>
      <c r="R23" s="753" t="s">
        <v>25</v>
      </c>
      <c r="S23" s="754">
        <f>F23</f>
        <v>100</v>
      </c>
      <c r="T23" s="753" t="s">
        <v>25</v>
      </c>
      <c r="U23" s="754">
        <f>H23</f>
        <v>100</v>
      </c>
      <c r="V23" s="753" t="s">
        <v>25</v>
      </c>
      <c r="W23" s="754">
        <f>J23</f>
        <v>100</v>
      </c>
      <c r="X23" s="1900"/>
      <c r="Y23" s="3027"/>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7"/>
      <c r="Q24" s="1899">
        <f t="shared" ref="Q24:Q34" si="11">B24</f>
        <v>111</v>
      </c>
      <c r="R24" s="753" t="s">
        <v>25</v>
      </c>
      <c r="S24" s="754">
        <f>F24</f>
        <v>100</v>
      </c>
      <c r="T24" s="753" t="s">
        <v>25</v>
      </c>
      <c r="U24" s="754">
        <f>H24</f>
        <v>100</v>
      </c>
      <c r="V24" s="753" t="s">
        <v>25</v>
      </c>
      <c r="W24" s="754">
        <f>J24</f>
        <v>100</v>
      </c>
      <c r="X24" s="1900"/>
      <c r="Y24" s="3027"/>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27"/>
      <c r="Q25" s="1887">
        <f t="shared" si="11"/>
        <v>111</v>
      </c>
      <c r="R25" s="749" t="s">
        <v>25</v>
      </c>
      <c r="S25" s="750">
        <f>F25</f>
        <v>100</v>
      </c>
      <c r="T25" s="749" t="s">
        <v>25</v>
      </c>
      <c r="U25" s="750">
        <f>H25</f>
        <v>100</v>
      </c>
      <c r="V25" s="749" t="s">
        <v>25</v>
      </c>
      <c r="W25" s="750">
        <f>J25</f>
        <v>100</v>
      </c>
      <c r="X25" s="751"/>
      <c r="Y25" s="3027"/>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31"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31"/>
      <c r="Q27" s="755" t="str">
        <f t="shared" si="11"/>
        <v>成新率</v>
      </c>
      <c r="R27" s="756" t="s">
        <v>25</v>
      </c>
      <c r="S27" s="757" t="e">
        <f t="shared" si="12"/>
        <v>#N/A</v>
      </c>
      <c r="T27" s="756" t="s">
        <v>25</v>
      </c>
      <c r="U27" s="757" t="e">
        <f t="shared" si="13"/>
        <v>#N/A</v>
      </c>
      <c r="V27" s="756" t="s">
        <v>25</v>
      </c>
      <c r="W27" s="757" t="e">
        <f t="shared" si="14"/>
        <v>#N/A</v>
      </c>
      <c r="X27" s="758"/>
      <c r="Y27" s="3031"/>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31"/>
      <c r="Q28" s="1899" t="str">
        <f t="shared" si="11"/>
        <v>物业等级</v>
      </c>
      <c r="R28" s="753" t="s">
        <v>25</v>
      </c>
      <c r="S28" s="754">
        <f t="shared" si="12"/>
        <v>100</v>
      </c>
      <c r="T28" s="753" t="s">
        <v>25</v>
      </c>
      <c r="U28" s="754">
        <f t="shared" si="13"/>
        <v>100</v>
      </c>
      <c r="V28" s="753" t="s">
        <v>25</v>
      </c>
      <c r="W28" s="754">
        <f t="shared" si="14"/>
        <v>100</v>
      </c>
      <c r="X28" s="1900"/>
      <c r="Y28" s="3031"/>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31"/>
      <c r="Q29" s="1899" t="str">
        <f t="shared" si="11"/>
        <v>有无电梯</v>
      </c>
      <c r="R29" s="753" t="s">
        <v>25</v>
      </c>
      <c r="S29" s="754">
        <f t="shared" si="12"/>
        <v>100</v>
      </c>
      <c r="T29" s="753" t="s">
        <v>25</v>
      </c>
      <c r="U29" s="754">
        <f t="shared" si="13"/>
        <v>100</v>
      </c>
      <c r="V29" s="753" t="s">
        <v>25</v>
      </c>
      <c r="W29" s="754">
        <f t="shared" si="14"/>
        <v>100</v>
      </c>
      <c r="X29" s="1900"/>
      <c r="Y29" s="3031"/>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31"/>
      <c r="Q30" s="1899" t="str">
        <f t="shared" si="11"/>
        <v>建筑面积</v>
      </c>
      <c r="R30" s="753" t="s">
        <v>25</v>
      </c>
      <c r="S30" s="754" t="e">
        <f t="shared" si="12"/>
        <v>#N/A</v>
      </c>
      <c r="T30" s="753" t="s">
        <v>25</v>
      </c>
      <c r="U30" s="754" t="e">
        <f t="shared" si="13"/>
        <v>#N/A</v>
      </c>
      <c r="V30" s="753" t="s">
        <v>25</v>
      </c>
      <c r="W30" s="754" t="e">
        <f t="shared" si="14"/>
        <v>#N/A</v>
      </c>
      <c r="X30" s="1900"/>
      <c r="Y30" s="3031"/>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31"/>
      <c r="Q31" s="1887" t="str">
        <f t="shared" si="11"/>
        <v>是否封闭</v>
      </c>
      <c r="R31" s="749" t="s">
        <v>25</v>
      </c>
      <c r="S31" s="750">
        <f t="shared" si="12"/>
        <v>100</v>
      </c>
      <c r="T31" s="749" t="s">
        <v>25</v>
      </c>
      <c r="U31" s="750">
        <f t="shared" si="13"/>
        <v>100</v>
      </c>
      <c r="V31" s="749" t="s">
        <v>25</v>
      </c>
      <c r="W31" s="750">
        <f t="shared" si="14"/>
        <v>100</v>
      </c>
      <c r="X31" s="751"/>
      <c r="Y31" s="3031"/>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31" t="s">
        <v>2371</v>
      </c>
      <c r="Q32" s="1899">
        <f t="shared" si="11"/>
        <v>111</v>
      </c>
      <c r="R32" s="753" t="s">
        <v>25</v>
      </c>
      <c r="S32" s="754">
        <f t="shared" si="12"/>
        <v>100</v>
      </c>
      <c r="T32" s="753" t="s">
        <v>25</v>
      </c>
      <c r="U32" s="754">
        <f t="shared" si="13"/>
        <v>100</v>
      </c>
      <c r="V32" s="753" t="s">
        <v>25</v>
      </c>
      <c r="W32" s="754">
        <f t="shared" si="14"/>
        <v>100</v>
      </c>
      <c r="X32" s="1900"/>
      <c r="Y32" s="3031"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31"/>
      <c r="Q33" s="1899">
        <f t="shared" si="11"/>
        <v>111</v>
      </c>
      <c r="R33" s="753" t="s">
        <v>25</v>
      </c>
      <c r="S33" s="754">
        <f t="shared" si="12"/>
        <v>100</v>
      </c>
      <c r="T33" s="753" t="s">
        <v>25</v>
      </c>
      <c r="U33" s="754">
        <f t="shared" si="13"/>
        <v>100</v>
      </c>
      <c r="V33" s="753" t="s">
        <v>25</v>
      </c>
      <c r="W33" s="754">
        <f t="shared" si="14"/>
        <v>100</v>
      </c>
      <c r="X33" s="1900"/>
      <c r="Y33" s="3031"/>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31"/>
      <c r="Q34" s="1899">
        <f t="shared" si="11"/>
        <v>111</v>
      </c>
      <c r="R34" s="753" t="s">
        <v>25</v>
      </c>
      <c r="S34" s="754">
        <f t="shared" si="12"/>
        <v>100</v>
      </c>
      <c r="T34" s="753" t="s">
        <v>25</v>
      </c>
      <c r="U34" s="754">
        <f t="shared" si="13"/>
        <v>100</v>
      </c>
      <c r="V34" s="753" t="s">
        <v>25</v>
      </c>
      <c r="W34" s="754">
        <f t="shared" si="14"/>
        <v>100</v>
      </c>
      <c r="X34" s="1900"/>
      <c r="Y34" s="3031"/>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3" t="str">
        <f>A35</f>
        <v>成交单价（元/平方米）</v>
      </c>
      <c r="Q35" s="3023"/>
      <c r="R35" s="3019">
        <f>E35</f>
        <v>0</v>
      </c>
      <c r="S35" s="3019"/>
      <c r="T35" s="3019">
        <f>G35</f>
        <v>0</v>
      </c>
      <c r="U35" s="3019"/>
      <c r="V35" s="3019">
        <f>I35</f>
        <v>0</v>
      </c>
      <c r="W35" s="3019"/>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20" t="str">
        <f>A37</f>
        <v>估价对象XX用房的比较价值（楼面单价，元/平方米）</v>
      </c>
      <c r="Q37" s="3021"/>
      <c r="R37" s="3022" t="e">
        <f>IF(E1="售价",ROUND(AVERAGE(R36:V36),0),ROUND(AVERAGE(R36:V36),1))</f>
        <v>#DIV/0!</v>
      </c>
      <c r="S37" s="3022"/>
      <c r="T37" s="3022"/>
      <c r="U37" s="3022"/>
      <c r="V37" s="3022"/>
      <c r="W37" s="3022"/>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2018-6</v>
      </c>
      <c r="D46" s="1679">
        <f>EDATE(C46,-1)</f>
        <v>43221</v>
      </c>
      <c r="E46" s="1679">
        <f t="shared" ref="E46:O46" si="16">EDATE(D46,-1)</f>
        <v>43191</v>
      </c>
      <c r="F46" s="1679">
        <f t="shared" si="16"/>
        <v>43160</v>
      </c>
      <c r="G46" s="1679">
        <f t="shared" si="16"/>
        <v>43132</v>
      </c>
      <c r="H46" s="1679">
        <f t="shared" si="16"/>
        <v>43101</v>
      </c>
      <c r="I46" s="1679">
        <f t="shared" si="16"/>
        <v>43070</v>
      </c>
      <c r="J46" s="1679">
        <f t="shared" si="16"/>
        <v>43040</v>
      </c>
      <c r="K46" s="1679">
        <f t="shared" si="16"/>
        <v>43009</v>
      </c>
      <c r="L46" s="1679">
        <f t="shared" si="16"/>
        <v>42979</v>
      </c>
      <c r="M46" s="1679">
        <f t="shared" si="16"/>
        <v>42948</v>
      </c>
      <c r="N46" s="1679">
        <f t="shared" si="16"/>
        <v>42917</v>
      </c>
      <c r="O46" s="1679">
        <f t="shared" si="16"/>
        <v>42887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30"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30"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30" s="35" customFormat="1" ht="15.75" thickBot="1">
      <c r="A7" s="387" t="s">
        <v>2353</v>
      </c>
      <c r="B7" s="388"/>
      <c r="C7" s="389">
        <f>'数据-取费表'!B2</f>
        <v>43277</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120</v>
      </c>
      <c r="G10" s="444"/>
      <c r="H10" s="52">
        <f>ROUND(100/'数据-取费表'!B14,0)</f>
        <v>120</v>
      </c>
      <c r="I10" s="444"/>
      <c r="J10" s="52">
        <f>ROUND(100/'数据-取费表'!B14,0)</f>
        <v>120</v>
      </c>
      <c r="K10" s="655"/>
      <c r="L10" s="1248"/>
      <c r="M10" s="1249"/>
      <c r="N10" s="1249"/>
      <c r="O10" s="1250"/>
      <c r="P10" s="3023"/>
      <c r="Q10" s="1887" t="str">
        <f t="shared" si="6"/>
        <v>土地使用年限（年）</v>
      </c>
      <c r="R10" s="749" t="s">
        <v>25</v>
      </c>
      <c r="S10" s="750">
        <f t="shared" si="0"/>
        <v>120</v>
      </c>
      <c r="T10" s="749" t="s">
        <v>25</v>
      </c>
      <c r="U10" s="750">
        <f t="shared" si="1"/>
        <v>120</v>
      </c>
      <c r="V10" s="749" t="s">
        <v>25</v>
      </c>
      <c r="W10" s="750">
        <f t="shared" si="2"/>
        <v>120</v>
      </c>
      <c r="X10" s="751"/>
      <c r="Y10" s="2849"/>
      <c r="Z10" s="23" t="str">
        <f t="shared" si="7"/>
        <v>土地使用年限（年）</v>
      </c>
      <c r="AA10" s="752">
        <f t="shared" si="3"/>
        <v>0.83333333333333337</v>
      </c>
      <c r="AB10" s="752">
        <f t="shared" si="4"/>
        <v>0.83333333333333337</v>
      </c>
      <c r="AC10" s="752">
        <f t="shared" si="5"/>
        <v>0.83333333333333337</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3"/>
      <c r="Q12" s="1887" t="str">
        <f t="shared" si="6"/>
        <v>配建</v>
      </c>
      <c r="R12" s="749" t="s">
        <v>25</v>
      </c>
      <c r="S12" s="750">
        <f t="shared" si="0"/>
        <v>100</v>
      </c>
      <c r="T12" s="749" t="s">
        <v>25</v>
      </c>
      <c r="U12" s="750">
        <f t="shared" si="1"/>
        <v>100</v>
      </c>
      <c r="V12" s="749" t="s">
        <v>25</v>
      </c>
      <c r="W12" s="750">
        <f t="shared" si="2"/>
        <v>100</v>
      </c>
      <c r="X12" s="751"/>
      <c r="Y12" s="2849"/>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D14/F14</f>
        <v>1</v>
      </c>
      <c r="AB14" s="752">
        <f>D14/H14</f>
        <v>1</v>
      </c>
      <c r="AC14" s="752">
        <f>D14/J14</f>
        <v>1</v>
      </c>
    </row>
    <row r="15" spans="1:30" ht="142.5">
      <c r="A15" s="380" t="s">
        <v>2364</v>
      </c>
      <c r="B15" s="1487" t="s">
        <v>1741</v>
      </c>
      <c r="C15" s="2467" t="str">
        <f>估价对象房地状况!C15</f>
        <v>估价对象周边有首创新悦都、原香小镇、万科长阳天地、九州溪雅苑等居住小区，小区规模和社区发展完善程度较好，综合评价居住社区成熟度较好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26" t="s">
        <v>2365</v>
      </c>
      <c r="Q15" s="1899" t="str">
        <f t="shared" si="6"/>
        <v>居住社区成熟度</v>
      </c>
      <c r="R15" s="753" t="s">
        <v>25</v>
      </c>
      <c r="S15" s="754">
        <f t="shared" si="0"/>
        <v>100</v>
      </c>
      <c r="T15" s="753" t="s">
        <v>25</v>
      </c>
      <c r="U15" s="754">
        <f t="shared" si="1"/>
        <v>100</v>
      </c>
      <c r="V15" s="753" t="s">
        <v>25</v>
      </c>
      <c r="W15" s="754">
        <f t="shared" si="2"/>
        <v>100</v>
      </c>
      <c r="X15" s="1900"/>
      <c r="Y15" s="3026"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15">
      <c r="A17" s="383"/>
      <c r="B17" s="1489" t="s">
        <v>2450</v>
      </c>
      <c r="C17" s="2485" t="str">
        <f>估价对象房地状况!C16</f>
        <v>估价对象周边有首创新悦都、原香小镇、万科长阳天地、九州溪雅苑等居住小区，小区规模和社区发展完善程度较好，综合评价居住社区成熟度较好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7"/>
      <c r="Q17" s="1899" t="str">
        <f>B17</f>
        <v>商业繁华度</v>
      </c>
      <c r="R17" s="753" t="s">
        <v>25</v>
      </c>
      <c r="S17" s="754">
        <f>F17</f>
        <v>100</v>
      </c>
      <c r="T17" s="753" t="s">
        <v>25</v>
      </c>
      <c r="U17" s="754">
        <f>H17</f>
        <v>100</v>
      </c>
      <c r="V17" s="753" t="s">
        <v>25</v>
      </c>
      <c r="W17" s="754">
        <f>J17</f>
        <v>100</v>
      </c>
      <c r="X17" s="1900"/>
      <c r="Y17" s="3027"/>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7"/>
      <c r="Q19" s="1899" t="str">
        <f>B19</f>
        <v>办公集聚程度</v>
      </c>
      <c r="R19" s="753" t="s">
        <v>25</v>
      </c>
      <c r="S19" s="754">
        <f>F19</f>
        <v>100</v>
      </c>
      <c r="T19" s="753" t="s">
        <v>25</v>
      </c>
      <c r="U19" s="754">
        <f>H19</f>
        <v>100</v>
      </c>
      <c r="V19" s="753" t="s">
        <v>25</v>
      </c>
      <c r="W19" s="754">
        <f>J19</f>
        <v>100</v>
      </c>
      <c r="X19" s="1900"/>
      <c r="Y19" s="3027"/>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27"/>
      <c r="Q20" s="1899"/>
      <c r="R20" s="753"/>
      <c r="S20" s="754"/>
      <c r="T20" s="753"/>
      <c r="U20" s="754"/>
      <c r="V20" s="753"/>
      <c r="W20" s="754"/>
      <c r="X20" s="1900"/>
      <c r="Y20" s="3027"/>
      <c r="Z20" s="1902"/>
      <c r="AA20" s="1903">
        <v>1</v>
      </c>
      <c r="AB20" s="1903">
        <v>1</v>
      </c>
      <c r="AC20" s="1903">
        <v>1</v>
      </c>
    </row>
    <row r="21" spans="1:29" ht="142.5">
      <c r="A21" s="383"/>
      <c r="B21" s="1489" t="s">
        <v>2508</v>
      </c>
      <c r="C21" s="2468" t="str">
        <f>估价对象房地状况!C18</f>
        <v>估价对象紧邻城市快速路——京良路，周边有地铁房山线（篱笆房站）、有房15路、房18路、房31路、房37路等十多条公交线路，综合评价交通便捷度较好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7"/>
      <c r="Q21" s="1899" t="str">
        <f>B21</f>
        <v>交通便捷度</v>
      </c>
      <c r="R21" s="753" t="s">
        <v>25</v>
      </c>
      <c r="S21" s="754">
        <f>F21</f>
        <v>100</v>
      </c>
      <c r="T21" s="753" t="s">
        <v>25</v>
      </c>
      <c r="U21" s="754">
        <f>H21</f>
        <v>100</v>
      </c>
      <c r="V21" s="753" t="s">
        <v>25</v>
      </c>
      <c r="W21" s="754">
        <f>J21</f>
        <v>100</v>
      </c>
      <c r="X21" s="1900"/>
      <c r="Y21" s="3027"/>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7"/>
      <c r="Q23" s="1899" t="str">
        <f t="shared" ref="Q23:Q37" si="8">B23</f>
        <v>区域土地利用方向</v>
      </c>
      <c r="R23" s="753" t="s">
        <v>25</v>
      </c>
      <c r="S23" s="754">
        <f>F23</f>
        <v>100</v>
      </c>
      <c r="T23" s="753" t="s">
        <v>25</v>
      </c>
      <c r="U23" s="754">
        <f>H23</f>
        <v>100</v>
      </c>
      <c r="V23" s="753" t="s">
        <v>25</v>
      </c>
      <c r="W23" s="754">
        <f>J23</f>
        <v>100</v>
      </c>
      <c r="X23" s="1900"/>
      <c r="Y23" s="3027"/>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27"/>
      <c r="Q24" s="1899"/>
      <c r="R24" s="753"/>
      <c r="S24" s="754"/>
      <c r="T24" s="753"/>
      <c r="U24" s="754"/>
      <c r="V24" s="753"/>
      <c r="W24" s="754"/>
      <c r="X24" s="1900"/>
      <c r="Y24" s="3027"/>
      <c r="Z24" s="1902"/>
      <c r="AA24" s="1903"/>
      <c r="AB24" s="1903"/>
      <c r="AC24" s="1903"/>
    </row>
    <row r="25" spans="1:29" ht="85.5">
      <c r="A25" s="383"/>
      <c r="B25" s="1491" t="s">
        <v>2549</v>
      </c>
      <c r="C25" s="2485" t="str">
        <f>估价对象房地状况!C20</f>
        <v>自然环境：长阳公园等；人文环境：国福东旭高尔夫练习场等，综合评价环境状况一般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7"/>
      <c r="Q25" s="1899" t="str">
        <f t="shared" si="8"/>
        <v>自然及人文环境状况</v>
      </c>
      <c r="R25" s="753" t="s">
        <v>25</v>
      </c>
      <c r="S25" s="754">
        <f>F25</f>
        <v>100</v>
      </c>
      <c r="T25" s="753" t="s">
        <v>25</v>
      </c>
      <c r="U25" s="754">
        <f>H25</f>
        <v>100</v>
      </c>
      <c r="V25" s="753" t="s">
        <v>25</v>
      </c>
      <c r="W25" s="754">
        <f>J25</f>
        <v>100</v>
      </c>
      <c r="X25" s="1900"/>
      <c r="Y25" s="3027"/>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7"/>
      <c r="Q26" s="1899"/>
      <c r="R26" s="753"/>
      <c r="S26" s="754"/>
      <c r="T26" s="753"/>
      <c r="U26" s="754"/>
      <c r="V26" s="753"/>
      <c r="W26" s="754"/>
      <c r="X26" s="1900"/>
      <c r="Y26" s="3027"/>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7"/>
      <c r="Q27" s="1887" t="str">
        <f t="shared" ref="Q27" si="9">B27</f>
        <v>公共配套设施</v>
      </c>
      <c r="R27" s="749" t="s">
        <v>25</v>
      </c>
      <c r="S27" s="750">
        <f>F27</f>
        <v>100</v>
      </c>
      <c r="T27" s="749" t="s">
        <v>25</v>
      </c>
      <c r="U27" s="750">
        <f>H27</f>
        <v>100</v>
      </c>
      <c r="V27" s="749" t="s">
        <v>25</v>
      </c>
      <c r="W27" s="750">
        <f>J27</f>
        <v>100</v>
      </c>
      <c r="X27" s="1900"/>
      <c r="Y27" s="3027"/>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27"/>
      <c r="Q28" s="1899"/>
      <c r="R28" s="753"/>
      <c r="S28" s="754"/>
      <c r="T28" s="753"/>
      <c r="U28" s="754"/>
      <c r="V28" s="753"/>
      <c r="W28" s="754"/>
      <c r="X28" s="1900"/>
      <c r="Y28" s="3027"/>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7"/>
      <c r="Q29" s="1887" t="str">
        <f t="shared" si="8"/>
        <v>基础设施水平</v>
      </c>
      <c r="R29" s="749" t="s">
        <v>25</v>
      </c>
      <c r="S29" s="750">
        <f>F29</f>
        <v>100</v>
      </c>
      <c r="T29" s="749" t="s">
        <v>25</v>
      </c>
      <c r="U29" s="750">
        <f>H29</f>
        <v>100</v>
      </c>
      <c r="V29" s="749" t="s">
        <v>25</v>
      </c>
      <c r="W29" s="750">
        <f>J29</f>
        <v>100</v>
      </c>
      <c r="X29" s="751"/>
      <c r="Y29" s="3027"/>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27"/>
      <c r="Q30" s="1887"/>
      <c r="R30" s="749"/>
      <c r="S30" s="750"/>
      <c r="T30" s="749"/>
      <c r="U30" s="750"/>
      <c r="V30" s="749"/>
      <c r="W30" s="750"/>
      <c r="X30" s="751"/>
      <c r="Y30" s="3027"/>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7"/>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7"/>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7"/>
      <c r="Q32" s="1899" t="str">
        <f t="shared" si="8"/>
        <v>毗邻道路的类型与等级</v>
      </c>
      <c r="R32" s="753" t="s">
        <v>25</v>
      </c>
      <c r="S32" s="754">
        <f t="shared" si="10"/>
        <v>100</v>
      </c>
      <c r="T32" s="753" t="s">
        <v>25</v>
      </c>
      <c r="U32" s="754">
        <f t="shared" si="11"/>
        <v>100</v>
      </c>
      <c r="V32" s="753" t="s">
        <v>25</v>
      </c>
      <c r="W32" s="754">
        <f t="shared" si="12"/>
        <v>100</v>
      </c>
      <c r="X32" s="1900"/>
      <c r="Y32" s="3027"/>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7"/>
      <c r="Q33" s="1899"/>
      <c r="R33" s="753"/>
      <c r="S33" s="754"/>
      <c r="T33" s="753"/>
      <c r="U33" s="754"/>
      <c r="V33" s="753"/>
      <c r="W33" s="754"/>
      <c r="X33" s="1900"/>
      <c r="Y33" s="3027"/>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7"/>
      <c r="Q34" s="1899" t="str">
        <f t="shared" si="8"/>
        <v>土地级别</v>
      </c>
      <c r="R34" s="753" t="s">
        <v>25</v>
      </c>
      <c r="S34" s="754">
        <f t="shared" si="10"/>
        <v>100</v>
      </c>
      <c r="T34" s="753" t="s">
        <v>25</v>
      </c>
      <c r="U34" s="754">
        <f t="shared" si="11"/>
        <v>100</v>
      </c>
      <c r="V34" s="753" t="s">
        <v>25</v>
      </c>
      <c r="W34" s="754">
        <f t="shared" si="12"/>
        <v>100</v>
      </c>
      <c r="X34" s="1900"/>
      <c r="Y34" s="3027"/>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7"/>
      <c r="Q35" s="1899">
        <f t="shared" si="8"/>
        <v>111</v>
      </c>
      <c r="R35" s="753" t="s">
        <v>25</v>
      </c>
      <c r="S35" s="754">
        <f t="shared" si="10"/>
        <v>100</v>
      </c>
      <c r="T35" s="753" t="s">
        <v>25</v>
      </c>
      <c r="U35" s="754">
        <f t="shared" si="11"/>
        <v>100</v>
      </c>
      <c r="V35" s="753" t="s">
        <v>25</v>
      </c>
      <c r="W35" s="754">
        <f t="shared" si="12"/>
        <v>100</v>
      </c>
      <c r="X35" s="1900"/>
      <c r="Y35" s="3027"/>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2371</v>
      </c>
      <c r="Q36" s="1899">
        <f t="shared" si="8"/>
        <v>111</v>
      </c>
      <c r="R36" s="753" t="s">
        <v>25</v>
      </c>
      <c r="S36" s="754">
        <f t="shared" si="10"/>
        <v>100</v>
      </c>
      <c r="T36" s="753" t="s">
        <v>25</v>
      </c>
      <c r="U36" s="754">
        <f t="shared" si="11"/>
        <v>100</v>
      </c>
      <c r="V36" s="753" t="s">
        <v>25</v>
      </c>
      <c r="W36" s="754">
        <f t="shared" si="12"/>
        <v>100</v>
      </c>
      <c r="X36" s="1900"/>
      <c r="Y36" s="3031"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31"/>
      <c r="Q37" s="1899">
        <f t="shared" si="8"/>
        <v>111</v>
      </c>
      <c r="R37" s="756" t="s">
        <v>25</v>
      </c>
      <c r="S37" s="757">
        <f t="shared" si="10"/>
        <v>100</v>
      </c>
      <c r="T37" s="756" t="s">
        <v>25</v>
      </c>
      <c r="U37" s="757">
        <f t="shared" si="11"/>
        <v>100</v>
      </c>
      <c r="V37" s="756" t="s">
        <v>25</v>
      </c>
      <c r="W37" s="757">
        <f t="shared" si="12"/>
        <v>100</v>
      </c>
      <c r="X37" s="758"/>
      <c r="Y37" s="3031"/>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31"/>
      <c r="Q38" s="1899" t="str">
        <f>B38</f>
        <v>宗地面积</v>
      </c>
      <c r="R38" s="753" t="s">
        <v>25</v>
      </c>
      <c r="S38" s="754" t="e">
        <f t="shared" si="10"/>
        <v>#N/A</v>
      </c>
      <c r="T38" s="753" t="s">
        <v>25</v>
      </c>
      <c r="U38" s="754" t="e">
        <f t="shared" si="11"/>
        <v>#N/A</v>
      </c>
      <c r="V38" s="753" t="s">
        <v>25</v>
      </c>
      <c r="W38" s="754" t="e">
        <f t="shared" si="12"/>
        <v>#N/A</v>
      </c>
      <c r="X38" s="1900"/>
      <c r="Y38" s="3031"/>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31"/>
      <c r="Q39" s="1899" t="str">
        <f t="shared" ref="Q39:Q45" si="14">B39</f>
        <v>宗地形状</v>
      </c>
      <c r="R39" s="753" t="s">
        <v>25</v>
      </c>
      <c r="S39" s="754">
        <f t="shared" si="10"/>
        <v>100</v>
      </c>
      <c r="T39" s="753" t="s">
        <v>25</v>
      </c>
      <c r="U39" s="754">
        <f t="shared" si="11"/>
        <v>100</v>
      </c>
      <c r="V39" s="753" t="s">
        <v>25</v>
      </c>
      <c r="W39" s="754">
        <f t="shared" si="12"/>
        <v>100</v>
      </c>
      <c r="X39" s="1900"/>
      <c r="Y39" s="3031"/>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31"/>
      <c r="Q40" s="1899" t="str">
        <f t="shared" si="14"/>
        <v>临街宽度及深度</v>
      </c>
      <c r="R40" s="753" t="s">
        <v>25</v>
      </c>
      <c r="S40" s="754">
        <f t="shared" si="10"/>
        <v>100</v>
      </c>
      <c r="T40" s="753" t="s">
        <v>25</v>
      </c>
      <c r="U40" s="754">
        <f t="shared" si="11"/>
        <v>100</v>
      </c>
      <c r="V40" s="753" t="s">
        <v>25</v>
      </c>
      <c r="W40" s="754">
        <f t="shared" si="12"/>
        <v>100</v>
      </c>
      <c r="X40" s="1900"/>
      <c r="Y40" s="3031"/>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31"/>
      <c r="Q41" s="1899" t="str">
        <f t="shared" si="14"/>
        <v>宗地开发程度</v>
      </c>
      <c r="R41" s="749" t="s">
        <v>25</v>
      </c>
      <c r="S41" s="750">
        <f t="shared" si="10"/>
        <v>100</v>
      </c>
      <c r="T41" s="749" t="s">
        <v>25</v>
      </c>
      <c r="U41" s="750">
        <f t="shared" si="11"/>
        <v>100</v>
      </c>
      <c r="V41" s="749" t="s">
        <v>25</v>
      </c>
      <c r="W41" s="750">
        <f t="shared" si="12"/>
        <v>100</v>
      </c>
      <c r="X41" s="751"/>
      <c r="Y41" s="3031"/>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31" t="s">
        <v>2371</v>
      </c>
      <c r="Q42" s="1899" t="str">
        <f t="shared" si="14"/>
        <v>工程地质条件</v>
      </c>
      <c r="R42" s="753" t="s">
        <v>25</v>
      </c>
      <c r="S42" s="754">
        <f t="shared" si="10"/>
        <v>100</v>
      </c>
      <c r="T42" s="753" t="s">
        <v>25</v>
      </c>
      <c r="U42" s="754">
        <f t="shared" si="11"/>
        <v>100</v>
      </c>
      <c r="V42" s="753" t="s">
        <v>25</v>
      </c>
      <c r="W42" s="754">
        <f t="shared" si="12"/>
        <v>100</v>
      </c>
      <c r="X42" s="1900"/>
      <c r="Y42" s="3031"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31"/>
      <c r="Q43" s="1899">
        <f t="shared" si="14"/>
        <v>111</v>
      </c>
      <c r="R43" s="753" t="s">
        <v>25</v>
      </c>
      <c r="S43" s="754">
        <f t="shared" si="10"/>
        <v>100</v>
      </c>
      <c r="T43" s="753" t="s">
        <v>25</v>
      </c>
      <c r="U43" s="754">
        <f t="shared" si="11"/>
        <v>100</v>
      </c>
      <c r="V43" s="753" t="s">
        <v>25</v>
      </c>
      <c r="W43" s="754">
        <f t="shared" si="12"/>
        <v>100</v>
      </c>
      <c r="X43" s="1900"/>
      <c r="Y43" s="3031"/>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31"/>
      <c r="Q44" s="1899">
        <f t="shared" si="14"/>
        <v>111</v>
      </c>
      <c r="R44" s="753" t="s">
        <v>25</v>
      </c>
      <c r="S44" s="754">
        <f t="shared" si="10"/>
        <v>100</v>
      </c>
      <c r="T44" s="753" t="s">
        <v>25</v>
      </c>
      <c r="U44" s="754">
        <f t="shared" si="11"/>
        <v>100</v>
      </c>
      <c r="V44" s="753" t="s">
        <v>25</v>
      </c>
      <c r="W44" s="754">
        <f t="shared" si="12"/>
        <v>100</v>
      </c>
      <c r="X44" s="1900"/>
      <c r="Y44" s="3031"/>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31"/>
      <c r="Q45" s="1899">
        <f t="shared" si="14"/>
        <v>111</v>
      </c>
      <c r="R45" s="756" t="s">
        <v>25</v>
      </c>
      <c r="S45" s="757">
        <f t="shared" si="10"/>
        <v>100</v>
      </c>
      <c r="T45" s="756" t="s">
        <v>25</v>
      </c>
      <c r="U45" s="757">
        <f t="shared" si="11"/>
        <v>100</v>
      </c>
      <c r="V45" s="756" t="s">
        <v>25</v>
      </c>
      <c r="W45" s="757">
        <f t="shared" si="12"/>
        <v>100</v>
      </c>
      <c r="X45" s="758"/>
      <c r="Y45" s="3031"/>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23" t="str">
        <f>A46</f>
        <v>成交单价</v>
      </c>
      <c r="Q46" s="3023"/>
      <c r="R46" s="3060">
        <f>E46</f>
        <v>0</v>
      </c>
      <c r="S46" s="3060"/>
      <c r="T46" s="3060">
        <f>G46</f>
        <v>0</v>
      </c>
      <c r="U46" s="3060"/>
      <c r="V46" s="3060">
        <f>I46</f>
        <v>0</v>
      </c>
      <c r="W46" s="3060"/>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3" t="str">
        <f>A47</f>
        <v>比较价值（元/平方米）</v>
      </c>
      <c r="Q47" s="3023"/>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20" t="str">
        <f>A48</f>
        <v>估价对象XX用房的比较价值（楼面单价，元/平方米）</v>
      </c>
      <c r="Q48" s="3021"/>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2018-6-1</v>
      </c>
      <c r="D68" s="1670">
        <f>EDATE(C68,-3)</f>
        <v>43160</v>
      </c>
      <c r="E68" s="1670">
        <f t="shared" ref="E68:O68" si="18">EDATE(D68,-3)</f>
        <v>43070</v>
      </c>
      <c r="F68" s="1670">
        <f t="shared" si="18"/>
        <v>42979</v>
      </c>
      <c r="G68" s="1670">
        <f t="shared" si="18"/>
        <v>42887</v>
      </c>
      <c r="H68" s="1670">
        <f t="shared" si="18"/>
        <v>42795</v>
      </c>
      <c r="I68" s="1670">
        <f t="shared" si="18"/>
        <v>42705</v>
      </c>
      <c r="J68" s="1670">
        <f t="shared" si="18"/>
        <v>42614</v>
      </c>
      <c r="K68" s="1670">
        <f t="shared" si="18"/>
        <v>42522</v>
      </c>
      <c r="L68" s="1670">
        <f t="shared" si="18"/>
        <v>42430</v>
      </c>
      <c r="M68" s="1670">
        <f t="shared" si="18"/>
        <v>42339</v>
      </c>
      <c r="N68" s="1670">
        <f t="shared" si="18"/>
        <v>42248</v>
      </c>
      <c r="O68" s="1670">
        <f t="shared" si="18"/>
        <v>42156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7" t="s">
        <v>2577</v>
      </c>
      <c r="B71" s="284" t="str">
        <f>"北京市平均增长率"&amp;TEXT(SUMIF(基准地价修正!N21:N25,A71,基准地价修正!P21:P25),"0.00%")</f>
        <v>北京市平均增长率1.57%</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估价对象为北京市房地产，为所有。根据《不动产权证书》[]，估价对象建筑面积为59.65平方米，（分摊）出让国有建设用地使用权面积为平方米。估价对象用途为。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2018年6月26日（评估专业人员实地查勘之日）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50" t="s">
        <v>2341</v>
      </c>
      <c r="D4" s="3051"/>
      <c r="E4" s="3052" t="s">
        <v>2342</v>
      </c>
      <c r="F4" s="3053"/>
      <c r="G4" s="3050" t="s">
        <v>2343</v>
      </c>
      <c r="H4" s="3051"/>
      <c r="I4" s="3050" t="s">
        <v>2344</v>
      </c>
      <c r="J4" s="3051"/>
      <c r="K4" s="594" t="s">
        <v>2345</v>
      </c>
      <c r="L4" s="1243"/>
      <c r="M4" s="1244"/>
      <c r="N4" s="1244"/>
      <c r="O4" s="1244"/>
      <c r="P4" s="3054" t="s">
        <v>2346</v>
      </c>
      <c r="Q4" s="3055"/>
      <c r="R4" s="3039" t="s">
        <v>2342</v>
      </c>
      <c r="S4" s="3040"/>
      <c r="T4" s="3039" t="s">
        <v>2343</v>
      </c>
      <c r="U4" s="3040"/>
      <c r="V4" s="3060" t="s">
        <v>2344</v>
      </c>
      <c r="W4" s="3060"/>
      <c r="X4" s="1900"/>
      <c r="Y4" s="3039" t="s">
        <v>2346</v>
      </c>
      <c r="Z4" s="3040"/>
      <c r="AA4" s="3047" t="s">
        <v>2342</v>
      </c>
      <c r="AB4" s="3048" t="s">
        <v>2343</v>
      </c>
      <c r="AC4" s="3047" t="s">
        <v>2344</v>
      </c>
    </row>
    <row r="5" spans="1:29" ht="15">
      <c r="A5" s="383"/>
      <c r="B5" s="384"/>
      <c r="C5" s="3067" t="s">
        <v>2347</v>
      </c>
      <c r="D5" s="3068"/>
      <c r="E5" s="3065" t="s">
        <v>2348</v>
      </c>
      <c r="F5" s="3066"/>
      <c r="G5" s="3067" t="s">
        <v>2349</v>
      </c>
      <c r="H5" s="3068"/>
      <c r="I5" s="3067" t="s">
        <v>2350</v>
      </c>
      <c r="J5" s="3068"/>
      <c r="K5" s="594"/>
      <c r="L5" s="1243"/>
      <c r="M5" s="1244"/>
      <c r="N5" s="1244"/>
      <c r="O5" s="1244"/>
      <c r="P5" s="3056"/>
      <c r="Q5" s="3057"/>
      <c r="R5" s="3041"/>
      <c r="S5" s="3042"/>
      <c r="T5" s="3041"/>
      <c r="U5" s="3042"/>
      <c r="V5" s="3060"/>
      <c r="W5" s="3060"/>
      <c r="X5" s="1900"/>
      <c r="Y5" s="3041"/>
      <c r="Z5" s="3042"/>
      <c r="AA5" s="3048"/>
      <c r="AB5" s="3048"/>
      <c r="AC5" s="3048"/>
    </row>
    <row r="6" spans="1:29" ht="15.75" thickBot="1">
      <c r="A6" s="385"/>
      <c r="B6" s="386"/>
      <c r="C6" s="3033" t="s">
        <v>2351</v>
      </c>
      <c r="D6" s="3034"/>
      <c r="E6" s="3063" t="s">
        <v>2351</v>
      </c>
      <c r="F6" s="3064"/>
      <c r="G6" s="3033" t="s">
        <v>2351</v>
      </c>
      <c r="H6" s="3034"/>
      <c r="I6" s="3033" t="s">
        <v>2351</v>
      </c>
      <c r="J6" s="3034"/>
      <c r="K6" s="594" t="s">
        <v>2352</v>
      </c>
      <c r="L6" s="1243"/>
      <c r="M6" s="1244"/>
      <c r="N6" s="1244"/>
      <c r="O6" s="1244"/>
      <c r="P6" s="3058"/>
      <c r="Q6" s="3059"/>
      <c r="R6" s="3041"/>
      <c r="S6" s="3042"/>
      <c r="T6" s="3043"/>
      <c r="U6" s="3044"/>
      <c r="V6" s="3060"/>
      <c r="W6" s="3060"/>
      <c r="X6" s="1900"/>
      <c r="Y6" s="3043"/>
      <c r="Z6" s="3044"/>
      <c r="AA6" s="3049"/>
      <c r="AB6" s="3049"/>
      <c r="AC6" s="3049"/>
    </row>
    <row r="7" spans="1:29" s="35" customFormat="1" ht="15.75" thickBot="1">
      <c r="A7" s="387" t="s">
        <v>2353</v>
      </c>
      <c r="B7" s="388"/>
      <c r="C7" s="389">
        <f>'数据-取费表'!B2</f>
        <v>43277</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37" t="s">
        <v>2354</v>
      </c>
      <c r="Q7" s="3045"/>
      <c r="R7" s="749" t="s">
        <v>25</v>
      </c>
      <c r="S7" s="750">
        <f t="shared" ref="S7:S15" si="0">F7</f>
        <v>0</v>
      </c>
      <c r="T7" s="749" t="s">
        <v>25</v>
      </c>
      <c r="U7" s="750">
        <f t="shared" ref="U7:U15" si="1">H7</f>
        <v>0</v>
      </c>
      <c r="V7" s="749" t="s">
        <v>25</v>
      </c>
      <c r="W7" s="750">
        <f t="shared" ref="W7:W15" si="2">J7</f>
        <v>0</v>
      </c>
      <c r="X7" s="751"/>
      <c r="Y7" s="3037" t="s">
        <v>2354</v>
      </c>
      <c r="Z7" s="3038"/>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7" t="s">
        <v>2357</v>
      </c>
      <c r="Q8" s="3038"/>
      <c r="R8" s="749" t="s">
        <v>25</v>
      </c>
      <c r="S8" s="750">
        <f t="shared" si="0"/>
        <v>0</v>
      </c>
      <c r="T8" s="749" t="s">
        <v>25</v>
      </c>
      <c r="U8" s="750">
        <f t="shared" si="1"/>
        <v>0</v>
      </c>
      <c r="V8" s="749" t="s">
        <v>25</v>
      </c>
      <c r="W8" s="750">
        <f t="shared" si="2"/>
        <v>0</v>
      </c>
      <c r="X8" s="751"/>
      <c r="Y8" s="3037" t="s">
        <v>2357</v>
      </c>
      <c r="Z8" s="3038"/>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23" t="s">
        <v>2360</v>
      </c>
      <c r="Q9" s="1887" t="str">
        <f t="shared" ref="Q9:Q15" si="6">B9</f>
        <v>用途</v>
      </c>
      <c r="R9" s="749" t="s">
        <v>25</v>
      </c>
      <c r="S9" s="750">
        <f t="shared" si="0"/>
        <v>100</v>
      </c>
      <c r="T9" s="749" t="s">
        <v>25</v>
      </c>
      <c r="U9" s="750">
        <f t="shared" si="1"/>
        <v>100</v>
      </c>
      <c r="V9" s="749" t="s">
        <v>25</v>
      </c>
      <c r="W9" s="750">
        <f t="shared" si="2"/>
        <v>100</v>
      </c>
      <c r="X9" s="751"/>
      <c r="Y9" s="2849"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120</v>
      </c>
      <c r="G10" s="412"/>
      <c r="H10" s="52">
        <f>ROUND(100/'数据-取费表'!B14,0)</f>
        <v>120</v>
      </c>
      <c r="I10" s="412"/>
      <c r="J10" s="52">
        <f>ROUND(100/'数据-取费表'!B14,0)</f>
        <v>120</v>
      </c>
      <c r="K10" s="655"/>
      <c r="L10" s="1248"/>
      <c r="M10" s="1249"/>
      <c r="N10" s="1249"/>
      <c r="O10" s="1250"/>
      <c r="P10" s="3023"/>
      <c r="Q10" s="1887" t="str">
        <f t="shared" si="6"/>
        <v>土地使用年限（年）</v>
      </c>
      <c r="R10" s="749" t="s">
        <v>25</v>
      </c>
      <c r="S10" s="750">
        <f t="shared" si="0"/>
        <v>120</v>
      </c>
      <c r="T10" s="749" t="s">
        <v>25</v>
      </c>
      <c r="U10" s="750">
        <f t="shared" si="1"/>
        <v>120</v>
      </c>
      <c r="V10" s="749" t="s">
        <v>25</v>
      </c>
      <c r="W10" s="750">
        <f t="shared" si="2"/>
        <v>120</v>
      </c>
      <c r="X10" s="751"/>
      <c r="Y10" s="2849"/>
      <c r="Z10" s="23" t="str">
        <f t="shared" si="7"/>
        <v>土地使用年限（年）</v>
      </c>
      <c r="AA10" s="752">
        <f t="shared" si="3"/>
        <v>0.83333333333333337</v>
      </c>
      <c r="AB10" s="752">
        <f t="shared" si="4"/>
        <v>0.83333333333333337</v>
      </c>
      <c r="AC10" s="752">
        <f t="shared" si="5"/>
        <v>0.83333333333333337</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3"/>
      <c r="Q11" s="1887" t="str">
        <f t="shared" si="6"/>
        <v>容积率</v>
      </c>
      <c r="R11" s="749" t="s">
        <v>25</v>
      </c>
      <c r="S11" s="750" t="e">
        <f t="shared" si="0"/>
        <v>#N/A</v>
      </c>
      <c r="T11" s="749" t="s">
        <v>25</v>
      </c>
      <c r="U11" s="750" t="e">
        <f t="shared" si="1"/>
        <v>#N/A</v>
      </c>
      <c r="V11" s="749" t="s">
        <v>25</v>
      </c>
      <c r="W11" s="750" t="e">
        <f t="shared" si="2"/>
        <v>#N/A</v>
      </c>
      <c r="X11" s="751"/>
      <c r="Y11" s="2849"/>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3"/>
      <c r="Q12" s="1887">
        <f t="shared" si="6"/>
        <v>111</v>
      </c>
      <c r="R12" s="749" t="s">
        <v>25</v>
      </c>
      <c r="S12" s="750">
        <f t="shared" si="0"/>
        <v>100</v>
      </c>
      <c r="T12" s="749" t="s">
        <v>25</v>
      </c>
      <c r="U12" s="750">
        <f t="shared" si="1"/>
        <v>100</v>
      </c>
      <c r="V12" s="749" t="s">
        <v>25</v>
      </c>
      <c r="W12" s="750">
        <f t="shared" si="2"/>
        <v>100</v>
      </c>
      <c r="X12" s="751"/>
      <c r="Y12" s="2849"/>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3"/>
      <c r="Q13" s="1887">
        <f t="shared" si="6"/>
        <v>111</v>
      </c>
      <c r="R13" s="749" t="s">
        <v>25</v>
      </c>
      <c r="S13" s="750">
        <f t="shared" si="0"/>
        <v>100</v>
      </c>
      <c r="T13" s="749" t="s">
        <v>25</v>
      </c>
      <c r="U13" s="750">
        <f t="shared" si="1"/>
        <v>100</v>
      </c>
      <c r="V13" s="749" t="s">
        <v>25</v>
      </c>
      <c r="W13" s="750">
        <f t="shared" si="2"/>
        <v>100</v>
      </c>
      <c r="X13" s="751"/>
      <c r="Y13" s="2849"/>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3"/>
      <c r="Q14" s="1887">
        <f t="shared" si="6"/>
        <v>111</v>
      </c>
      <c r="R14" s="749" t="s">
        <v>25</v>
      </c>
      <c r="S14" s="750">
        <f t="shared" si="0"/>
        <v>100</v>
      </c>
      <c r="T14" s="749" t="s">
        <v>25</v>
      </c>
      <c r="U14" s="750">
        <f t="shared" si="1"/>
        <v>100</v>
      </c>
      <c r="V14" s="749" t="s">
        <v>25</v>
      </c>
      <c r="W14" s="750">
        <f t="shared" si="2"/>
        <v>100</v>
      </c>
      <c r="X14" s="751"/>
      <c r="Y14" s="2849"/>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26" t="s">
        <v>2365</v>
      </c>
      <c r="Q15" s="1899" t="str">
        <f t="shared" si="6"/>
        <v>产业集聚程度</v>
      </c>
      <c r="R15" s="753" t="s">
        <v>25</v>
      </c>
      <c r="S15" s="754">
        <f t="shared" si="0"/>
        <v>100</v>
      </c>
      <c r="T15" s="753" t="s">
        <v>25</v>
      </c>
      <c r="U15" s="754">
        <f t="shared" si="1"/>
        <v>100</v>
      </c>
      <c r="V15" s="753" t="s">
        <v>25</v>
      </c>
      <c r="W15" s="754">
        <f t="shared" si="2"/>
        <v>100</v>
      </c>
      <c r="X15" s="1900"/>
      <c r="Y15" s="3026"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7"/>
      <c r="Q16" s="1899"/>
      <c r="R16" s="753"/>
      <c r="S16" s="754"/>
      <c r="T16" s="753"/>
      <c r="U16" s="754"/>
      <c r="V16" s="753"/>
      <c r="W16" s="754"/>
      <c r="X16" s="1900"/>
      <c r="Y16" s="3027"/>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7"/>
      <c r="Q17" s="1899" t="str">
        <f>B17</f>
        <v>交通便捷度</v>
      </c>
      <c r="R17" s="753" t="s">
        <v>25</v>
      </c>
      <c r="S17" s="754">
        <f>F17</f>
        <v>100</v>
      </c>
      <c r="T17" s="753" t="s">
        <v>25</v>
      </c>
      <c r="U17" s="754">
        <f>H17</f>
        <v>100</v>
      </c>
      <c r="V17" s="753" t="s">
        <v>25</v>
      </c>
      <c r="W17" s="754">
        <f>J17</f>
        <v>100</v>
      </c>
      <c r="X17" s="1900"/>
      <c r="Y17" s="3027"/>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27"/>
      <c r="Q18" s="1899"/>
      <c r="R18" s="753"/>
      <c r="S18" s="754"/>
      <c r="T18" s="753"/>
      <c r="U18" s="754"/>
      <c r="V18" s="753"/>
      <c r="W18" s="754"/>
      <c r="X18" s="1900"/>
      <c r="Y18" s="3027"/>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7"/>
      <c r="Q19" s="1899" t="str">
        <f t="shared" ref="Q19:Q33" si="8">B19</f>
        <v>区域土地利用方向</v>
      </c>
      <c r="R19" s="753" t="s">
        <v>25</v>
      </c>
      <c r="S19" s="754">
        <f>F19</f>
        <v>100</v>
      </c>
      <c r="T19" s="753" t="s">
        <v>25</v>
      </c>
      <c r="U19" s="754">
        <f>H19</f>
        <v>100</v>
      </c>
      <c r="V19" s="753" t="s">
        <v>25</v>
      </c>
      <c r="W19" s="754">
        <f>J19</f>
        <v>100</v>
      </c>
      <c r="X19" s="1900"/>
      <c r="Y19" s="3027"/>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7"/>
      <c r="Q20" s="1899"/>
      <c r="R20" s="753"/>
      <c r="S20" s="754"/>
      <c r="T20" s="753"/>
      <c r="U20" s="754"/>
      <c r="V20" s="753"/>
      <c r="W20" s="754"/>
      <c r="X20" s="1900"/>
      <c r="Y20" s="3027"/>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7"/>
      <c r="Q21" s="1899" t="str">
        <f t="shared" si="8"/>
        <v>环境状况</v>
      </c>
      <c r="R21" s="753" t="s">
        <v>25</v>
      </c>
      <c r="S21" s="754">
        <f>F21</f>
        <v>100</v>
      </c>
      <c r="T21" s="753" t="s">
        <v>25</v>
      </c>
      <c r="U21" s="754">
        <f>H21</f>
        <v>100</v>
      </c>
      <c r="V21" s="753" t="s">
        <v>25</v>
      </c>
      <c r="W21" s="754">
        <f>J21</f>
        <v>100</v>
      </c>
      <c r="X21" s="1900"/>
      <c r="Y21" s="3027"/>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7"/>
      <c r="Q22" s="1899"/>
      <c r="R22" s="753"/>
      <c r="S22" s="754"/>
      <c r="T22" s="753"/>
      <c r="U22" s="754"/>
      <c r="V22" s="753"/>
      <c r="W22" s="754"/>
      <c r="X22" s="1900"/>
      <c r="Y22" s="3027"/>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7"/>
      <c r="Q23" s="1887" t="str">
        <f t="shared" si="8"/>
        <v>公共配套设施</v>
      </c>
      <c r="R23" s="749" t="s">
        <v>25</v>
      </c>
      <c r="S23" s="750">
        <f>F23</f>
        <v>100</v>
      </c>
      <c r="T23" s="749" t="s">
        <v>25</v>
      </c>
      <c r="U23" s="750">
        <f>H23</f>
        <v>100</v>
      </c>
      <c r="V23" s="749" t="s">
        <v>25</v>
      </c>
      <c r="W23" s="750">
        <f>J23</f>
        <v>100</v>
      </c>
      <c r="X23" s="751"/>
      <c r="Y23" s="3027"/>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27"/>
      <c r="Q24" s="1887"/>
      <c r="R24" s="749"/>
      <c r="S24" s="750"/>
      <c r="T24" s="749"/>
      <c r="U24" s="750"/>
      <c r="V24" s="749"/>
      <c r="W24" s="750"/>
      <c r="X24" s="751"/>
      <c r="Y24" s="3027"/>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7"/>
      <c r="Q25" s="1887" t="str">
        <f t="shared" ref="Q25" si="9">B25</f>
        <v>基础设施水平</v>
      </c>
      <c r="R25" s="749" t="s">
        <v>25</v>
      </c>
      <c r="S25" s="750">
        <f>F25</f>
        <v>100</v>
      </c>
      <c r="T25" s="749" t="s">
        <v>25</v>
      </c>
      <c r="U25" s="750">
        <f>H25</f>
        <v>100</v>
      </c>
      <c r="V25" s="749" t="s">
        <v>25</v>
      </c>
      <c r="W25" s="750">
        <f>J25</f>
        <v>100</v>
      </c>
      <c r="X25" s="751"/>
      <c r="Y25" s="3027"/>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27"/>
      <c r="Q26" s="1887"/>
      <c r="R26" s="749"/>
      <c r="S26" s="750"/>
      <c r="T26" s="749"/>
      <c r="U26" s="750"/>
      <c r="V26" s="749"/>
      <c r="W26" s="750"/>
      <c r="X26" s="751"/>
      <c r="Y26" s="3027"/>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7"/>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7"/>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7"/>
      <c r="Q28" s="1899" t="str">
        <f t="shared" si="8"/>
        <v>毗邻道路的类型与等级</v>
      </c>
      <c r="R28" s="753" t="s">
        <v>25</v>
      </c>
      <c r="S28" s="754">
        <f t="shared" si="10"/>
        <v>100</v>
      </c>
      <c r="T28" s="753" t="s">
        <v>25</v>
      </c>
      <c r="U28" s="754">
        <f t="shared" si="11"/>
        <v>100</v>
      </c>
      <c r="V28" s="753" t="s">
        <v>25</v>
      </c>
      <c r="W28" s="754">
        <f t="shared" si="12"/>
        <v>100</v>
      </c>
      <c r="X28" s="1900"/>
      <c r="Y28" s="3027"/>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7"/>
      <c r="Q29" s="1899"/>
      <c r="R29" s="753"/>
      <c r="S29" s="754"/>
      <c r="T29" s="753"/>
      <c r="U29" s="754"/>
      <c r="V29" s="753"/>
      <c r="W29" s="754"/>
      <c r="X29" s="1900"/>
      <c r="Y29" s="3027"/>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7"/>
      <c r="Q30" s="1899" t="str">
        <f t="shared" si="8"/>
        <v>土地级别</v>
      </c>
      <c r="R30" s="753" t="s">
        <v>25</v>
      </c>
      <c r="S30" s="754">
        <f t="shared" si="10"/>
        <v>100</v>
      </c>
      <c r="T30" s="753" t="s">
        <v>25</v>
      </c>
      <c r="U30" s="754">
        <f t="shared" si="11"/>
        <v>100</v>
      </c>
      <c r="V30" s="753" t="s">
        <v>25</v>
      </c>
      <c r="W30" s="754">
        <f t="shared" si="12"/>
        <v>100</v>
      </c>
      <c r="X30" s="1900"/>
      <c r="Y30" s="3027"/>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7"/>
      <c r="Q31" s="1899">
        <f t="shared" si="8"/>
        <v>111</v>
      </c>
      <c r="R31" s="753" t="s">
        <v>25</v>
      </c>
      <c r="S31" s="754">
        <f t="shared" si="10"/>
        <v>100</v>
      </c>
      <c r="T31" s="753" t="s">
        <v>25</v>
      </c>
      <c r="U31" s="754">
        <f t="shared" si="11"/>
        <v>100</v>
      </c>
      <c r="V31" s="753" t="s">
        <v>25</v>
      </c>
      <c r="W31" s="754">
        <f t="shared" si="12"/>
        <v>100</v>
      </c>
      <c r="X31" s="1900"/>
      <c r="Y31" s="3027"/>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2371</v>
      </c>
      <c r="Q32" s="1899">
        <f t="shared" si="8"/>
        <v>111</v>
      </c>
      <c r="R32" s="753" t="s">
        <v>25</v>
      </c>
      <c r="S32" s="754">
        <f t="shared" si="10"/>
        <v>100</v>
      </c>
      <c r="T32" s="753" t="s">
        <v>25</v>
      </c>
      <c r="U32" s="754">
        <f t="shared" si="11"/>
        <v>100</v>
      </c>
      <c r="V32" s="753" t="s">
        <v>25</v>
      </c>
      <c r="W32" s="754">
        <f t="shared" si="12"/>
        <v>100</v>
      </c>
      <c r="X32" s="1900"/>
      <c r="Y32" s="3031"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31"/>
      <c r="Q33" s="1899">
        <f t="shared" si="8"/>
        <v>111</v>
      </c>
      <c r="R33" s="756" t="s">
        <v>25</v>
      </c>
      <c r="S33" s="757">
        <f t="shared" si="10"/>
        <v>100</v>
      </c>
      <c r="T33" s="756" t="s">
        <v>25</v>
      </c>
      <c r="U33" s="757">
        <f t="shared" si="11"/>
        <v>100</v>
      </c>
      <c r="V33" s="756" t="s">
        <v>25</v>
      </c>
      <c r="W33" s="757">
        <f t="shared" si="12"/>
        <v>100</v>
      </c>
      <c r="X33" s="758"/>
      <c r="Y33" s="3031"/>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31"/>
      <c r="Q34" s="1899" t="str">
        <f>B34</f>
        <v>宗地面积</v>
      </c>
      <c r="R34" s="753" t="s">
        <v>25</v>
      </c>
      <c r="S34" s="754" t="e">
        <f t="shared" si="10"/>
        <v>#N/A</v>
      </c>
      <c r="T34" s="753" t="s">
        <v>25</v>
      </c>
      <c r="U34" s="754" t="e">
        <f t="shared" si="11"/>
        <v>#N/A</v>
      </c>
      <c r="V34" s="753" t="s">
        <v>25</v>
      </c>
      <c r="W34" s="754" t="e">
        <f t="shared" si="12"/>
        <v>#N/A</v>
      </c>
      <c r="X34" s="1900"/>
      <c r="Y34" s="3031"/>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31"/>
      <c r="Q35" s="1899" t="str">
        <f t="shared" ref="Q35:Q40" si="14">B35</f>
        <v>宗地形状</v>
      </c>
      <c r="R35" s="753" t="s">
        <v>25</v>
      </c>
      <c r="S35" s="754">
        <f t="shared" si="10"/>
        <v>100</v>
      </c>
      <c r="T35" s="753" t="s">
        <v>25</v>
      </c>
      <c r="U35" s="754">
        <f t="shared" si="11"/>
        <v>100</v>
      </c>
      <c r="V35" s="753" t="s">
        <v>25</v>
      </c>
      <c r="W35" s="754">
        <f t="shared" si="12"/>
        <v>100</v>
      </c>
      <c r="X35" s="1900"/>
      <c r="Y35" s="3031"/>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31"/>
      <c r="Q36" s="1899" t="str">
        <f t="shared" si="14"/>
        <v>宗地开发程度</v>
      </c>
      <c r="R36" s="749" t="s">
        <v>25</v>
      </c>
      <c r="S36" s="750">
        <f t="shared" si="10"/>
        <v>100</v>
      </c>
      <c r="T36" s="749" t="s">
        <v>25</v>
      </c>
      <c r="U36" s="750">
        <f t="shared" si="11"/>
        <v>100</v>
      </c>
      <c r="V36" s="749" t="s">
        <v>25</v>
      </c>
      <c r="W36" s="750">
        <f t="shared" si="12"/>
        <v>100</v>
      </c>
      <c r="X36" s="751"/>
      <c r="Y36" s="3031"/>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31" t="s">
        <v>2371</v>
      </c>
      <c r="Q37" s="1899" t="str">
        <f t="shared" si="14"/>
        <v>工程地质条件</v>
      </c>
      <c r="R37" s="753" t="s">
        <v>25</v>
      </c>
      <c r="S37" s="754">
        <f t="shared" si="10"/>
        <v>100</v>
      </c>
      <c r="T37" s="753" t="s">
        <v>25</v>
      </c>
      <c r="U37" s="754">
        <f t="shared" si="11"/>
        <v>100</v>
      </c>
      <c r="V37" s="753" t="s">
        <v>25</v>
      </c>
      <c r="W37" s="754">
        <f t="shared" si="12"/>
        <v>100</v>
      </c>
      <c r="X37" s="1900"/>
      <c r="Y37" s="3031"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31"/>
      <c r="Q38" s="1899">
        <f t="shared" si="14"/>
        <v>111</v>
      </c>
      <c r="R38" s="753" t="s">
        <v>25</v>
      </c>
      <c r="S38" s="754">
        <f t="shared" si="10"/>
        <v>100</v>
      </c>
      <c r="T38" s="753" t="s">
        <v>25</v>
      </c>
      <c r="U38" s="754">
        <f t="shared" si="11"/>
        <v>100</v>
      </c>
      <c r="V38" s="753" t="s">
        <v>25</v>
      </c>
      <c r="W38" s="754">
        <f t="shared" si="12"/>
        <v>100</v>
      </c>
      <c r="X38" s="1900"/>
      <c r="Y38" s="3031"/>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31"/>
      <c r="Q39" s="1899">
        <f t="shared" si="14"/>
        <v>111</v>
      </c>
      <c r="R39" s="753" t="s">
        <v>25</v>
      </c>
      <c r="S39" s="754">
        <f t="shared" si="10"/>
        <v>100</v>
      </c>
      <c r="T39" s="753" t="s">
        <v>25</v>
      </c>
      <c r="U39" s="754">
        <f t="shared" si="11"/>
        <v>100</v>
      </c>
      <c r="V39" s="753" t="s">
        <v>25</v>
      </c>
      <c r="W39" s="754">
        <f t="shared" si="12"/>
        <v>100</v>
      </c>
      <c r="X39" s="1900"/>
      <c r="Y39" s="3031"/>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31"/>
      <c r="Q40" s="1899">
        <f t="shared" si="14"/>
        <v>111</v>
      </c>
      <c r="R40" s="756" t="s">
        <v>25</v>
      </c>
      <c r="S40" s="757">
        <f t="shared" si="10"/>
        <v>100</v>
      </c>
      <c r="T40" s="756" t="s">
        <v>25</v>
      </c>
      <c r="U40" s="757">
        <f t="shared" si="11"/>
        <v>100</v>
      </c>
      <c r="V40" s="756" t="s">
        <v>25</v>
      </c>
      <c r="W40" s="757">
        <f t="shared" si="12"/>
        <v>100</v>
      </c>
      <c r="X40" s="758"/>
      <c r="Y40" s="3031"/>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23" t="str">
        <f>A41</f>
        <v>成交单价</v>
      </c>
      <c r="Q41" s="3023"/>
      <c r="R41" s="3060">
        <f>E41</f>
        <v>0</v>
      </c>
      <c r="S41" s="3060"/>
      <c r="T41" s="3060">
        <f>G41</f>
        <v>0</v>
      </c>
      <c r="U41" s="3060"/>
      <c r="V41" s="3060">
        <f>I41</f>
        <v>0</v>
      </c>
      <c r="W41" s="3060"/>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3" t="str">
        <f>A42</f>
        <v>比较价值（元/平方米）</v>
      </c>
      <c r="Q42" s="3023"/>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20" t="str">
        <f>A43</f>
        <v>估价对象XX用房的比较价值（楼面单价，元/平方米）</v>
      </c>
      <c r="Q43" s="3021"/>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2018-6-1</v>
      </c>
      <c r="D63" s="1670">
        <f>EDATE(C63,-3)</f>
        <v>43160</v>
      </c>
      <c r="E63" s="1670">
        <f t="shared" ref="E63:O63" si="18">EDATE(D63,-3)</f>
        <v>43070</v>
      </c>
      <c r="F63" s="1670">
        <f t="shared" si="18"/>
        <v>42979</v>
      </c>
      <c r="G63" s="1670">
        <f t="shared" si="18"/>
        <v>42887</v>
      </c>
      <c r="H63" s="1670">
        <f t="shared" si="18"/>
        <v>42795</v>
      </c>
      <c r="I63" s="1670">
        <f t="shared" si="18"/>
        <v>42705</v>
      </c>
      <c r="J63" s="1670">
        <f t="shared" si="18"/>
        <v>42614</v>
      </c>
      <c r="K63" s="1670">
        <f t="shared" si="18"/>
        <v>42522</v>
      </c>
      <c r="L63" s="1670">
        <f t="shared" si="18"/>
        <v>42430</v>
      </c>
      <c r="M63" s="1670">
        <f t="shared" si="18"/>
        <v>42339</v>
      </c>
      <c r="N63" s="1670">
        <f t="shared" si="18"/>
        <v>42248</v>
      </c>
      <c r="O63" s="1670">
        <f t="shared" si="18"/>
        <v>42156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2" t="s">
        <v>2596</v>
      </c>
      <c r="B66" s="284" t="str">
        <f>"北京市平均增长率"&amp;TEXT(基准地价修正!P24,"0.00%")</f>
        <v>北京市平均增长率1.35%</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82"/>
      <c r="B4" s="3083"/>
      <c r="C4" s="3083"/>
      <c r="D4" s="3084"/>
      <c r="E4" s="3084"/>
      <c r="F4" s="3084"/>
      <c r="G4" s="3084"/>
      <c r="H4" s="3084"/>
      <c r="I4" s="3084"/>
      <c r="J4" s="3085"/>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86"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7"/>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9" t="s">
        <v>2633</v>
      </c>
      <c r="X8" s="3080"/>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7"/>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81"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7"/>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8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7"/>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81"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6"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81"/>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8"/>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8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8"/>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9"/>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6"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7"/>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43277</v>
      </c>
      <c r="H19" s="2586" t="s">
        <v>2692</v>
      </c>
      <c r="I19" s="955" t="str">
        <f>IF(H19="季度增幅（自定义）",SUMIF(N21:N24,E2,O21:O24),"")</f>
        <v/>
      </c>
      <c r="J19" s="2582"/>
      <c r="K19" s="2583"/>
      <c r="L19" s="2587" t="s">
        <v>2693</v>
      </c>
      <c r="M19" s="1826">
        <f>ROUND(SUMIF(地价!B2:F2,E2,地价!B22:F22),0)</f>
        <v>0</v>
      </c>
      <c r="N19" s="1466" t="s">
        <v>2694</v>
      </c>
      <c r="O19" s="956">
        <f>ROUNDDOWN(DATEDIF(E19,G19,"M")/3,0)</f>
        <v>17</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27.5</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1.5699999999999999E-2</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1.5699999999999999E-2</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2.5000000000000001E-2</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1.35E-2</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2.2700000000000001E-2</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98"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9"/>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9"/>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0"/>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t="str">
        <f>估价对象房地状况!C16</f>
        <v>估价对象周边有首创新悦都、原香小镇、万科长阳天地、九州溪雅苑等居住小区，小区规模和社区发展完善程度较好，综合评价居住社区成熟度较好</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估价对象紧邻城市快速路——京良路，周边有地铁房山线（篱笆房站）、有房15路、房18路、房31路、房37路等十多条公交线路，综合评价交通便捷度较好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城市快速路——京良路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51.75" thickBot="1">
      <c r="A56" s="2679" t="s">
        <v>2767</v>
      </c>
      <c r="B56" s="2680" t="str">
        <f>估价对象房地状况!C20</f>
        <v>自然环境：长阳公园等；人文环境：国福东旭高尔夫练习场等，综合评价环境状况一般</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估价对象紧邻城市快速路——京良路，周边有地铁房山线（篱笆房站）、有房15路、房18路、房31路、房37路等十多条公交线路，综合评价交通便捷度较好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城市快速路——京良路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51.75" thickBot="1">
      <c r="A67" s="2679" t="s">
        <v>2767</v>
      </c>
      <c r="B67" s="2682" t="str">
        <f>估价对象房地状况!C20</f>
        <v>自然环境：长阳公园等；人文环境：国福东旭高尔夫练习场等，综合评价环境状况一般</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估价对象周边有首创新悦都、原香小镇、万科长阳天地、九州溪雅苑等居住小区，小区规模和社区发展完善程度较好，综合评价居住社区成熟度较好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估价对象紧邻城市快速路——京良路，周边有地铁房山线（篱笆房站）、有房15路、房18路、房31路、房37路等十多条公交线路，综合评价交通便捷度较好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城市快速路——京良路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51">
      <c r="A77" s="2670" t="s">
        <v>2767</v>
      </c>
      <c r="B77" s="2673" t="str">
        <f>估价对象房地状况!C20</f>
        <v>自然环境：长阳公园等；人文环境：国福东旭高尔夫练习场等，综合评价环境状况一般</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90" t="s">
        <v>2780</v>
      </c>
      <c r="B90" s="3090"/>
      <c r="C90" s="3090"/>
      <c r="D90" s="3090"/>
      <c r="E90" s="3090"/>
      <c r="F90" s="3090"/>
      <c r="G90" s="3090"/>
      <c r="H90" s="3090"/>
      <c r="I90" s="3090"/>
      <c r="J90" s="3090"/>
      <c r="K90" s="2687"/>
      <c r="L90" s="2687"/>
      <c r="M90" s="2687"/>
      <c r="N90" s="2687"/>
    </row>
    <row r="91" spans="1:37">
      <c r="A91" s="3092" t="s">
        <v>2781</v>
      </c>
      <c r="B91" s="3092" t="s">
        <v>2782</v>
      </c>
      <c r="C91" s="2635" t="s">
        <v>2783</v>
      </c>
      <c r="D91" s="2636"/>
      <c r="E91" s="2636"/>
      <c r="F91" s="2636"/>
      <c r="G91" s="2636"/>
      <c r="H91" s="2636"/>
      <c r="I91" s="2636"/>
      <c r="J91" s="2688"/>
      <c r="K91" s="2689"/>
      <c r="L91" s="2689"/>
      <c r="M91" s="2689"/>
      <c r="N91" s="2689"/>
    </row>
    <row r="92" spans="1:37">
      <c r="A92" s="3092"/>
      <c r="B92" s="3092"/>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93"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94"/>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94"/>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94"/>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94"/>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94"/>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94"/>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95"/>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93"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94"/>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94"/>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94"/>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94"/>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94"/>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94"/>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94"/>
      <c r="B108" s="3096"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95"/>
      <c r="B109" s="3097"/>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91" t="s">
        <v>2788</v>
      </c>
      <c r="B110" s="3091"/>
      <c r="C110" s="3091"/>
      <c r="D110" s="3091"/>
      <c r="E110" s="3091"/>
      <c r="F110" s="3091"/>
      <c r="G110" s="3091"/>
      <c r="H110" s="3091"/>
      <c r="I110" s="3091"/>
      <c r="J110" s="3091"/>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t="str">
        <f>估价对象房地状况!C4</f>
        <v>估价对象周边有首创新悦都、原香小镇、万科长阳天地、九州溪雅苑等居住小区，小区规模和社区发展完善程度较好，综合评价居住社区成熟度较好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估价对象紧邻城市快速路——京良路，周边有地铁房山线（篱笆房站）、有房15路、房18路、房31路、房37路等十多条公交线路，综合评价交通便捷度较好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城市快速路——京良路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自然环境：长阳公园等；人文环境：国福东旭高尔夫练习场等，综合评价环境状况一般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估价对象紧邻城市快速路——京良路，周边有地铁房山线（篱笆房站）、有房15路、房18路、房31路、房37路等十多条公交线路，综合评价交通便捷度较好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城市快速路——京良路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自然环境：长阳公园等；人文环境：国福东旭高尔夫练习场等，综合评价环境状况一般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估价对象周边有首创新悦都、原香小镇、万科长阳天地、九州溪雅苑等居住小区，小区规模和社区发展完善程度较好，综合评价居住社区成熟度较好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估价对象紧邻城市快速路——京良路，周边有地铁房山线（篱笆房站）、有房15路、房18路、房31路、房37路等十多条公交线路，综合评价交通便捷度较好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城市快速路——京良路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自然环境：长阳公园等；人文环境：国福东旭高尔夫练习场等，综合评价环境状况一般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9"/>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9"/>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10"/>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8">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9"/>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9"/>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10"/>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8">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9"/>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9"/>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10"/>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8">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9"/>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9"/>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10"/>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8">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9">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9">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10">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8">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9">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9">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10">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8">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9">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9">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10">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8">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9">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9">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10">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8">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9">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9">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10">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8">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9">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9">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10">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8">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9">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9">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10">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8">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9">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9">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10">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8">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9">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9">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10">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8">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9">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9">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10">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43277</v>
      </c>
      <c r="D1" s="1802" t="s">
        <v>1186</v>
      </c>
      <c r="E1" s="1808">
        <f>'数据-取费表'!B23</f>
        <v>1.5</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75"/>
      <c r="C2" s="2775"/>
      <c r="D2" s="2775"/>
      <c r="E2" s="2775"/>
    </row>
    <row r="3" spans="1:5" ht="13.5" customHeight="1">
      <c r="A3" s="1930"/>
      <c r="B3" s="1930"/>
      <c r="C3" s="1930"/>
      <c r="D3" s="1930"/>
      <c r="E3" s="1930"/>
    </row>
    <row r="4" spans="1:5" ht="19.5" thickBot="1">
      <c r="A4" s="2776" t="str">
        <f>IF(项目基本情况!D5="房地产市场价值","估价结果一览表（市场价值不需本页表格)","估价结果一览表")</f>
        <v>估价结果一览表</v>
      </c>
      <c r="B4" s="2776"/>
      <c r="C4" s="2776"/>
      <c r="D4" s="2776"/>
      <c r="E4" s="2776"/>
    </row>
    <row r="5" spans="1:5" ht="14.25" customHeight="1" thickTop="1">
      <c r="A5" s="1927"/>
      <c r="B5" s="1931" t="s">
        <v>742</v>
      </c>
      <c r="C5" s="2777" t="s">
        <v>783</v>
      </c>
      <c r="D5" s="2778"/>
      <c r="E5" s="1927"/>
    </row>
    <row r="6" spans="1:5" ht="14.25">
      <c r="A6" s="1927"/>
      <c r="B6" s="1932" t="str">
        <f>项目基本情况!I1</f>
        <v>北京市房地产</v>
      </c>
      <c r="C6" s="2779">
        <f>项目基本情况!C12</f>
        <v>59.65</v>
      </c>
      <c r="D6" s="2779"/>
      <c r="E6" s="1927"/>
    </row>
    <row r="7" spans="1:5" ht="14.25">
      <c r="A7" s="1927"/>
      <c r="B7" s="2773" t="s">
        <v>784</v>
      </c>
      <c r="C7" s="1933" t="str">
        <f>IF('数据-取费表'!B3="万元","总价（万元）","总价（元）")</f>
        <v>总价（元）</v>
      </c>
      <c r="D7" s="1934">
        <f ca="1">IF('数据-取费表'!E3="否",结果表!I102,'结果表 (1修多)'!I103)</f>
        <v>927617</v>
      </c>
      <c r="E7" s="1927"/>
    </row>
    <row r="8" spans="1:5" ht="28.5">
      <c r="A8" s="1927"/>
      <c r="B8" s="2773"/>
      <c r="C8" s="1935" t="s">
        <v>1175</v>
      </c>
      <c r="D8" s="1936" t="str">
        <f ca="1">IF('数据-取费表'!B3="万元",NUMBERSTRING(INT(D7*10000),2)&amp;"元整",NUMBERSTRING(INT(D7),2)&amp;"元整")</f>
        <v>玖拾贰万柒仟陆佰壹拾柒元整</v>
      </c>
      <c r="E8" s="1927"/>
    </row>
    <row r="9" spans="1:5" ht="14.25">
      <c r="A9" s="1927"/>
      <c r="B9" s="2773"/>
      <c r="C9" s="1937" t="s">
        <v>1274</v>
      </c>
      <c r="D9" s="1934">
        <f ca="1">IF('数据-取费表'!E3="否",结果表!I103,'结果表 (1修多)'!I104)</f>
        <v>15551</v>
      </c>
      <c r="E9" s="1927"/>
    </row>
    <row r="10" spans="1:5" ht="14.25">
      <c r="A10" s="1927"/>
      <c r="B10" s="2780"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80"/>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80" t="str">
        <f>IF('数据-取费表'!E3="否",结果表!F110,'结果表 (1修多)'!F111)</f>
        <v>3.房地产抵押价值</v>
      </c>
      <c r="C15" s="1928" t="str">
        <f>C7</f>
        <v>总价（元）</v>
      </c>
      <c r="D15" s="1934">
        <f ca="1">IF('数据-取费表'!E3="否",结果表!I110,'结果表 (1修多)'!I111)</f>
        <v>927617</v>
      </c>
      <c r="E15" s="1927"/>
    </row>
    <row r="16" spans="1:5" ht="28.5">
      <c r="A16" s="1927"/>
      <c r="B16" s="2780"/>
      <c r="C16" s="1935" t="s">
        <v>1175</v>
      </c>
      <c r="D16" s="1934" t="str">
        <f ca="1">IF('数据-取费表'!B3="万元",NUMBERSTRING(INT(D15*10000),2)&amp;"元整",NUMBERSTRING(INT(D15),2)&amp;"元整")</f>
        <v>玖拾贰万柒仟陆佰壹拾柒元整</v>
      </c>
      <c r="E16" s="1927"/>
    </row>
    <row r="17" spans="1:5" ht="14.25">
      <c r="A17" s="1927"/>
      <c r="B17" s="2780"/>
      <c r="C17" s="1937" t="s">
        <v>1274</v>
      </c>
      <c r="D17" s="1934">
        <f ca="1">IF('数据-取费表'!E3="否",结果表!I111,'结果表 (1修多)'!I112)</f>
        <v>15551</v>
      </c>
      <c r="E17" s="1927"/>
    </row>
    <row r="18" spans="1:5" ht="14.25">
      <c r="A18" s="1927"/>
      <c r="B18" s="2780" t="str">
        <f>IF('数据-取费表'!E3="否",结果表!F112,'结果表 (1修多)'!F113)</f>
        <v>——</v>
      </c>
      <c r="C18" s="1928" t="str">
        <f>C7</f>
        <v>总价（元）</v>
      </c>
      <c r="D18" s="1934" t="str">
        <f>IF('数据-取费表'!E3="否",结果表!I112,'结果表 (1修多)'!I113)</f>
        <v>——</v>
      </c>
      <c r="E18" s="1927"/>
    </row>
    <row r="19" spans="1:5" ht="14.25">
      <c r="A19" s="1927"/>
      <c r="B19" s="2780"/>
      <c r="C19" s="1935" t="s">
        <v>1175</v>
      </c>
      <c r="D19" s="1934" t="e">
        <f>IF('数据-取费表'!B3="万元",NUMBERSTRING(INT(D18*10000),2)&amp;"元整",NUMBERSTRING(INT(D18),2)&amp;"元整")</f>
        <v>#VALUE!</v>
      </c>
      <c r="E19" s="1927"/>
    </row>
    <row r="20" spans="1:5" ht="14.25">
      <c r="A20" s="1927"/>
      <c r="B20" s="2780"/>
      <c r="C20" s="1937" t="s">
        <v>1274</v>
      </c>
      <c r="D20" s="1934" t="str">
        <f>IF('数据-取费表'!E3="否",结果表!I113,'结果表 (1修多)'!I114)</f>
        <v>——</v>
      </c>
      <c r="E20" s="1927"/>
    </row>
    <row r="21" spans="1:5" ht="14.25">
      <c r="A21" s="1927"/>
      <c r="B21" s="2773" t="str">
        <f>IF('数据-取费表'!E3="否",结果表!F114,'结果表 (1修多)'!F115)</f>
        <v>——</v>
      </c>
      <c r="C21" s="1933" t="str">
        <f>C7</f>
        <v>总价（元）</v>
      </c>
      <c r="D21" s="1934" t="str">
        <f>IF('数据-取费表'!E3="否",结果表!I114,'结果表 (1修多)'!I115)</f>
        <v>——</v>
      </c>
      <c r="E21" s="1927"/>
    </row>
    <row r="22" spans="1:5" ht="14.25">
      <c r="A22" s="1927"/>
      <c r="B22" s="2773"/>
      <c r="C22" s="1935" t="s">
        <v>1175</v>
      </c>
      <c r="D22" s="1936" t="e">
        <f>IF('数据-取费表'!B3="万元",NUMBERSTRING(INT(D21*10000),2)&amp;"元整",NUMBERSTRING(INT(D21),2)&amp;"元整")</f>
        <v>#VALUE!</v>
      </c>
      <c r="E22" s="1927"/>
    </row>
    <row r="23" spans="1:5" ht="15" thickBot="1">
      <c r="A23" s="1927"/>
      <c r="B23" s="2774"/>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5" t="s">
        <v>1275</v>
      </c>
      <c r="C25" s="2765"/>
      <c r="D25" s="2765"/>
      <c r="E25" s="1927"/>
    </row>
    <row r="26" spans="1:5" ht="18.75" customHeight="1" thickTop="1">
      <c r="A26" s="1927"/>
      <c r="B26" s="2768" t="s">
        <v>1174</v>
      </c>
      <c r="C26" s="2769"/>
      <c r="D26" s="2766" t="s">
        <v>1173</v>
      </c>
      <c r="E26" s="1927"/>
    </row>
    <row r="27" spans="1:5" ht="18.75" customHeight="1">
      <c r="A27" s="1927"/>
      <c r="B27" s="2770"/>
      <c r="C27" s="2771"/>
      <c r="D27" s="2767"/>
      <c r="E27" s="1927"/>
    </row>
    <row r="28" spans="1:5" ht="14.25">
      <c r="A28" s="1927"/>
      <c r="B28" s="2758" t="s">
        <v>784</v>
      </c>
      <c r="C28" s="1944" t="s">
        <v>1176</v>
      </c>
      <c r="D28" s="1945">
        <f ca="1">IF('数据-取费表'!E3="否",结果表!I102,'结果表 (1修多)'!I103)</f>
        <v>927617</v>
      </c>
      <c r="E28" s="1927"/>
    </row>
    <row r="29" spans="1:5" ht="28.5">
      <c r="A29" s="1927"/>
      <c r="B29" s="2759"/>
      <c r="C29" s="1946" t="s">
        <v>1175</v>
      </c>
      <c r="D29" s="1947" t="str">
        <f ca="1">IF('数据-取费表'!B3="万元",NUMBERSTRING(INT(D28*10000),2)&amp;"元整",NUMBERSTRING(INT(D28),2)&amp;"元整")</f>
        <v>玖拾贰万柒仟陆佰壹拾柒元整</v>
      </c>
      <c r="E29" s="1927"/>
    </row>
    <row r="30" spans="1:5" ht="14.25">
      <c r="A30" s="1927"/>
      <c r="B30" s="2760"/>
      <c r="C30" s="1937" t="s">
        <v>1178</v>
      </c>
      <c r="D30" s="1948">
        <f ca="1">IF('数据-取费表'!E3="否",结果表!I103,'结果表 (1修多)'!I104)</f>
        <v>15551</v>
      </c>
      <c r="E30" s="1927"/>
    </row>
    <row r="31" spans="1:5" ht="14.25">
      <c r="A31" s="1927"/>
      <c r="B31" s="2763" t="str">
        <f>B10</f>
        <v>2.估价师所知悉的法定优先受偿款</v>
      </c>
      <c r="C31" s="1949" t="s">
        <v>1177</v>
      </c>
      <c r="D31" s="1950">
        <f>IF('数据-取费表'!E3="否",结果表!I105,'结果表 (1修多)'!I106)</f>
        <v>0</v>
      </c>
      <c r="E31" s="1927"/>
    </row>
    <row r="32" spans="1:5" ht="14.25">
      <c r="A32" s="1927"/>
      <c r="B32" s="2772"/>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1" t="str">
        <f>B15</f>
        <v>3.房地产抵押价值</v>
      </c>
      <c r="C36" s="1949" t="str">
        <f>C28</f>
        <v>总价</v>
      </c>
      <c r="D36" s="1950">
        <f ca="1">IF('数据-取费表'!E3="否",结果表!I110,'结果表 (1修多)'!I111)</f>
        <v>927617</v>
      </c>
      <c r="E36" s="1927"/>
    </row>
    <row r="37" spans="1:5" ht="28.5">
      <c r="A37" s="1927"/>
      <c r="B37" s="2761"/>
      <c r="C37" s="1946" t="s">
        <v>1175</v>
      </c>
      <c r="D37" s="1951" t="str">
        <f ca="1">IF('数据-取费表'!B3="万元",NUMBERSTRING(INT(D36*10000),2)&amp;"元整",NUMBERSTRING(INT(D36),2)&amp;"元整")</f>
        <v>玖拾贰万柒仟陆佰壹拾柒元整</v>
      </c>
      <c r="E37" s="1927"/>
    </row>
    <row r="38" spans="1:5" ht="14.25">
      <c r="A38" s="1927"/>
      <c r="B38" s="2761"/>
      <c r="C38" s="1937" t="s">
        <v>1179</v>
      </c>
      <c r="D38" s="1948">
        <f ca="1">IF('数据-取费表'!E3="否",结果表!D113,'结果表 (1修多)'!D116)</f>
        <v>15551</v>
      </c>
      <c r="E38" s="1927"/>
    </row>
    <row r="39" spans="1:5" ht="14.25">
      <c r="A39" s="1927"/>
      <c r="B39" s="2762" t="str">
        <f>B18</f>
        <v>——</v>
      </c>
      <c r="C39" s="1949" t="str">
        <f>C28</f>
        <v>总价</v>
      </c>
      <c r="D39" s="1950" t="str">
        <f>IF('数据-取费表'!E3="否",结果表!I112,'结果表 (1修多)'!I113)</f>
        <v>——</v>
      </c>
      <c r="E39" s="1927"/>
    </row>
    <row r="40" spans="1:5" ht="14.25">
      <c r="A40" s="1927"/>
      <c r="B40" s="2762"/>
      <c r="C40" s="1946" t="s">
        <v>1175</v>
      </c>
      <c r="D40" s="1951" t="e">
        <f>IF('数据-取费表'!B3="万元",NUMBERSTRING(INT(D39*10000),2)&amp;"元整",NUMBERSTRING(INT(D39),2)&amp;"元整")</f>
        <v>#VALUE!</v>
      </c>
      <c r="E40" s="1927"/>
    </row>
    <row r="41" spans="1:5" ht="14.25">
      <c r="A41" s="1927"/>
      <c r="B41" s="2762"/>
      <c r="C41" s="1937" t="s">
        <v>1179</v>
      </c>
      <c r="D41" s="1948" t="str">
        <f>IF('数据-取费表'!E3="否",结果表!D115,'结果表 (1修多)'!D118)</f>
        <v>——</v>
      </c>
      <c r="E41" s="1927"/>
    </row>
    <row r="42" spans="1:5" ht="14.25">
      <c r="A42" s="1927"/>
      <c r="B42" s="2761" t="str">
        <f>B21</f>
        <v>——</v>
      </c>
      <c r="C42" s="1949" t="str">
        <f>C28</f>
        <v>总价</v>
      </c>
      <c r="D42" s="1950" t="str">
        <f>IF('数据-取费表'!E3="否",结果表!I114,'结果表 (1修多)'!I115)</f>
        <v>——</v>
      </c>
      <c r="E42" s="1927"/>
    </row>
    <row r="43" spans="1:5" ht="14.25">
      <c r="A43" s="1927"/>
      <c r="B43" s="2763"/>
      <c r="C43" s="1946" t="s">
        <v>1175</v>
      </c>
      <c r="D43" s="1952" t="e">
        <f>IF('数据-取费表'!B3="万元",NUMBERSTRING(INT(D42*10000),2)&amp;"元整",NUMBERSTRING(INT(D42),2)&amp;"元整")</f>
        <v>#VALUE!</v>
      </c>
      <c r="E43" s="1927"/>
    </row>
    <row r="44" spans="1:5" ht="15" thickBot="1">
      <c r="A44" s="1927"/>
      <c r="B44" s="2764"/>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1"/>
      <c r="B3" s="2781"/>
      <c r="C3" s="2781"/>
      <c r="D3" s="1049" t="s">
        <v>1281</v>
      </c>
      <c r="E3" s="1049" t="s">
        <v>1282</v>
      </c>
      <c r="F3" s="1049" t="s">
        <v>1281</v>
      </c>
      <c r="G3" s="1049" t="s">
        <v>1283</v>
      </c>
      <c r="H3" s="1049" t="s">
        <v>1281</v>
      </c>
      <c r="I3" s="1049" t="s">
        <v>1283</v>
      </c>
    </row>
    <row r="4" spans="1:9" ht="46.5" customHeight="1">
      <c r="A4" s="1049" t="str">
        <f>项目基本情况!I1</f>
        <v>北京市房地产</v>
      </c>
      <c r="B4" s="1049">
        <f>结果表!B121</f>
        <v>59.65</v>
      </c>
      <c r="C4" s="1049">
        <f>结果表!C121</f>
        <v>0</v>
      </c>
      <c r="D4" s="1049">
        <f ca="1">IF('数据-取费表'!E3="否",结果表!D121,'结果表 (1修多)'!D124)</f>
        <v>495334</v>
      </c>
      <c r="E4" s="1049">
        <f ca="1">IF('数据-取费表'!E3="否",结果表!E121,'结果表 (1修多)'!E124)</f>
        <v>8304</v>
      </c>
      <c r="F4" s="1049">
        <f ca="1">IF('数据-取费表'!E3="否",结果表!F121,'结果表 (1修多)'!F124)</f>
        <v>432284</v>
      </c>
      <c r="G4" s="1049">
        <f ca="1">IF('数据-取费表'!E3="否",结果表!G121,'结果表 (1修多)'!G124)</f>
        <v>7247</v>
      </c>
      <c r="H4" s="1049">
        <f ca="1">IF('数据-取费表'!E3="否",结果表!H121,'结果表 (1修多)'!H124)</f>
        <v>927617</v>
      </c>
      <c r="I4" s="1049">
        <f ca="1">IF('数据-取费表'!E3="否",结果表!I121,'结果表 (1修多)'!I124)</f>
        <v>15551</v>
      </c>
    </row>
    <row r="5" spans="1:9" ht="15">
      <c r="A5" s="2781" t="s">
        <v>1284</v>
      </c>
      <c r="B5" s="2781"/>
      <c r="C5" s="2781"/>
      <c r="D5" s="2782" t="str">
        <f ca="1">IF('数据-取费表'!E3="否",结果表!D122,'结果表 (1修多)'!D125)</f>
        <v>肆拾玖万伍仟叁佰叁拾肆元整</v>
      </c>
      <c r="E5" s="2782"/>
      <c r="F5" s="2782" t="str">
        <f ca="1">IF('数据-取费表'!E3="否",结果表!F122,'结果表 (1修多)'!F125)</f>
        <v>肆拾叁万贰仟贰佰捌拾肆元整</v>
      </c>
      <c r="G5" s="2782"/>
      <c r="H5" s="2782" t="str">
        <f ca="1">IF('数据-取费表'!E3="否",结果表!H122,'结果表 (1修多)'!H125)</f>
        <v>玖拾贰万柒仟陆佰壹拾柒元整</v>
      </c>
      <c r="I5" s="2782"/>
    </row>
    <row r="6" spans="1:9" ht="15.75">
      <c r="A6" s="2783" t="str">
        <f>IF('数据-取费表'!E3="否",结果表!A123,'结果表 (1修多)'!A126)</f>
        <v>估价师所知悉的法定优先受偿款</v>
      </c>
      <c r="B6" s="2783"/>
      <c r="C6" s="2783"/>
      <c r="D6" s="2783">
        <f>IF('数据-取费表'!E3="否",结果表!D123,'结果表 (1修多)'!D126)</f>
        <v>0</v>
      </c>
      <c r="E6" s="2783"/>
      <c r="F6" s="2783"/>
      <c r="G6" s="2783"/>
      <c r="H6" s="2783"/>
      <c r="I6" s="2783"/>
    </row>
    <row r="7" spans="1:9" ht="15">
      <c r="A7" s="2781" t="s">
        <v>1284</v>
      </c>
      <c r="B7" s="2781"/>
      <c r="C7" s="2781"/>
      <c r="D7" s="2789">
        <f>IF('数据-取费表'!E3="否",结果表!D124,'结果表 (1修多)'!D127)</f>
        <v>0</v>
      </c>
      <c r="E7" s="2790"/>
      <c r="F7" s="2790"/>
      <c r="G7" s="2790"/>
      <c r="H7" s="2790"/>
      <c r="I7" s="2791"/>
    </row>
    <row r="8" spans="1:9" ht="15.75">
      <c r="A8" s="2783" t="str">
        <f>IF('数据-取费表'!E3="否",结果表!A125,'结果表 (1修多)'!A128)</f>
        <v>房地产抵押价值</v>
      </c>
      <c r="B8" s="2783"/>
      <c r="C8" s="2783"/>
      <c r="D8" s="2783">
        <f ca="1">IF('数据-取费表'!E3="否",结果表!D125,'结果表 (1修多)'!D128)</f>
        <v>927617</v>
      </c>
      <c r="E8" s="2783"/>
      <c r="F8" s="2783"/>
      <c r="G8" s="2783"/>
      <c r="H8" s="2783"/>
      <c r="I8" s="2783"/>
    </row>
    <row r="9" spans="1:9" ht="15">
      <c r="A9" s="2781" t="s">
        <v>1284</v>
      </c>
      <c r="B9" s="2781"/>
      <c r="C9" s="2781"/>
      <c r="D9" s="2782">
        <f ca="1">IF('数据-取费表'!E3="否",结果表!D126,'结果表 (1修多)'!D129)</f>
        <v>15551</v>
      </c>
      <c r="E9" s="2782"/>
      <c r="F9" s="2782"/>
      <c r="G9" s="2782"/>
      <c r="H9" s="2782"/>
      <c r="I9" s="2782"/>
    </row>
    <row r="10" spans="1:9" ht="15.75">
      <c r="A10" s="2783" t="str">
        <f>IF('数据-取费表'!E3="否",结果表!A127,'结果表 (1修多)'!A130)</f>
        <v/>
      </c>
      <c r="B10" s="2783"/>
      <c r="C10" s="2783"/>
      <c r="D10" s="2783" t="str">
        <f>IF('数据-取费表'!E3="否",结果表!D127,'结果表 (1修多)'!D129)</f>
        <v>——</v>
      </c>
      <c r="E10" s="2783"/>
      <c r="F10" s="2783"/>
      <c r="G10" s="2783"/>
      <c r="H10" s="2783"/>
      <c r="I10" s="2783"/>
    </row>
    <row r="11" spans="1:9" ht="15">
      <c r="A11" s="2781" t="s">
        <v>1284</v>
      </c>
      <c r="B11" s="2781"/>
      <c r="C11" s="2781"/>
      <c r="D11" s="2782" t="str">
        <f>IF('数据-取费表'!E3="否",结果表!D128,'结果表 (1修多)'!D131)</f>
        <v>——</v>
      </c>
      <c r="E11" s="2782"/>
      <c r="F11" s="2782"/>
      <c r="G11" s="2782"/>
      <c r="H11" s="2782"/>
      <c r="I11" s="2782"/>
    </row>
    <row r="12" spans="1:9" ht="15.75">
      <c r="A12" s="2783" t="str">
        <f>IF('数据-取费表'!E3="否",结果表!A129,'结果表 (1修多)'!A132)</f>
        <v/>
      </c>
      <c r="B12" s="2783"/>
      <c r="C12" s="2783"/>
      <c r="D12" s="2783" t="str">
        <f>IF('数据-取费表'!E3="否",结果表!D129,'结果表 (1修多)'!D132)</f>
        <v>——</v>
      </c>
      <c r="E12" s="2783"/>
      <c r="F12" s="2783"/>
      <c r="G12" s="2783"/>
      <c r="H12" s="2783"/>
      <c r="I12" s="2783"/>
    </row>
    <row r="13" spans="1:9" ht="15.75" thickBot="1">
      <c r="A13" s="2784" t="s">
        <v>1284</v>
      </c>
      <c r="B13" s="2784"/>
      <c r="C13" s="2784"/>
      <c r="D13" s="2785">
        <f>IF('数据-取费表'!E3="否",结果表!D130,'结果表 (1修多)'!D133)</f>
        <v>0</v>
      </c>
      <c r="E13" s="2785"/>
      <c r="F13" s="2785"/>
      <c r="G13" s="2785"/>
      <c r="H13" s="2785"/>
      <c r="I13" s="2785"/>
    </row>
    <row r="14" spans="1:9" ht="15" thickTop="1">
      <c r="A14" s="2786" t="str">
        <f>IF('数据-取费表'!E3="否",结果表!A131,'结果表 (1修多)'!A134)</f>
        <v>单位：平方米、元、元/平方米（币种：人民币）</v>
      </c>
      <c r="B14" s="2786"/>
      <c r="C14" s="2786"/>
      <c r="D14" s="2786"/>
      <c r="E14" s="2786"/>
      <c r="F14" s="2786"/>
      <c r="G14" s="2786"/>
      <c r="H14" s="2786"/>
      <c r="I14" s="2786"/>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3" t="s">
        <v>1298</v>
      </c>
      <c r="B1" s="2793"/>
      <c r="C1" s="2793"/>
      <c r="D1" s="2793"/>
    </row>
    <row r="2" spans="1:4" ht="18">
      <c r="A2" s="2792" t="s">
        <v>1286</v>
      </c>
      <c r="B2" s="2792"/>
      <c r="C2" s="2792"/>
      <c r="D2" s="2792"/>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2" t="s">
        <v>1291</v>
      </c>
      <c r="B7" s="2792"/>
      <c r="C7" s="2792"/>
      <c r="D7" s="2792"/>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4" t="s">
        <v>1300</v>
      </c>
      <c r="B12" s="2795"/>
      <c r="C12" s="2795"/>
      <c r="D12" s="2795"/>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5"/>
      <c r="C13" s="2795"/>
      <c r="D13" s="2795"/>
    </row>
    <row r="14" spans="1:4" ht="30" customHeight="1">
      <c r="A14" s="2794" t="str">
        <f>IF(项目基本情况!D4="抵押","3.抵押双方在办理抵押登记手续时，应使用本公司出具的正式《房地产评估报告》，特提醒报告使用者注意。","——")</f>
        <v>——</v>
      </c>
      <c r="B14" s="2795"/>
      <c r="C14" s="2795"/>
      <c r="D14" s="2795"/>
    </row>
    <row r="15" spans="1:4" ht="15.75" customHeight="1">
      <c r="A15" s="2794" t="str">
        <f>IF(项目基本情况!D4="抵押","4.本次评估估价师所知悉的法定优先受偿款情况说明如下：","——")</f>
        <v>——</v>
      </c>
      <c r="B15" s="2795"/>
      <c r="C15" s="2795"/>
      <c r="D15" s="2795"/>
    </row>
    <row r="16" spans="1:4" ht="75" customHeight="1">
      <c r="A16" s="2794" t="str">
        <f>IF(项目基本情况!D4="抵押",CONCATENATE(项目基本情况!J13,项目基本情况!J14,项目基本情况!J15),"——")</f>
        <v>——</v>
      </c>
      <c r="B16" s="2794"/>
      <c r="C16" s="2794"/>
      <c r="D16" s="2794"/>
    </row>
    <row r="17" spans="1:4" ht="63.75" customHeight="1">
      <c r="A17" s="2796" t="s">
        <v>1301</v>
      </c>
      <c r="B17" s="2796"/>
      <c r="C17" s="2796"/>
      <c r="D17" s="2796"/>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6" t="s">
        <v>1294</v>
      </c>
      <c r="B20" s="2796"/>
      <c r="C20" s="2796"/>
      <c r="D20" s="279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43292</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5" t="s">
        <v>768</v>
      </c>
      <c r="B25" s="2805"/>
      <c r="C25" s="2805"/>
      <c r="D25" s="2805"/>
      <c r="E25" s="2805"/>
      <c r="F25" s="2805"/>
      <c r="G25" s="2805"/>
      <c r="H25" s="2805"/>
    </row>
    <row r="26" spans="1:8" s="1034" customFormat="1" ht="24" customHeight="1">
      <c r="A26" s="2806" t="s">
        <v>769</v>
      </c>
      <c r="B26" s="2806"/>
      <c r="C26" s="2806"/>
      <c r="D26" s="1062"/>
      <c r="E26" s="1062"/>
      <c r="F26" s="2806" t="s">
        <v>770</v>
      </c>
      <c r="G26" s="2806"/>
      <c r="H26" s="280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2018-07-11T02:22:15Z</dcterms:modified>
</cp:coreProperties>
</file>