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85北京市海淀区中关村南大街18号集体宿舍4号楼住宅用房2022年、2023年、2024年市场租金水平评估\F01\"/>
    </mc:Choice>
  </mc:AlternateContent>
  <bookViews>
    <workbookView xWindow="0" yWindow="0" windowWidth="18576" windowHeight="13620" tabRatio="899" firstSheet="15"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2122" sheetId="21" r:id="rId26"/>
    <sheet name="2021-2022" sheetId="82" r:id="rId27"/>
    <sheet name="比较法-住宅2223" sheetId="86" r:id="rId28"/>
    <sheet name="2022-2023" sheetId="83" r:id="rId29"/>
    <sheet name="比较法-住宅2324" sheetId="87" r:id="rId30"/>
    <sheet name="2023-2024" sheetId="84" r:id="rId31"/>
    <sheet name="Sheet1" sheetId="85"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'比较法-住宅2122'!$A$1:$L$49</definedName>
    <definedName name="_xlnm._FilterDatabase" localSheetId="27" hidden="1">'比较法-住宅2223'!$A$1:$L$49</definedName>
    <definedName name="_xlnm._FilterDatabase" localSheetId="29" hidden="1">'比较法-住宅2324'!$A$1:$L$49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5">'比较法-住宅2122'!$A$1:$K$54,'比较法-住宅2122'!$A$57:$M$131</definedName>
    <definedName name="_xlnm.Print_Area" localSheetId="27">'比较法-住宅2223'!$A$1:$K$54,'比较法-住宅2223'!$A$57:$M$131</definedName>
    <definedName name="_xlnm.Print_Area" localSheetId="29">'比较法-住宅2324'!$A$1:$K$54,'比较法-住宅2324'!$A$57:$M$131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'比较法-住宅2223'!$B$88:$M$88</definedName>
    <definedName name="住宅朝向" localSheetId="29">'比较法-住宅2324'!$B$88:$M$88</definedName>
    <definedName name="住宅朝向">'比较法-住宅2122'!$B$88:$M$88</definedName>
    <definedName name="住宅房型" localSheetId="27">'比较法-住宅2223'!$B$118:$M$118</definedName>
    <definedName name="住宅房型" localSheetId="29">'比较法-住宅2324'!$B$118:$M$118</definedName>
    <definedName name="住宅房型">'比较法-住宅2122'!$B$118:$M$118</definedName>
    <definedName name="住宅公共部分装修" localSheetId="27">'比较法-住宅2223'!$B$109:$M$109</definedName>
    <definedName name="住宅公共部分装修" localSheetId="29">'比较法-住宅2324'!$B$109:$M$109</definedName>
    <definedName name="住宅公共部分装修">'比较法-住宅2122'!$B$109:$M$109</definedName>
    <definedName name="住宅基础设施水平" localSheetId="27">'比较法-住宅2223'!$B$116:$M$116</definedName>
    <definedName name="住宅基础设施水平" localSheetId="29">'比较法-住宅2324'!$B$116:$M$116</definedName>
    <definedName name="住宅基础设施水平">'比较法-住宅2122'!$B$116:$M$116</definedName>
    <definedName name="住宅建筑结构" localSheetId="27">'比较法-住宅2223'!$B$105:$M$105</definedName>
    <definedName name="住宅建筑结构" localSheetId="29">'比较法-住宅2324'!$B$105:$M$105</definedName>
    <definedName name="住宅建筑结构">'比较法-住宅2122'!$B$105:$M$105</definedName>
    <definedName name="住宅建筑类型" localSheetId="27">'比较法-住宅2223'!$B$100:$M$100</definedName>
    <definedName name="住宅建筑类型" localSheetId="29">'比较法-住宅2324'!$B$100:$M$100</definedName>
    <definedName name="住宅建筑类型">'比较法-住宅2122'!$B$100:$M$100</definedName>
    <definedName name="住宅建筑品质" localSheetId="27">'比较法-住宅2223'!$B$107:$M$107</definedName>
    <definedName name="住宅建筑品质" localSheetId="29">'比较法-住宅2324'!$B$107:$M$107</definedName>
    <definedName name="住宅建筑品质">'比较法-住宅2122'!$B$107:$M$107</definedName>
    <definedName name="住宅交易情况" localSheetId="27">'比较法-住宅2223'!$A$61:$M$61</definedName>
    <definedName name="住宅交易情况" localSheetId="29">'比较法-住宅2324'!$A$61:$M$61</definedName>
    <definedName name="住宅交易情况">'比较法-住宅2122'!$A$61:$M$61</definedName>
    <definedName name="住宅楼层" localSheetId="27">'比较法-住宅2223'!$B$86:$M$86</definedName>
    <definedName name="住宅楼层" localSheetId="29">'比较法-住宅2324'!$B$86:$M$86</definedName>
    <definedName name="住宅楼层">'比较法-住宅2122'!$B$86:$M$86</definedName>
    <definedName name="住宅内部装修" localSheetId="27">'比较法-住宅2223'!$B$122:$M$122</definedName>
    <definedName name="住宅内部装修" localSheetId="29">'比较法-住宅2324'!$B$122:$M$122</definedName>
    <definedName name="住宅内部装修">'比较法-住宅2122'!$B$122:$M$122</definedName>
    <definedName name="住宅物业管理" localSheetId="27">'比较法-住宅2223'!$B$114:$M$114</definedName>
    <definedName name="住宅物业管理" localSheetId="29">'比较法-住宅2324'!$B$114:$M$114</definedName>
    <definedName name="住宅物业管理">'比较法-住宅2122'!$B$114:$M$114</definedName>
    <definedName name="住宅用途" localSheetId="27">'比较法-住宅2223'!$B$63:$M$63</definedName>
    <definedName name="住宅用途" localSheetId="29">'比较法-住宅2324'!$B$63:$M$63</definedName>
    <definedName name="住宅用途">'比较法-住宅2122'!$B$63:$M$63</definedName>
    <definedName name="住宅主力户型面积" localSheetId="27">'比较法-住宅2223'!$B$120:$M$120</definedName>
    <definedName name="住宅主力户型面积" localSheetId="29">'比较法-住宅2324'!$B$120:$M$120</definedName>
    <definedName name="住宅主力户型面积">'比较法-住宅2122'!$B$120:$M$120</definedName>
    <definedName name="注册房地产估价师">估价师及机构信息!$A$3:$A$16</definedName>
  </definedNames>
  <calcPr calcId="152511"/>
</workbook>
</file>

<file path=xl/calcChain.xml><?xml version="1.0" encoding="utf-8"?>
<calcChain xmlns="http://schemas.openxmlformats.org/spreadsheetml/2006/main">
  <c r="E47" i="87" l="1"/>
  <c r="E5" i="87"/>
  <c r="G5" i="87"/>
  <c r="G47" i="87"/>
  <c r="I47" i="86"/>
  <c r="I5" i="86"/>
  <c r="I47" i="87" l="1"/>
  <c r="I5" i="87"/>
  <c r="C145" i="87"/>
  <c r="K143" i="87"/>
  <c r="J142" i="87"/>
  <c r="J140" i="87"/>
  <c r="K145" i="87" s="1"/>
  <c r="K139" i="87"/>
  <c r="B130" i="87"/>
  <c r="B128" i="87"/>
  <c r="B126" i="87"/>
  <c r="D125" i="87"/>
  <c r="E125" i="87" s="1"/>
  <c r="F125" i="87" s="1"/>
  <c r="G125" i="87" s="1"/>
  <c r="I123" i="87"/>
  <c r="J123" i="87" s="1"/>
  <c r="K123" i="87" s="1"/>
  <c r="L123" i="87" s="1"/>
  <c r="M123" i="87" s="1"/>
  <c r="E123" i="87"/>
  <c r="F123" i="87" s="1"/>
  <c r="G123" i="87" s="1"/>
  <c r="H123" i="87" s="1"/>
  <c r="D123" i="87"/>
  <c r="D119" i="87"/>
  <c r="E119" i="87" s="1"/>
  <c r="F119" i="87" s="1"/>
  <c r="G119" i="87" s="1"/>
  <c r="H119" i="87" s="1"/>
  <c r="I119" i="87" s="1"/>
  <c r="J119" i="87" s="1"/>
  <c r="K119" i="87" s="1"/>
  <c r="L119" i="87" s="1"/>
  <c r="M119" i="87" s="1"/>
  <c r="D117" i="87"/>
  <c r="E117" i="87" s="1"/>
  <c r="F117" i="87" s="1"/>
  <c r="G117" i="87" s="1"/>
  <c r="E115" i="87"/>
  <c r="F115" i="87" s="1"/>
  <c r="G115" i="87" s="1"/>
  <c r="H115" i="87" s="1"/>
  <c r="I115" i="87" s="1"/>
  <c r="J115" i="87" s="1"/>
  <c r="K115" i="87" s="1"/>
  <c r="L115" i="87" s="1"/>
  <c r="M115" i="87" s="1"/>
  <c r="D115" i="87"/>
  <c r="D113" i="87"/>
  <c r="E113" i="87" s="1"/>
  <c r="H37" i="87" s="1"/>
  <c r="H111" i="87"/>
  <c r="G111" i="87"/>
  <c r="F111" i="87"/>
  <c r="E111" i="87"/>
  <c r="D111" i="87"/>
  <c r="C111" i="87"/>
  <c r="D110" i="87"/>
  <c r="E110" i="87" s="1"/>
  <c r="F110" i="87" s="1"/>
  <c r="G110" i="87" s="1"/>
  <c r="H110" i="87" s="1"/>
  <c r="I110" i="87" s="1"/>
  <c r="J110" i="87" s="1"/>
  <c r="K110" i="87" s="1"/>
  <c r="L110" i="87" s="1"/>
  <c r="M110" i="87" s="1"/>
  <c r="H108" i="87"/>
  <c r="I108" i="87" s="1"/>
  <c r="J108" i="87" s="1"/>
  <c r="K108" i="87" s="1"/>
  <c r="L108" i="87" s="1"/>
  <c r="M108" i="87" s="1"/>
  <c r="D108" i="87"/>
  <c r="E108" i="87" s="1"/>
  <c r="F108" i="87" s="1"/>
  <c r="G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J31" i="87" s="1"/>
  <c r="B96" i="87"/>
  <c r="B94" i="87"/>
  <c r="B92" i="87"/>
  <c r="B90" i="87"/>
  <c r="J27" i="87" s="1"/>
  <c r="D89" i="87"/>
  <c r="E89" i="87" s="1"/>
  <c r="F89" i="87" s="1"/>
  <c r="G89" i="87" s="1"/>
  <c r="H89" i="87" s="1"/>
  <c r="I89" i="87" s="1"/>
  <c r="J89" i="87" s="1"/>
  <c r="K89" i="87" s="1"/>
  <c r="L89" i="87" s="1"/>
  <c r="M89" i="87" s="1"/>
  <c r="M87" i="87"/>
  <c r="L87" i="87"/>
  <c r="K87" i="87"/>
  <c r="J87" i="87"/>
  <c r="I87" i="87"/>
  <c r="H87" i="87"/>
  <c r="G87" i="87"/>
  <c r="F87" i="87"/>
  <c r="E87" i="87"/>
  <c r="D87" i="87"/>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C63" i="87"/>
  <c r="C58" i="87"/>
  <c r="D58" i="87" s="1"/>
  <c r="E58" i="87" s="1"/>
  <c r="I54" i="87"/>
  <c r="J54" i="87" s="1"/>
  <c r="E54" i="87"/>
  <c r="F54" i="87" s="1"/>
  <c r="P49" i="87"/>
  <c r="P48" i="87"/>
  <c r="K48" i="87"/>
  <c r="P47" i="87"/>
  <c r="V47" i="87"/>
  <c r="G54" i="87"/>
  <c r="H54" i="87" s="1"/>
  <c r="R47" i="87"/>
  <c r="AC46" i="87"/>
  <c r="W46" i="87"/>
  <c r="Q46" i="87"/>
  <c r="Z46" i="87" s="1"/>
  <c r="J46" i="87"/>
  <c r="H46" i="87"/>
  <c r="AB46" i="87" s="1"/>
  <c r="F46" i="87"/>
  <c r="AA46" i="87" s="1"/>
  <c r="Q45" i="87"/>
  <c r="Z45" i="87" s="1"/>
  <c r="J45" i="87"/>
  <c r="AC45" i="87" s="1"/>
  <c r="H45" i="87"/>
  <c r="AB45" i="87" s="1"/>
  <c r="F45" i="87"/>
  <c r="AA45" i="87" s="1"/>
  <c r="Q44" i="87"/>
  <c r="Z44" i="87" s="1"/>
  <c r="J44" i="87"/>
  <c r="AC44" i="87" s="1"/>
  <c r="H44" i="87"/>
  <c r="AB44" i="87" s="1"/>
  <c r="F44" i="87"/>
  <c r="AA44" i="87" s="1"/>
  <c r="Z43" i="87"/>
  <c r="Q43" i="87"/>
  <c r="J43" i="87"/>
  <c r="AC43" i="87" s="1"/>
  <c r="H43" i="87"/>
  <c r="AB43" i="87" s="1"/>
  <c r="F43" i="87"/>
  <c r="AA43" i="87" s="1"/>
  <c r="Q42" i="87"/>
  <c r="Z42" i="87" s="1"/>
  <c r="J42" i="87"/>
  <c r="AC42" i="87" s="1"/>
  <c r="H42" i="87"/>
  <c r="AB42" i="87" s="1"/>
  <c r="F42" i="87"/>
  <c r="AA42" i="87" s="1"/>
  <c r="Q41" i="87"/>
  <c r="Z41" i="87" s="1"/>
  <c r="J41" i="87"/>
  <c r="AC41" i="87" s="1"/>
  <c r="H41" i="87"/>
  <c r="U41" i="87" s="1"/>
  <c r="F41" i="87"/>
  <c r="AA41" i="87" s="1"/>
  <c r="Q40" i="87"/>
  <c r="Z40" i="87" s="1"/>
  <c r="J40" i="87"/>
  <c r="AC40" i="87" s="1"/>
  <c r="H40" i="87"/>
  <c r="AB40" i="87" s="1"/>
  <c r="F40" i="87"/>
  <c r="AA40" i="87" s="1"/>
  <c r="Z39" i="87"/>
  <c r="Q39" i="87"/>
  <c r="J39" i="87"/>
  <c r="AC39" i="87" s="1"/>
  <c r="H39" i="87"/>
  <c r="AB39" i="87" s="1"/>
  <c r="F39" i="87"/>
  <c r="AA39" i="87" s="1"/>
  <c r="Q38" i="87"/>
  <c r="Z38" i="87" s="1"/>
  <c r="J38" i="87"/>
  <c r="AC38" i="87" s="1"/>
  <c r="H38" i="87"/>
  <c r="AB38" i="87" s="1"/>
  <c r="F38" i="87"/>
  <c r="AA38" i="87" s="1"/>
  <c r="Q37" i="87"/>
  <c r="Z37" i="87" s="1"/>
  <c r="Q36" i="87"/>
  <c r="Z36" i="87" s="1"/>
  <c r="J36" i="87"/>
  <c r="AC36" i="87" s="1"/>
  <c r="H36" i="87"/>
  <c r="AB36" i="87" s="1"/>
  <c r="F36" i="87"/>
  <c r="AA36" i="87" s="1"/>
  <c r="Z35" i="87"/>
  <c r="Q35" i="87"/>
  <c r="J35" i="87"/>
  <c r="AC35" i="87" s="1"/>
  <c r="H35" i="87"/>
  <c r="AB35" i="87" s="1"/>
  <c r="F35" i="87"/>
  <c r="AA35" i="87" s="1"/>
  <c r="Q34" i="87"/>
  <c r="Z34" i="87" s="1"/>
  <c r="J34" i="87"/>
  <c r="AC34" i="87" s="1"/>
  <c r="H34" i="87"/>
  <c r="AB34" i="87" s="1"/>
  <c r="F34" i="87"/>
  <c r="AA34" i="87" s="1"/>
  <c r="Q33" i="87"/>
  <c r="Z33" i="87" s="1"/>
  <c r="J33" i="87"/>
  <c r="AC33" i="87" s="1"/>
  <c r="H33" i="87"/>
  <c r="U33" i="87" s="1"/>
  <c r="F33" i="87"/>
  <c r="AA33" i="87" s="1"/>
  <c r="Q32" i="87"/>
  <c r="Z32" i="87" s="1"/>
  <c r="J32" i="87"/>
  <c r="AC32" i="87" s="1"/>
  <c r="H32" i="87"/>
  <c r="AB32" i="87" s="1"/>
  <c r="F32" i="87"/>
  <c r="AA32" i="87" s="1"/>
  <c r="AB31" i="87"/>
  <c r="U31" i="87"/>
  <c r="S31" i="87"/>
  <c r="Q31" i="87"/>
  <c r="Z31" i="87" s="1"/>
  <c r="H31" i="87"/>
  <c r="F31" i="87"/>
  <c r="AA31" i="87" s="1"/>
  <c r="AC30" i="87"/>
  <c r="W30" i="87"/>
  <c r="Q30" i="87"/>
  <c r="Z30" i="87" s="1"/>
  <c r="J30" i="87"/>
  <c r="H30" i="87"/>
  <c r="AB30" i="87" s="1"/>
  <c r="F30" i="87"/>
  <c r="AA30" i="87" s="1"/>
  <c r="Z29" i="87"/>
  <c r="W29" i="87"/>
  <c r="Q29" i="87"/>
  <c r="J29" i="87"/>
  <c r="AC29" i="87" s="1"/>
  <c r="H29" i="87"/>
  <c r="U29" i="87" s="1"/>
  <c r="F29" i="87"/>
  <c r="AA29" i="87" s="1"/>
  <c r="AB28" i="87"/>
  <c r="AA28" i="87"/>
  <c r="Q28" i="87"/>
  <c r="Z28" i="87" s="1"/>
  <c r="J28" i="87"/>
  <c r="W28" i="87" s="1"/>
  <c r="H28" i="87"/>
  <c r="U28" i="87" s="1"/>
  <c r="F28" i="87"/>
  <c r="S28" i="87" s="1"/>
  <c r="AB27" i="87"/>
  <c r="U27" i="87"/>
  <c r="S27" i="87"/>
  <c r="Q27" i="87"/>
  <c r="Z27" i="87" s="1"/>
  <c r="H27" i="87"/>
  <c r="F27" i="87"/>
  <c r="AA27" i="87" s="1"/>
  <c r="AC26" i="87"/>
  <c r="W26" i="87"/>
  <c r="Q26" i="87"/>
  <c r="Z26" i="87" s="1"/>
  <c r="J26" i="87"/>
  <c r="H26" i="87"/>
  <c r="AB26" i="87" s="1"/>
  <c r="F26" i="87"/>
  <c r="AA26" i="87" s="1"/>
  <c r="Z25" i="87"/>
  <c r="W25" i="87"/>
  <c r="Q25" i="87"/>
  <c r="J25" i="87"/>
  <c r="AC25" i="87" s="1"/>
  <c r="H25" i="87"/>
  <c r="U25" i="87" s="1"/>
  <c r="F25" i="87"/>
  <c r="AA25" i="87" s="1"/>
  <c r="AB23" i="87"/>
  <c r="AA23" i="87"/>
  <c r="Q23" i="87"/>
  <c r="Z23" i="87" s="1"/>
  <c r="J23" i="87"/>
  <c r="W23" i="87" s="1"/>
  <c r="H23" i="87"/>
  <c r="U23" i="87" s="1"/>
  <c r="F23" i="87"/>
  <c r="S23" i="87" s="1"/>
  <c r="C23" i="87"/>
  <c r="AA21" i="87"/>
  <c r="Q21" i="87"/>
  <c r="Z21" i="87" s="1"/>
  <c r="J21" i="87"/>
  <c r="AC21" i="87" s="1"/>
  <c r="H21" i="87"/>
  <c r="U21" i="87" s="1"/>
  <c r="F21" i="87"/>
  <c r="S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I11" i="87"/>
  <c r="G11" i="87"/>
  <c r="H11" i="87" s="1"/>
  <c r="F11" i="87"/>
  <c r="AA11" i="87" s="1"/>
  <c r="E11" i="87"/>
  <c r="Q10" i="87"/>
  <c r="Z10" i="87" s="1"/>
  <c r="J10" i="87"/>
  <c r="AC10" i="87" s="1"/>
  <c r="H10" i="87"/>
  <c r="AB10" i="87" s="1"/>
  <c r="F10" i="87"/>
  <c r="AA10" i="87" s="1"/>
  <c r="Q9" i="87"/>
  <c r="Z9" i="87" s="1"/>
  <c r="J9" i="87"/>
  <c r="AC9" i="87" s="1"/>
  <c r="H9" i="87"/>
  <c r="AB9" i="87" s="1"/>
  <c r="F9" i="87"/>
  <c r="AA9" i="87" s="1"/>
  <c r="W8" i="87"/>
  <c r="J8" i="87"/>
  <c r="AC8" i="87" s="1"/>
  <c r="H8" i="87"/>
  <c r="U8" i="87" s="1"/>
  <c r="F8" i="87"/>
  <c r="S8" i="87" s="1"/>
  <c r="I7" i="87"/>
  <c r="G7" i="87"/>
  <c r="E7" i="87"/>
  <c r="D3" i="87"/>
  <c r="B2" i="87"/>
  <c r="D2" i="87"/>
  <c r="AB37" i="87" l="1"/>
  <c r="U37" i="87"/>
  <c r="F113" i="87"/>
  <c r="G113" i="87" s="1"/>
  <c r="H113" i="87" s="1"/>
  <c r="F58" i="87"/>
  <c r="G58" i="87" s="1"/>
  <c r="H58" i="87" s="1"/>
  <c r="I58" i="87" s="1"/>
  <c r="J58" i="87" s="1"/>
  <c r="K58" i="87" s="1"/>
  <c r="L58" i="87" s="1"/>
  <c r="M58" i="87" s="1"/>
  <c r="N58" i="87" s="1"/>
  <c r="O58" i="87" s="1"/>
  <c r="J7" i="87"/>
  <c r="F7" i="87"/>
  <c r="AB11" i="87"/>
  <c r="U11" i="87"/>
  <c r="H7" i="87"/>
  <c r="S9" i="87"/>
  <c r="U10" i="87"/>
  <c r="S12" i="87"/>
  <c r="W19" i="87"/>
  <c r="S26" i="87"/>
  <c r="S30" i="87"/>
  <c r="AB33" i="87"/>
  <c r="S36" i="87"/>
  <c r="AB41" i="87"/>
  <c r="S44" i="87"/>
  <c r="W17" i="87"/>
  <c r="U9" i="87"/>
  <c r="W10" i="87"/>
  <c r="S11" i="87"/>
  <c r="U12" i="87"/>
  <c r="W13" i="87"/>
  <c r="S32" i="87"/>
  <c r="W34" i="87"/>
  <c r="S40" i="87"/>
  <c r="W42" i="87"/>
  <c r="AC27" i="87"/>
  <c r="W27" i="87"/>
  <c r="AC31" i="87"/>
  <c r="W31" i="87"/>
  <c r="U13" i="87"/>
  <c r="W14" i="87"/>
  <c r="W21" i="87"/>
  <c r="AA8" i="87"/>
  <c r="AB8" i="87"/>
  <c r="W9" i="87"/>
  <c r="W12" i="87"/>
  <c r="S14" i="87"/>
  <c r="S15" i="87"/>
  <c r="S17" i="87"/>
  <c r="S19" i="87"/>
  <c r="AB21" i="87"/>
  <c r="AC23" i="87"/>
  <c r="AB25" i="87"/>
  <c r="AC28" i="87"/>
  <c r="AB29" i="87"/>
  <c r="W38" i="87"/>
  <c r="U45" i="87"/>
  <c r="W15" i="87"/>
  <c r="S10" i="87"/>
  <c r="W11" i="87"/>
  <c r="S13" i="87"/>
  <c r="U14" i="87"/>
  <c r="U15" i="87"/>
  <c r="U17" i="87"/>
  <c r="U19" i="87"/>
  <c r="F37" i="87"/>
  <c r="J37" i="87"/>
  <c r="U32" i="87"/>
  <c r="W33" i="87"/>
  <c r="S35" i="87"/>
  <c r="U36" i="87"/>
  <c r="S39" i="87"/>
  <c r="U40" i="87"/>
  <c r="W41" i="87"/>
  <c r="S43" i="87"/>
  <c r="U44" i="87"/>
  <c r="W45" i="87"/>
  <c r="K144" i="87"/>
  <c r="W32" i="87"/>
  <c r="S34" i="87"/>
  <c r="U35" i="87"/>
  <c r="W36" i="87"/>
  <c r="S38" i="87"/>
  <c r="U39" i="87"/>
  <c r="W40" i="87"/>
  <c r="S42" i="87"/>
  <c r="U43" i="87"/>
  <c r="W44" i="87"/>
  <c r="S46" i="87"/>
  <c r="T47" i="87"/>
  <c r="K141" i="87"/>
  <c r="S25" i="87"/>
  <c r="U26" i="87"/>
  <c r="S29" i="87"/>
  <c r="U30" i="87"/>
  <c r="S33" i="87"/>
  <c r="U34" i="87"/>
  <c r="W35" i="87"/>
  <c r="U38" i="87"/>
  <c r="W39" i="87"/>
  <c r="S41" i="87"/>
  <c r="U42" i="87"/>
  <c r="W43" i="87"/>
  <c r="S45" i="87"/>
  <c r="U46" i="87"/>
  <c r="E47" i="86"/>
  <c r="E6" i="86"/>
  <c r="G47" i="86"/>
  <c r="G5" i="86"/>
  <c r="C145" i="86"/>
  <c r="K143" i="86"/>
  <c r="J142" i="86"/>
  <c r="J140" i="86"/>
  <c r="K139" i="86"/>
  <c r="K144" i="86" s="1"/>
  <c r="B130" i="86"/>
  <c r="B128" i="86"/>
  <c r="F45" i="86" s="1"/>
  <c r="B126" i="86"/>
  <c r="J44" i="86" s="1"/>
  <c r="D125" i="86"/>
  <c r="E125" i="86" s="1"/>
  <c r="F125" i="86" s="1"/>
  <c r="G125" i="86" s="1"/>
  <c r="E123" i="86"/>
  <c r="F123" i="86" s="1"/>
  <c r="G123" i="86" s="1"/>
  <c r="H123" i="86" s="1"/>
  <c r="I123" i="86" s="1"/>
  <c r="J123" i="86" s="1"/>
  <c r="K123" i="86" s="1"/>
  <c r="L123" i="86" s="1"/>
  <c r="M123" i="86" s="1"/>
  <c r="D123" i="86"/>
  <c r="D119" i="86"/>
  <c r="D117" i="86"/>
  <c r="H39" i="86" s="1"/>
  <c r="F115" i="86"/>
  <c r="G115" i="86" s="1"/>
  <c r="H115" i="86" s="1"/>
  <c r="I115" i="86" s="1"/>
  <c r="J115" i="86" s="1"/>
  <c r="K115" i="86" s="1"/>
  <c r="L115" i="86" s="1"/>
  <c r="M115" i="86" s="1"/>
  <c r="E115" i="86"/>
  <c r="D115" i="86"/>
  <c r="D113" i="86"/>
  <c r="E113" i="86" s="1"/>
  <c r="F37" i="86" s="1"/>
  <c r="H111" i="86"/>
  <c r="G111" i="86"/>
  <c r="F111" i="86"/>
  <c r="E111" i="86"/>
  <c r="D111" i="86"/>
  <c r="C111" i="86"/>
  <c r="D110" i="86"/>
  <c r="E110" i="86" s="1"/>
  <c r="F110" i="86" s="1"/>
  <c r="G110" i="86" s="1"/>
  <c r="H110" i="86" s="1"/>
  <c r="I110" i="86" s="1"/>
  <c r="J110" i="86" s="1"/>
  <c r="K110" i="86" s="1"/>
  <c r="L110" i="86" s="1"/>
  <c r="M110" i="86" s="1"/>
  <c r="H108" i="86"/>
  <c r="I108" i="86" s="1"/>
  <c r="J108" i="86" s="1"/>
  <c r="K108" i="86" s="1"/>
  <c r="L108" i="86" s="1"/>
  <c r="M108" i="86" s="1"/>
  <c r="E108" i="86"/>
  <c r="F108" i="86" s="1"/>
  <c r="G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J31" i="86" s="1"/>
  <c r="B96" i="86"/>
  <c r="B94" i="86"/>
  <c r="B92" i="86"/>
  <c r="B90" i="86"/>
  <c r="J27" i="86" s="1"/>
  <c r="F89" i="86"/>
  <c r="G89" i="86" s="1"/>
  <c r="H89" i="86" s="1"/>
  <c r="I89" i="86" s="1"/>
  <c r="J89" i="86" s="1"/>
  <c r="K89" i="86" s="1"/>
  <c r="L89" i="86" s="1"/>
  <c r="M89" i="86" s="1"/>
  <c r="D89" i="86"/>
  <c r="E89" i="86" s="1"/>
  <c r="M87" i="86"/>
  <c r="L87" i="86"/>
  <c r="K87" i="86"/>
  <c r="J87" i="86"/>
  <c r="I87" i="86"/>
  <c r="H87" i="86"/>
  <c r="G87" i="86"/>
  <c r="F87" i="86"/>
  <c r="E87" i="86"/>
  <c r="D87" i="86"/>
  <c r="E85" i="86"/>
  <c r="F85" i="86" s="1"/>
  <c r="G85" i="86" s="1"/>
  <c r="D85" i="86"/>
  <c r="D83" i="86"/>
  <c r="E83" i="86" s="1"/>
  <c r="F83" i="86" s="1"/>
  <c r="G83" i="86" s="1"/>
  <c r="E81" i="86"/>
  <c r="F81" i="86" s="1"/>
  <c r="G81" i="86" s="1"/>
  <c r="D81" i="86"/>
  <c r="D79" i="86"/>
  <c r="E79" i="86" s="1"/>
  <c r="F79" i="86" s="1"/>
  <c r="G79" i="86" s="1"/>
  <c r="E77" i="86"/>
  <c r="F77" i="86" s="1"/>
  <c r="G77" i="86" s="1"/>
  <c r="D77" i="86"/>
  <c r="B74" i="86"/>
  <c r="B72" i="86"/>
  <c r="B70" i="86"/>
  <c r="J12" i="86" s="1"/>
  <c r="F69" i="86"/>
  <c r="G69" i="86" s="1"/>
  <c r="H69" i="86" s="1"/>
  <c r="I69" i="86" s="1"/>
  <c r="J69" i="86" s="1"/>
  <c r="K69" i="86" s="1"/>
  <c r="L69" i="86" s="1"/>
  <c r="M69" i="86" s="1"/>
  <c r="E69" i="86"/>
  <c r="D69" i="86"/>
  <c r="M67" i="86"/>
  <c r="L67" i="86"/>
  <c r="K67" i="86"/>
  <c r="J67" i="86"/>
  <c r="I67" i="86"/>
  <c r="H67" i="86"/>
  <c r="G67" i="86"/>
  <c r="F67" i="86"/>
  <c r="E67" i="86"/>
  <c r="D67" i="86"/>
  <c r="C67" i="86"/>
  <c r="C63" i="86"/>
  <c r="E54" i="86"/>
  <c r="F54" i="86" s="1"/>
  <c r="P49" i="86"/>
  <c r="P48" i="86"/>
  <c r="K48" i="86"/>
  <c r="P47" i="86"/>
  <c r="V47" i="86"/>
  <c r="G54" i="86"/>
  <c r="H54" i="86" s="1"/>
  <c r="I54" i="86"/>
  <c r="J54" i="86" s="1"/>
  <c r="Z46" i="86"/>
  <c r="W46" i="86"/>
  <c r="Q46" i="86"/>
  <c r="J46" i="86"/>
  <c r="AC46" i="86" s="1"/>
  <c r="H46" i="86"/>
  <c r="AB46" i="86" s="1"/>
  <c r="F46" i="86"/>
  <c r="AA46" i="86" s="1"/>
  <c r="Q45" i="86"/>
  <c r="Z45" i="86" s="1"/>
  <c r="J45" i="86"/>
  <c r="AC45" i="86" s="1"/>
  <c r="H45" i="86"/>
  <c r="U45" i="86" s="1"/>
  <c r="Q44" i="86"/>
  <c r="Z44" i="86" s="1"/>
  <c r="H44" i="86"/>
  <c r="AB44" i="86" s="1"/>
  <c r="F44" i="86"/>
  <c r="AA44" i="86" s="1"/>
  <c r="AA43" i="86"/>
  <c r="Q43" i="86"/>
  <c r="Z43" i="86" s="1"/>
  <c r="J43" i="86"/>
  <c r="AC43" i="86" s="1"/>
  <c r="H43" i="86"/>
  <c r="AB43" i="86" s="1"/>
  <c r="F43" i="86"/>
  <c r="S43" i="86" s="1"/>
  <c r="Z42" i="86"/>
  <c r="Q42" i="86"/>
  <c r="J42" i="86"/>
  <c r="W42" i="86" s="1"/>
  <c r="H42" i="86"/>
  <c r="AB42" i="86" s="1"/>
  <c r="F42" i="86"/>
  <c r="AA42" i="86" s="1"/>
  <c r="AC41" i="86"/>
  <c r="W41" i="86"/>
  <c r="Q41" i="86"/>
  <c r="Z41" i="86" s="1"/>
  <c r="J41" i="86"/>
  <c r="H41" i="86"/>
  <c r="U41" i="86" s="1"/>
  <c r="F41" i="86"/>
  <c r="AA41" i="86" s="1"/>
  <c r="Q40" i="86"/>
  <c r="Z40" i="86" s="1"/>
  <c r="H40" i="86"/>
  <c r="U40" i="86" s="1"/>
  <c r="F40" i="86"/>
  <c r="S40" i="86" s="1"/>
  <c r="Q39" i="86"/>
  <c r="Z39" i="86" s="1"/>
  <c r="F39" i="86"/>
  <c r="S39" i="86" s="1"/>
  <c r="AA38" i="86"/>
  <c r="Z38" i="86"/>
  <c r="W38" i="86"/>
  <c r="Q38" i="86"/>
  <c r="J38" i="86"/>
  <c r="AC38" i="86" s="1"/>
  <c r="H38" i="86"/>
  <c r="AB38" i="86" s="1"/>
  <c r="F38" i="86"/>
  <c r="S38" i="86" s="1"/>
  <c r="Z37" i="86"/>
  <c r="Q37" i="86"/>
  <c r="AC36" i="86"/>
  <c r="AB36" i="86"/>
  <c r="AA36" i="86"/>
  <c r="Q36" i="86"/>
  <c r="Z36" i="86" s="1"/>
  <c r="J36" i="86"/>
  <c r="W36" i="86" s="1"/>
  <c r="H36" i="86"/>
  <c r="U36" i="86" s="1"/>
  <c r="F36" i="86"/>
  <c r="S36" i="86" s="1"/>
  <c r="AB35" i="86"/>
  <c r="Z35" i="86"/>
  <c r="Q35" i="86"/>
  <c r="J35" i="86"/>
  <c r="AC35" i="86" s="1"/>
  <c r="H35" i="86"/>
  <c r="U35" i="86" s="1"/>
  <c r="F35" i="86"/>
  <c r="AA35" i="86" s="1"/>
  <c r="AA34" i="86"/>
  <c r="Z34" i="86"/>
  <c r="W34" i="86"/>
  <c r="Q34" i="86"/>
  <c r="J34" i="86"/>
  <c r="AC34" i="86" s="1"/>
  <c r="H34" i="86"/>
  <c r="AB34" i="86" s="1"/>
  <c r="F34" i="86"/>
  <c r="S34" i="86" s="1"/>
  <c r="AB33" i="86"/>
  <c r="Z33" i="86"/>
  <c r="U33" i="86"/>
  <c r="Q33" i="86"/>
  <c r="J33" i="86"/>
  <c r="W33" i="86" s="1"/>
  <c r="H33" i="86"/>
  <c r="F33" i="86"/>
  <c r="AA33" i="86" s="1"/>
  <c r="AC32" i="86"/>
  <c r="AB32" i="86"/>
  <c r="Q32" i="86"/>
  <c r="Z32" i="86" s="1"/>
  <c r="J32" i="86"/>
  <c r="W32" i="86" s="1"/>
  <c r="H32" i="86"/>
  <c r="U32" i="86" s="1"/>
  <c r="F32" i="86"/>
  <c r="AA32" i="86" s="1"/>
  <c r="Z31" i="86"/>
  <c r="Q31" i="86"/>
  <c r="F31" i="86"/>
  <c r="S31" i="86" s="1"/>
  <c r="AA30" i="86"/>
  <c r="Z30" i="86"/>
  <c r="W30" i="86"/>
  <c r="Q30" i="86"/>
  <c r="J30" i="86"/>
  <c r="AC30" i="86" s="1"/>
  <c r="H30" i="86"/>
  <c r="AB30" i="86" s="1"/>
  <c r="F30" i="86"/>
  <c r="S30" i="86" s="1"/>
  <c r="AB29" i="86"/>
  <c r="Z29" i="86"/>
  <c r="U29" i="86"/>
  <c r="Q29" i="86"/>
  <c r="J29" i="86"/>
  <c r="W29" i="86" s="1"/>
  <c r="H29" i="86"/>
  <c r="F29" i="86"/>
  <c r="AA29" i="86" s="1"/>
  <c r="AC28" i="86"/>
  <c r="AB28" i="86"/>
  <c r="Q28" i="86"/>
  <c r="Z28" i="86" s="1"/>
  <c r="J28" i="86"/>
  <c r="W28" i="86" s="1"/>
  <c r="H28" i="86"/>
  <c r="U28" i="86" s="1"/>
  <c r="F28" i="86"/>
  <c r="AA28" i="86" s="1"/>
  <c r="Z27" i="86"/>
  <c r="Q27" i="86"/>
  <c r="F27" i="86"/>
  <c r="S27" i="86" s="1"/>
  <c r="AA26" i="86"/>
  <c r="Z26" i="86"/>
  <c r="W26" i="86"/>
  <c r="Q26" i="86"/>
  <c r="J26" i="86"/>
  <c r="AC26" i="86" s="1"/>
  <c r="H26" i="86"/>
  <c r="AB26" i="86" s="1"/>
  <c r="F26" i="86"/>
  <c r="S26" i="86" s="1"/>
  <c r="AB25" i="86"/>
  <c r="Z25" i="86"/>
  <c r="U25" i="86"/>
  <c r="Q25" i="86"/>
  <c r="J25" i="86"/>
  <c r="W25" i="86" s="1"/>
  <c r="H25" i="86"/>
  <c r="F25" i="86"/>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Q11" i="86"/>
  <c r="Z11" i="86" s="1"/>
  <c r="J11" i="86"/>
  <c r="AC11" i="86" s="1"/>
  <c r="I11" i="86"/>
  <c r="G11" i="86"/>
  <c r="H11" i="86" s="1"/>
  <c r="F11" i="86"/>
  <c r="AA11" i="86" s="1"/>
  <c r="E11" i="86"/>
  <c r="Q10" i="86"/>
  <c r="Z10" i="86" s="1"/>
  <c r="J10" i="86"/>
  <c r="AC10" i="86" s="1"/>
  <c r="H10" i="86"/>
  <c r="AB10" i="86" s="1"/>
  <c r="F10" i="86"/>
  <c r="AA10" i="86" s="1"/>
  <c r="Q9" i="86"/>
  <c r="Z9" i="86" s="1"/>
  <c r="J9" i="86"/>
  <c r="AC9" i="86" s="1"/>
  <c r="H9" i="86"/>
  <c r="AB9" i="86" s="1"/>
  <c r="F9" i="86"/>
  <c r="AA9" i="86" s="1"/>
  <c r="AC8" i="86"/>
  <c r="W8" i="86"/>
  <c r="U8" i="86"/>
  <c r="J8" i="86"/>
  <c r="H8" i="86"/>
  <c r="AB8" i="86" s="1"/>
  <c r="F8" i="86"/>
  <c r="S8" i="86" s="1"/>
  <c r="I7" i="86"/>
  <c r="G7" i="86"/>
  <c r="E7" i="86"/>
  <c r="C58" i="86"/>
  <c r="D58" i="86" s="1"/>
  <c r="E58" i="86" s="1"/>
  <c r="F58" i="86" s="1"/>
  <c r="G58" i="86" s="1"/>
  <c r="H58" i="86" s="1"/>
  <c r="I58" i="86" s="1"/>
  <c r="J58" i="86" s="1"/>
  <c r="K58" i="86" s="1"/>
  <c r="L58" i="86" s="1"/>
  <c r="M58" i="86" s="1"/>
  <c r="N58" i="86" s="1"/>
  <c r="O58" i="86" s="1"/>
  <c r="D3" i="86"/>
  <c r="B2" i="86"/>
  <c r="I47" i="21"/>
  <c r="G47" i="21"/>
  <c r="E47" i="21"/>
  <c r="I5" i="21"/>
  <c r="G5" i="21"/>
  <c r="E5" i="21"/>
  <c r="I11" i="21"/>
  <c r="G11" i="21"/>
  <c r="E11" i="21"/>
  <c r="I7" i="21"/>
  <c r="G7" i="21"/>
  <c r="E7" i="21"/>
  <c r="D2" i="86"/>
  <c r="W45" i="86" l="1"/>
  <c r="J37" i="86"/>
  <c r="W37" i="86" s="1"/>
  <c r="F113" i="86"/>
  <c r="G113" i="86" s="1"/>
  <c r="H113" i="86" s="1"/>
  <c r="H37" i="86"/>
  <c r="U44" i="86"/>
  <c r="S44" i="86"/>
  <c r="AB40" i="86"/>
  <c r="U7" i="87"/>
  <c r="AB7" i="87"/>
  <c r="T48" i="87" s="1"/>
  <c r="G48" i="87" s="1"/>
  <c r="AC37" i="87"/>
  <c r="W37" i="87"/>
  <c r="AA7" i="87"/>
  <c r="S7" i="87"/>
  <c r="W7" i="87"/>
  <c r="AC7" i="87"/>
  <c r="AA37" i="87"/>
  <c r="S37" i="87"/>
  <c r="F7" i="86"/>
  <c r="S7" i="86" s="1"/>
  <c r="H7" i="86"/>
  <c r="J7" i="86"/>
  <c r="AC7" i="86" s="1"/>
  <c r="AB11" i="86"/>
  <c r="U11" i="86"/>
  <c r="AA7" i="86"/>
  <c r="U7" i="86"/>
  <c r="AB7" i="86"/>
  <c r="W7" i="86"/>
  <c r="AC12" i="86"/>
  <c r="W12" i="86"/>
  <c r="AB39" i="86"/>
  <c r="U39" i="86"/>
  <c r="U15" i="86"/>
  <c r="U21" i="86"/>
  <c r="S28" i="86"/>
  <c r="S32" i="86"/>
  <c r="S9" i="86"/>
  <c r="W17" i="86"/>
  <c r="W23" i="86"/>
  <c r="H27" i="86"/>
  <c r="H31" i="86"/>
  <c r="AA40" i="86"/>
  <c r="AB41" i="86"/>
  <c r="AC42" i="86"/>
  <c r="AB45" i="86"/>
  <c r="U17" i="86"/>
  <c r="AA45" i="86"/>
  <c r="S45" i="86"/>
  <c r="W15" i="86"/>
  <c r="AA8" i="86"/>
  <c r="U9" i="86"/>
  <c r="W10" i="86"/>
  <c r="S11" i="86"/>
  <c r="H12" i="86"/>
  <c r="W13" i="86"/>
  <c r="AA25" i="86"/>
  <c r="S25" i="86"/>
  <c r="AC25" i="86"/>
  <c r="AA27" i="86"/>
  <c r="AC29" i="86"/>
  <c r="AA31" i="86"/>
  <c r="AC33" i="86"/>
  <c r="AA39" i="86"/>
  <c r="R47" i="86"/>
  <c r="E119" i="86"/>
  <c r="F119" i="86" s="1"/>
  <c r="G119" i="86" s="1"/>
  <c r="H119" i="86" s="1"/>
  <c r="I119" i="86" s="1"/>
  <c r="J119" i="86" s="1"/>
  <c r="K119" i="86" s="1"/>
  <c r="L119" i="86" s="1"/>
  <c r="M119" i="86" s="1"/>
  <c r="J40" i="86"/>
  <c r="S10" i="86"/>
  <c r="W11" i="86"/>
  <c r="S13" i="86"/>
  <c r="U14" i="86"/>
  <c r="U19" i="86"/>
  <c r="U23" i="86"/>
  <c r="S35" i="86"/>
  <c r="AC27" i="86"/>
  <c r="W27" i="86"/>
  <c r="AC31" i="86"/>
  <c r="W31" i="86"/>
  <c r="J39" i="86"/>
  <c r="E117" i="86"/>
  <c r="F117" i="86" s="1"/>
  <c r="G117" i="86" s="1"/>
  <c r="U10" i="86"/>
  <c r="F12" i="86"/>
  <c r="U13" i="86"/>
  <c r="W14" i="86"/>
  <c r="W19" i="86"/>
  <c r="W21" i="86"/>
  <c r="W9" i="86"/>
  <c r="S14" i="86"/>
  <c r="S15" i="86"/>
  <c r="S17" i="86"/>
  <c r="S19" i="86"/>
  <c r="S21" i="86"/>
  <c r="S23" i="86"/>
  <c r="AA37" i="86"/>
  <c r="S37" i="86"/>
  <c r="AC44" i="86"/>
  <c r="W44" i="86"/>
  <c r="K145" i="86"/>
  <c r="K141" i="86"/>
  <c r="S42" i="86"/>
  <c r="U43" i="86"/>
  <c r="S46" i="86"/>
  <c r="T47" i="86"/>
  <c r="U26" i="86"/>
  <c r="S29" i="86"/>
  <c r="U30" i="86"/>
  <c r="S33" i="86"/>
  <c r="U34" i="86"/>
  <c r="W35" i="86"/>
  <c r="U38" i="86"/>
  <c r="S41" i="86"/>
  <c r="U42" i="86"/>
  <c r="W43" i="86"/>
  <c r="U46" i="86"/>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4" i="82"/>
  <c r="B5" i="82"/>
  <c r="B6" i="82"/>
  <c r="B7" i="82"/>
  <c r="B8" i="82"/>
  <c r="B9" i="82"/>
  <c r="B10" i="82"/>
  <c r="B11" i="82"/>
  <c r="B12" i="82"/>
  <c r="B13" i="82"/>
  <c r="B14" i="82"/>
  <c r="B15" i="82"/>
  <c r="B16" i="82"/>
  <c r="B17" i="82"/>
  <c r="B18" i="82"/>
  <c r="B19" i="82"/>
  <c r="B3" i="82"/>
  <c r="AC37" i="86" l="1"/>
  <c r="U37" i="86"/>
  <c r="AB37" i="86"/>
  <c r="G52" i="87"/>
  <c r="H52" i="87" s="1"/>
  <c r="R48" i="87"/>
  <c r="V48" i="87"/>
  <c r="I48" i="87" s="1"/>
  <c r="AC39" i="86"/>
  <c r="W39" i="86"/>
  <c r="AA12" i="86"/>
  <c r="R48" i="86" s="1"/>
  <c r="S12" i="86"/>
  <c r="AB12" i="86"/>
  <c r="U12" i="86"/>
  <c r="T48" i="86"/>
  <c r="G48" i="86" s="1"/>
  <c r="AB31" i="86"/>
  <c r="U31" i="86"/>
  <c r="AC40" i="86"/>
  <c r="W40" i="86"/>
  <c r="AB27" i="86"/>
  <c r="U27" i="86"/>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 i="83"/>
  <c r="B4" i="84"/>
  <c r="B5" i="84"/>
  <c r="B6" i="84"/>
  <c r="B7" i="84"/>
  <c r="B8" i="84"/>
  <c r="B9" i="84"/>
  <c r="B10" i="84"/>
  <c r="B11" i="84"/>
  <c r="B12" i="84"/>
  <c r="B13" i="84"/>
  <c r="B14" i="84"/>
  <c r="B15" i="84"/>
  <c r="B16" i="84"/>
  <c r="B17" i="84"/>
  <c r="B18" i="84"/>
  <c r="B19" i="84"/>
  <c r="B20" i="84"/>
  <c r="B21" i="84"/>
  <c r="B22" i="84"/>
  <c r="B23" i="84"/>
  <c r="B24" i="84"/>
  <c r="B25" i="84"/>
  <c r="B26" i="84"/>
  <c r="B27" i="84"/>
  <c r="B28" i="84"/>
  <c r="B3" i="84"/>
  <c r="V48" i="86" l="1"/>
  <c r="I48" i="86" s="1"/>
  <c r="I52" i="86" s="1"/>
  <c r="J52" i="86" s="1"/>
  <c r="I52" i="87"/>
  <c r="J52" i="87" s="1"/>
  <c r="R49" i="87"/>
  <c r="E48" i="87"/>
  <c r="G53" i="87"/>
  <c r="H53" i="87" s="1"/>
  <c r="E48" i="86"/>
  <c r="I53" i="86" s="1"/>
  <c r="J53" i="86" s="1"/>
  <c r="G53" i="86"/>
  <c r="H53" i="86" s="1"/>
  <c r="G52" i="86"/>
  <c r="H52" i="86" s="1"/>
  <c r="G14" i="73"/>
  <c r="F14" i="73"/>
  <c r="E14" i="73"/>
  <c r="R49" i="86" l="1"/>
  <c r="C49" i="87"/>
  <c r="C48" i="87"/>
  <c r="E53" i="87"/>
  <c r="F53" i="87" s="1"/>
  <c r="E52" i="87"/>
  <c r="F52" i="87" s="1"/>
  <c r="I53" i="87"/>
  <c r="J53" i="87" s="1"/>
  <c r="E53" i="86"/>
  <c r="F53" i="86" s="1"/>
  <c r="E52" i="86"/>
  <c r="F52" i="86" s="1"/>
  <c r="C48" i="86"/>
  <c r="C49" i="86"/>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B3" i="87" l="1"/>
  <c r="C50" i="87"/>
  <c r="B50" i="87"/>
  <c r="B3" i="86"/>
  <c r="C50" i="86"/>
  <c r="B50" i="86"/>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AD32" i="79" s="1"/>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F28" i="71"/>
  <c r="F26" i="71"/>
  <c r="AA3" i="71"/>
  <c r="D63" i="71"/>
  <c r="D75" i="71"/>
  <c r="C74" i="71"/>
  <c r="D74"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B110" i="37"/>
  <c r="B108" i="37"/>
  <c r="F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H11" i="35" s="1"/>
  <c r="AB11" i="35" s="1"/>
  <c r="B61" i="35"/>
  <c r="B59" i="35"/>
  <c r="B131" i="34"/>
  <c r="B129" i="34"/>
  <c r="H46" i="34" s="1"/>
  <c r="B127" i="34"/>
  <c r="B99" i="34"/>
  <c r="B97" i="34"/>
  <c r="B95" i="34"/>
  <c r="J30" i="34" s="1"/>
  <c r="B93" i="34"/>
  <c r="B75" i="34"/>
  <c r="B73" i="34"/>
  <c r="B71" i="34"/>
  <c r="J12" i="34" s="1"/>
  <c r="W12" i="34" s="1"/>
  <c r="B130" i="33"/>
  <c r="B128" i="33"/>
  <c r="B126" i="33"/>
  <c r="B98" i="33"/>
  <c r="J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F26" i="33" s="1"/>
  <c r="S26" i="33" s="1"/>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s="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H30" i="21" s="1"/>
  <c r="B94" i="21"/>
  <c r="J29" i="21" s="1"/>
  <c r="AC29" i="21"/>
  <c r="B92" i="21"/>
  <c r="H28" i="21" s="1"/>
  <c r="AB28" i="21" s="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S41" i="21"/>
  <c r="AA41" i="21"/>
  <c r="F45" i="39"/>
  <c r="S45" i="39" s="1"/>
  <c r="F36" i="39"/>
  <c r="S36" i="39" s="1"/>
  <c r="H36" i="39"/>
  <c r="AB36" i="39" s="1"/>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J35" i="34"/>
  <c r="U34" i="34"/>
  <c r="H39" i="33"/>
  <c r="AB39" i="33" s="1"/>
  <c r="U33" i="33"/>
  <c r="U35" i="33"/>
  <c r="W33" i="33"/>
  <c r="W39" i="33"/>
  <c r="H39" i="37"/>
  <c r="AB39" i="37" s="1"/>
  <c r="S27" i="35"/>
  <c r="F11" i="40"/>
  <c r="AA11" i="40" s="1"/>
  <c r="H11" i="40"/>
  <c r="AB11" i="40"/>
  <c r="W8"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AA24" i="36"/>
  <c r="F34" i="36"/>
  <c r="S34" i="36" s="1"/>
  <c r="F14" i="35"/>
  <c r="AA14" i="35" s="1"/>
  <c r="F23" i="35"/>
  <c r="AA23" i="35" s="1"/>
  <c r="J32" i="35"/>
  <c r="AC32" i="35" s="1"/>
  <c r="J16" i="35"/>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s="1"/>
  <c r="S38" i="33"/>
  <c r="F32" i="33"/>
  <c r="AA32" i="33" s="1"/>
  <c r="J19" i="33"/>
  <c r="AC19" i="33" s="1"/>
  <c r="J15" i="33"/>
  <c r="AC15" i="33"/>
  <c r="F11" i="33"/>
  <c r="AA11" i="33" s="1"/>
  <c r="W40" i="33"/>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s="1"/>
  <c r="F28" i="21"/>
  <c r="AA28" i="21" s="1"/>
  <c r="J28" i="21"/>
  <c r="W28" i="21" s="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H29" i="21"/>
  <c r="U29" i="21"/>
  <c r="J31" i="21"/>
  <c r="AC31" i="21" s="1"/>
  <c r="F31" i="21"/>
  <c r="S31" i="21" s="1"/>
  <c r="F45" i="21"/>
  <c r="AA45" i="21" s="1"/>
  <c r="F27" i="33"/>
  <c r="AA27" i="33"/>
  <c r="H13" i="33"/>
  <c r="U13" i="33" s="1"/>
  <c r="F13" i="33"/>
  <c r="AA13" i="33" s="1"/>
  <c r="J29" i="33"/>
  <c r="H29" i="33"/>
  <c r="U29" i="33" s="1"/>
  <c r="F29" i="33"/>
  <c r="S29" i="33" s="1"/>
  <c r="W31" i="33"/>
  <c r="H31" i="33"/>
  <c r="F31" i="33"/>
  <c r="H45" i="33"/>
  <c r="U45" i="33"/>
  <c r="J45" i="33"/>
  <c r="W45" i="33" s="1"/>
  <c r="F45" i="33"/>
  <c r="J14" i="34"/>
  <c r="W14" i="34" s="1"/>
  <c r="F14" i="34"/>
  <c r="S14" i="34" s="1"/>
  <c r="H14" i="34"/>
  <c r="H30" i="34"/>
  <c r="F30" i="34"/>
  <c r="S30" i="34" s="1"/>
  <c r="H32" i="34"/>
  <c r="F32" i="34"/>
  <c r="J32" i="34"/>
  <c r="W32" i="34" s="1"/>
  <c r="U46" i="34"/>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F28" i="37"/>
  <c r="AA28" i="37" s="1"/>
  <c r="J28" i="37"/>
  <c r="AC28" i="37" s="1"/>
  <c r="H28" i="37"/>
  <c r="H38" i="37"/>
  <c r="AB38" i="37" s="1"/>
  <c r="J38" i="37"/>
  <c r="AC38" i="37" s="1"/>
  <c r="S38" i="37"/>
  <c r="F43" i="39"/>
  <c r="AA43" i="39" s="1"/>
  <c r="H43" i="39"/>
  <c r="F14" i="39"/>
  <c r="H14" i="39"/>
  <c r="AB14" i="39"/>
  <c r="H12" i="40"/>
  <c r="AB12" i="40"/>
  <c r="H30" i="40"/>
  <c r="AB30" i="40"/>
  <c r="F33" i="40"/>
  <c r="AA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J36" i="37"/>
  <c r="AC36" i="37"/>
  <c r="J10" i="36"/>
  <c r="AC10" i="36" s="1"/>
  <c r="AB30" i="21"/>
  <c r="AA14" i="37"/>
  <c r="S11" i="36"/>
  <c r="AB46" i="34"/>
  <c r="AA14" i="34"/>
  <c r="AB45" i="33"/>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AZ560" i="3" s="1"/>
  <c r="BA558" i="3"/>
  <c r="BA556" i="3"/>
  <c r="AZ556" i="3" s="1"/>
  <c r="BA554" i="3"/>
  <c r="AZ554" i="3"/>
  <c r="BA552" i="3"/>
  <c r="AZ552" i="3" s="1"/>
  <c r="BA548" i="3"/>
  <c r="BA546" i="3"/>
  <c r="BA544" i="3"/>
  <c r="AZ544" i="3" s="1"/>
  <c r="BA542" i="3"/>
  <c r="AZ542" i="3"/>
  <c r="BA540" i="3"/>
  <c r="BA538" i="3"/>
  <c r="AZ538" i="3" s="1"/>
  <c r="BA536" i="3"/>
  <c r="AZ536" i="3"/>
  <c r="BA534" i="3"/>
  <c r="AZ534" i="3" s="1"/>
  <c r="BA532" i="3"/>
  <c r="AZ532" i="3" s="1"/>
  <c r="BA530" i="3"/>
  <c r="BA528" i="3"/>
  <c r="BA526" i="3"/>
  <c r="AZ526" i="3" s="1"/>
  <c r="BA524" i="3"/>
  <c r="BA522" i="3"/>
  <c r="BA520" i="3"/>
  <c r="BA518" i="3"/>
  <c r="AZ518" i="3" s="1"/>
  <c r="BA516" i="3"/>
  <c r="BA514" i="3"/>
  <c r="AZ514" i="3" s="1"/>
  <c r="BA512" i="3"/>
  <c r="BA510" i="3"/>
  <c r="BA508" i="3"/>
  <c r="BA506" i="3"/>
  <c r="AZ506" i="3" s="1"/>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c r="BQ541" i="3"/>
  <c r="BL541" i="3" s="1"/>
  <c r="BQ539" i="3"/>
  <c r="BL539" i="3" s="1"/>
  <c r="AZ539" i="3" s="1"/>
  <c r="BQ537" i="3"/>
  <c r="BL537" i="3"/>
  <c r="BQ535" i="3"/>
  <c r="BL535" i="3" s="1"/>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W44" i="33"/>
  <c r="U19" i="21"/>
  <c r="AB38"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497" i="3"/>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AZ167" i="3"/>
  <c r="BL168" i="3"/>
  <c r="G169" i="3"/>
  <c r="BA171" i="3"/>
  <c r="BL172" i="3"/>
  <c r="G173" i="3"/>
  <c r="BA175" i="3"/>
  <c r="AZ175" i="3"/>
  <c r="BL176" i="3"/>
  <c r="G177" i="3"/>
  <c r="BA179" i="3"/>
  <c r="BL180" i="3"/>
  <c r="G181" i="3"/>
  <c r="BA183" i="3"/>
  <c r="AZ183" i="3" s="1"/>
  <c r="BL184" i="3"/>
  <c r="G185" i="3"/>
  <c r="BA187" i="3"/>
  <c r="BL188" i="3"/>
  <c r="G189" i="3"/>
  <c r="BA191" i="3"/>
  <c r="BL192" i="3"/>
  <c r="AZ192" i="3" s="1"/>
  <c r="G193" i="3"/>
  <c r="BA195" i="3"/>
  <c r="AZ195" i="3"/>
  <c r="BL196" i="3"/>
  <c r="G197" i="3"/>
  <c r="BA199" i="3"/>
  <c r="BL200" i="3"/>
  <c r="G201" i="3"/>
  <c r="BA203" i="3"/>
  <c r="AZ203" i="3" s="1"/>
  <c r="BL204" i="3"/>
  <c r="AZ204" i="3" s="1"/>
  <c r="AZ14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AZ166" i="3"/>
  <c r="AZ186" i="3"/>
  <c r="AZ500" i="3"/>
  <c r="BA16" i="3"/>
  <c r="BL303" i="3"/>
  <c r="AZ303" i="3" s="1"/>
  <c r="G304" i="3"/>
  <c r="BA306" i="3"/>
  <c r="BL307" i="3"/>
  <c r="AZ307" i="3" s="1"/>
  <c r="G308" i="3"/>
  <c r="BA310" i="3"/>
  <c r="AZ310" i="3" s="1"/>
  <c r="BL311" i="3"/>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496" i="3"/>
  <c r="G548" i="3"/>
  <c r="G538" i="3"/>
  <c r="G520" i="3"/>
  <c r="G502" i="3"/>
  <c r="BS5" i="3"/>
  <c r="BP5" i="3"/>
  <c r="BN5" i="3"/>
  <c r="BK5" i="3"/>
  <c r="BI5" i="3"/>
  <c r="BG5" i="3"/>
  <c r="BE5" i="3"/>
  <c r="BC5" i="3"/>
  <c r="G17" i="3"/>
  <c r="BA17" i="3"/>
  <c r="BT5" i="3"/>
  <c r="AZ356" i="3"/>
  <c r="BA15" i="3"/>
  <c r="BB5" i="3"/>
  <c r="BR5" i="3"/>
  <c r="AZ380" i="3"/>
  <c r="AZ499" i="3"/>
  <c r="AZ509" i="3"/>
  <c r="G509" i="3"/>
  <c r="BL493" i="3"/>
  <c r="AZ493" i="3"/>
  <c r="U36" i="40"/>
  <c r="F83" i="43"/>
  <c r="H85" i="43" s="1"/>
  <c r="F50" i="43"/>
  <c r="H54" i="43" s="1"/>
  <c r="F72" i="43"/>
  <c r="H75" i="43" s="1"/>
  <c r="U17" i="39"/>
  <c r="S14" i="35"/>
  <c r="U43" i="21"/>
  <c r="U35" i="21"/>
  <c r="AC35" i="2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9" i="3"/>
  <c r="AZ77" i="3"/>
  <c r="AZ82"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BA14" i="3"/>
  <c r="AZ14" i="3" s="1"/>
  <c r="AZ36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A43" i="21"/>
  <c r="AA38" i="21"/>
  <c r="AA36" i="21"/>
  <c r="J15" i="21"/>
  <c r="W15" i="21" s="1"/>
  <c r="F77" i="21"/>
  <c r="G77" i="21" s="1"/>
  <c r="F23" i="21"/>
  <c r="S23" i="21" s="1"/>
  <c r="E85" i="21"/>
  <c r="F85" i="21" s="1"/>
  <c r="G85" i="21" s="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I101" i="21"/>
  <c r="J101" i="21" s="1"/>
  <c r="K101" i="21" s="1"/>
  <c r="L101" i="21" s="1"/>
  <c r="M101" i="21" s="1"/>
  <c r="F33" i="21"/>
  <c r="AA33" i="21" s="1"/>
  <c r="J33" i="21"/>
  <c r="AC33" i="21" s="1"/>
  <c r="H33" i="21"/>
  <c r="AB33" i="21" s="1"/>
  <c r="AA26" i="21"/>
  <c r="AB14" i="21"/>
  <c r="AB46" i="21"/>
  <c r="AB31" i="21"/>
  <c r="U31" i="21"/>
  <c r="U13" i="21"/>
  <c r="AB13" i="21"/>
  <c r="S35" i="21"/>
  <c r="J37" i="21"/>
  <c r="W37" i="21" s="1"/>
  <c r="H15" i="21"/>
  <c r="U15" i="21" s="1"/>
  <c r="J17" i="21"/>
  <c r="W17" i="21" s="1"/>
  <c r="AC19" i="21"/>
  <c r="AC14" i="21"/>
  <c r="W30" i="21"/>
  <c r="S46" i="21"/>
  <c r="F29" i="21"/>
  <c r="AA29" i="21" s="1"/>
  <c r="F13" i="21"/>
  <c r="AA13" i="21" s="1"/>
  <c r="AC38" i="21"/>
  <c r="H32" i="21"/>
  <c r="AB32" i="21" s="1"/>
  <c r="H9" i="21"/>
  <c r="J9" i="21"/>
  <c r="J32" i="21"/>
  <c r="W32" i="21" s="1"/>
  <c r="F32" i="21"/>
  <c r="AA32" i="21" s="1"/>
  <c r="AA31" i="21"/>
  <c r="W29" i="21"/>
  <c r="S9" i="21"/>
  <c r="AA9" i="21"/>
  <c r="K141" i="21"/>
  <c r="K144" i="21"/>
  <c r="K143" i="21"/>
  <c r="U27" i="21"/>
  <c r="AB25" i="21"/>
  <c r="AA30" i="21"/>
  <c r="W42" i="21"/>
  <c r="F10" i="21"/>
  <c r="AA10" i="21" s="1"/>
  <c r="K145" i="21"/>
  <c r="W2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J25" i="33"/>
  <c r="AB23" i="33"/>
  <c r="U23" i="33"/>
  <c r="F23" i="33"/>
  <c r="AA19" i="33"/>
  <c r="H19" i="33"/>
  <c r="AB19" i="33" s="1"/>
  <c r="G81" i="33"/>
  <c r="H17" i="33"/>
  <c r="U17" i="33" s="1"/>
  <c r="F17" i="33"/>
  <c r="S17" i="33" s="1"/>
  <c r="W17" i="33"/>
  <c r="AC17" i="33"/>
  <c r="J23" i="21"/>
  <c r="W23" i="21" s="1"/>
  <c r="H23" i="21"/>
  <c r="U23" i="21" s="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C25" i="33"/>
  <c r="U19" i="33"/>
  <c r="H109" i="9"/>
  <c r="M49" i="9" s="1"/>
  <c r="H112" i="9"/>
  <c r="D21" i="53"/>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6" i="67"/>
  <c r="F9" i="67"/>
  <c r="E11" i="76"/>
  <c r="B9" i="76"/>
  <c r="F7" i="15"/>
  <c r="B13" i="76"/>
  <c r="M6" i="15"/>
  <c r="M6" i="67"/>
  <c r="M9" i="15"/>
  <c r="B12" i="76"/>
  <c r="AO13" i="1"/>
  <c r="F5" i="73"/>
  <c r="F13" i="15"/>
  <c r="M24" i="67"/>
  <c r="F8" i="15"/>
  <c r="L47" i="15"/>
  <c r="F6" i="15"/>
  <c r="F3" i="73"/>
  <c r="F36" i="15"/>
  <c r="M29" i="15"/>
  <c r="F43" i="67"/>
  <c r="M28" i="15"/>
  <c r="E7" i="76"/>
  <c r="E2" i="68"/>
  <c r="M8" i="15"/>
  <c r="F40" i="15"/>
  <c r="F20" i="31"/>
  <c r="B11" i="76"/>
  <c r="E12" i="76"/>
  <c r="F7" i="67"/>
  <c r="M26" i="67"/>
  <c r="F16" i="15"/>
  <c r="J15" i="15"/>
  <c r="F7" i="73"/>
  <c r="E9" i="76"/>
  <c r="F4" i="73"/>
  <c r="F26" i="15"/>
  <c r="M24" i="15"/>
  <c r="F43" i="15"/>
  <c r="B7" i="76"/>
  <c r="M8" i="67"/>
  <c r="F38" i="67"/>
  <c r="F42" i="67"/>
  <c r="F26" i="67"/>
  <c r="M29" i="67"/>
  <c r="F9" i="15"/>
  <c r="D34" i="9"/>
  <c r="E13" i="76"/>
  <c r="M23" i="15"/>
  <c r="B8" i="76"/>
  <c r="E2" i="69"/>
  <c r="F37" i="15"/>
  <c r="M26" i="15"/>
  <c r="L47" i="67"/>
  <c r="F42" i="15"/>
  <c r="F6" i="73"/>
  <c r="C76" i="15"/>
  <c r="F38" i="15"/>
  <c r="L48" i="15"/>
  <c r="M22" i="15"/>
  <c r="D35" i="9"/>
  <c r="E8" i="76"/>
  <c r="E10" i="76"/>
  <c r="M23" i="67"/>
  <c r="L48" i="67"/>
  <c r="B10" i="76"/>
  <c r="H40" i="21" l="1"/>
  <c r="AB40" i="21" s="1"/>
  <c r="F113" i="21"/>
  <c r="G113" i="21" s="1"/>
  <c r="H113" i="21" s="1"/>
  <c r="F37" i="21"/>
  <c r="AA37" i="21" s="1"/>
  <c r="AC45" i="21"/>
  <c r="H45" i="21"/>
  <c r="U45" i="21" s="1"/>
  <c r="S45" i="21"/>
  <c r="AA23" i="21"/>
  <c r="AB23" i="21"/>
  <c r="AC21" i="21"/>
  <c r="S19" i="21"/>
  <c r="U17" i="21"/>
  <c r="AC17" i="21"/>
  <c r="S17" i="21"/>
  <c r="AC15" i="21"/>
  <c r="AA15" i="21"/>
  <c r="AB44" i="21"/>
  <c r="S44" i="21"/>
  <c r="F39" i="21"/>
  <c r="S39" i="21" s="1"/>
  <c r="AC40" i="21"/>
  <c r="S40" i="21"/>
  <c r="W39" i="21"/>
  <c r="AB39" i="21"/>
  <c r="J1" i="73"/>
  <c r="AB15" i="21"/>
  <c r="AC11" i="35"/>
  <c r="AB11" i="33"/>
  <c r="U11" i="33"/>
  <c r="AB38" i="40"/>
  <c r="U38" i="40"/>
  <c r="AC23" i="21"/>
  <c r="AB20" i="36"/>
  <c r="AC39" i="34"/>
  <c r="S32" i="37"/>
  <c r="U12" i="39"/>
  <c r="AA27" i="40"/>
  <c r="AB27" i="40"/>
  <c r="AA34" i="33"/>
  <c r="AC11" i="39"/>
  <c r="AZ322" i="3"/>
  <c r="AZ389" i="3"/>
  <c r="AZ342" i="3"/>
  <c r="AZ337" i="3"/>
  <c r="AZ360" i="3"/>
  <c r="AZ546" i="3"/>
  <c r="AB46" i="33"/>
  <c r="U46" i="33"/>
  <c r="AA28" i="34"/>
  <c r="S28" i="34"/>
  <c r="AC16" i="35"/>
  <c r="W16" i="35"/>
  <c r="AB36" i="33"/>
  <c r="W32" i="39"/>
  <c r="U32" i="21"/>
  <c r="S32" i="21"/>
  <c r="S21" i="39"/>
  <c r="F54" i="9"/>
  <c r="F32" i="15"/>
  <c r="F60" i="15" s="1"/>
  <c r="F52" i="9"/>
  <c r="F30" i="68"/>
  <c r="F48" i="68" s="1"/>
  <c r="AC37" i="33"/>
  <c r="S20" i="36"/>
  <c r="AA17" i="33"/>
  <c r="D68" i="9"/>
  <c r="F30" i="69"/>
  <c r="F48" i="69" s="1"/>
  <c r="F31" i="12"/>
  <c r="AB20" i="35"/>
  <c r="U41" i="39"/>
  <c r="AC15" i="37"/>
  <c r="AC34" i="33"/>
  <c r="AZ357" i="3"/>
  <c r="AZ311" i="3"/>
  <c r="AZ372" i="3"/>
  <c r="AZ347" i="3"/>
  <c r="AZ305" i="3"/>
  <c r="W44" i="21"/>
  <c r="AZ525" i="3"/>
  <c r="AZ569" i="3"/>
  <c r="AZ571" i="3"/>
  <c r="AZ579" i="3"/>
  <c r="AZ516" i="3"/>
  <c r="AZ524" i="3"/>
  <c r="AB26" i="33"/>
  <c r="AA14" i="33"/>
  <c r="AC35" i="40"/>
  <c r="S13" i="33"/>
  <c r="AZ371" i="3"/>
  <c r="AZ187" i="3"/>
  <c r="AZ505" i="3"/>
  <c r="AZ541" i="3"/>
  <c r="AZ501" i="3"/>
  <c r="AZ537" i="3"/>
  <c r="AZ568" i="3"/>
  <c r="AC28" i="21"/>
  <c r="AA44" i="33"/>
  <c r="AC31" i="34"/>
  <c r="AA45" i="33"/>
  <c r="S45" i="33"/>
  <c r="AC25" i="37"/>
  <c r="W25" i="37"/>
  <c r="S38" i="40"/>
  <c r="G585" i="3"/>
  <c r="BL587" i="3"/>
  <c r="AZ587" i="3" s="1"/>
  <c r="BL586" i="3"/>
  <c r="AZ586" i="3" s="1"/>
  <c r="B72" i="43"/>
  <c r="C15" i="39"/>
  <c r="J39" i="37"/>
  <c r="F39" i="37"/>
  <c r="S39" i="37" s="1"/>
  <c r="G570" i="3"/>
  <c r="G551" i="3"/>
  <c r="BL550" i="3"/>
  <c r="G542" i="3"/>
  <c r="AZ407" i="3"/>
  <c r="F29" i="6"/>
  <c r="AZ391" i="3"/>
  <c r="AZ318" i="3"/>
  <c r="AZ364" i="3"/>
  <c r="AZ329" i="3"/>
  <c r="AZ304" i="3"/>
  <c r="AZ306" i="3"/>
  <c r="U32" i="33"/>
  <c r="AZ535" i="3"/>
  <c r="AZ577" i="3"/>
  <c r="AZ557" i="3"/>
  <c r="AZ513" i="3"/>
  <c r="AZ575" i="3"/>
  <c r="AZ528" i="3"/>
  <c r="AZ566" i="3"/>
  <c r="AZ574" i="3"/>
  <c r="AZ582" i="3"/>
  <c r="AZ540" i="3"/>
  <c r="AZ502" i="3"/>
  <c r="H33" i="40"/>
  <c r="F12" i="40"/>
  <c r="J13" i="21"/>
  <c r="AC38" i="34"/>
  <c r="U40" i="33"/>
  <c r="F12" i="36"/>
  <c r="F33" i="36"/>
  <c r="C25" i="39"/>
  <c r="AB39" i="40"/>
  <c r="AA26" i="33"/>
  <c r="U31" i="35"/>
  <c r="J33" i="36"/>
  <c r="AC33" i="36" s="1"/>
  <c r="W40" i="39"/>
  <c r="J45" i="39"/>
  <c r="W45" i="39" s="1"/>
  <c r="B79" i="43"/>
  <c r="J26" i="33"/>
  <c r="F12" i="34"/>
  <c r="S12" i="34" s="1"/>
  <c r="F12" i="35"/>
  <c r="J12" i="35"/>
  <c r="AB30" i="37"/>
  <c r="U30" i="37"/>
  <c r="H44" i="39"/>
  <c r="J44" i="39"/>
  <c r="AA34" i="39"/>
  <c r="AA31" i="35"/>
  <c r="S31" i="35"/>
  <c r="BL585" i="3"/>
  <c r="AZ585" i="3" s="1"/>
  <c r="H12" i="34"/>
  <c r="AB31" i="36"/>
  <c r="U31" i="36"/>
  <c r="H25" i="37"/>
  <c r="F25" i="37"/>
  <c r="U8" i="39"/>
  <c r="AB8" i="39"/>
  <c r="U30" i="36"/>
  <c r="AB30" i="36"/>
  <c r="AZ419" i="3"/>
  <c r="AC9" i="34"/>
  <c r="W9" i="34"/>
  <c r="S9" i="40"/>
  <c r="AA9" i="40"/>
  <c r="AC31" i="40"/>
  <c r="W31" i="40"/>
  <c r="BL398" i="3"/>
  <c r="G402" i="3"/>
  <c r="BL403" i="3"/>
  <c r="G406" i="3"/>
  <c r="BA408" i="3"/>
  <c r="AZ408" i="3" s="1"/>
  <c r="BA409" i="3"/>
  <c r="AZ409" i="3" s="1"/>
  <c r="AZ411" i="3"/>
  <c r="AZ413" i="3"/>
  <c r="AZ443" i="3"/>
  <c r="AZ458" i="3"/>
  <c r="AZ462" i="3"/>
  <c r="AZ466" i="3"/>
  <c r="AZ217"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L452" i="3"/>
  <c r="BA464" i="3"/>
  <c r="BL469" i="3"/>
  <c r="BL471" i="3"/>
  <c r="G478" i="3"/>
  <c r="AZ487" i="3"/>
  <c r="G587" i="3"/>
  <c r="BA551" i="3"/>
  <c r="AZ551" i="3" s="1"/>
  <c r="BA550" i="3"/>
  <c r="AZ550" i="3" s="1"/>
  <c r="BL548" i="3"/>
  <c r="AZ548" i="3" s="1"/>
  <c r="BL16" i="3"/>
  <c r="AZ16" i="3" s="1"/>
  <c r="BA401" i="3"/>
  <c r="BA403" i="3"/>
  <c r="AZ403" i="3" s="1"/>
  <c r="BA404" i="3"/>
  <c r="AZ404" i="3" s="1"/>
  <c r="BA405" i="3"/>
  <c r="AZ405" i="3" s="1"/>
  <c r="BL410" i="3"/>
  <c r="G412" i="3"/>
  <c r="G418" i="3"/>
  <c r="BA422" i="3"/>
  <c r="AZ422" i="3" s="1"/>
  <c r="G429" i="3"/>
  <c r="BL431" i="3"/>
  <c r="AZ431" i="3" s="1"/>
  <c r="G433" i="3"/>
  <c r="BL434" i="3"/>
  <c r="G436" i="3"/>
  <c r="G437" i="3"/>
  <c r="BL438" i="3"/>
  <c r="BL439" i="3"/>
  <c r="BA441" i="3"/>
  <c r="BL445" i="3"/>
  <c r="BL446" i="3"/>
  <c r="BL449" i="3"/>
  <c r="BL450" i="3"/>
  <c r="BL453" i="3"/>
  <c r="BL454" i="3"/>
  <c r="BA463" i="3"/>
  <c r="BA469" i="3"/>
  <c r="G477" i="3"/>
  <c r="BL411" i="3"/>
  <c r="BL413" i="3"/>
  <c r="G415" i="3"/>
  <c r="BL417" i="3"/>
  <c r="AZ417" i="3" s="1"/>
  <c r="BL418" i="3"/>
  <c r="BL420" i="3"/>
  <c r="G422" i="3"/>
  <c r="BL424" i="3"/>
  <c r="AZ424" i="3" s="1"/>
  <c r="G426" i="3"/>
  <c r="BL428" i="3"/>
  <c r="AZ428" i="3" s="1"/>
  <c r="BL429" i="3"/>
  <c r="AZ429" i="3" s="1"/>
  <c r="BL432" i="3"/>
  <c r="AZ432" i="3" s="1"/>
  <c r="BL435" i="3"/>
  <c r="BL436" i="3"/>
  <c r="AZ436" i="3" s="1"/>
  <c r="BA439" i="3"/>
  <c r="BA440" i="3"/>
  <c r="AZ440" i="3" s="1"/>
  <c r="BA442" i="3"/>
  <c r="BA445" i="3"/>
  <c r="BA447" i="3"/>
  <c r="AZ447" i="3" s="1"/>
  <c r="BA449" i="3"/>
  <c r="AZ449" i="3" s="1"/>
  <c r="G456" i="3"/>
  <c r="BL456" i="3"/>
  <c r="AZ456" i="3" s="1"/>
  <c r="G466" i="3"/>
  <c r="G467" i="3"/>
  <c r="BL467" i="3"/>
  <c r="BL468" i="3"/>
  <c r="AZ468" i="3" s="1"/>
  <c r="BL472" i="3"/>
  <c r="G473" i="3"/>
  <c r="BL473" i="3"/>
  <c r="AZ473" i="3" s="1"/>
  <c r="BL474" i="3"/>
  <c r="G475" i="3"/>
  <c r="AZ22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81" i="3"/>
  <c r="BA286" i="3"/>
  <c r="AZ286" i="3" s="1"/>
  <c r="BL287" i="3"/>
  <c r="BL289" i="3"/>
  <c r="AZ301" i="3"/>
  <c r="BA453" i="3"/>
  <c r="BA455" i="3"/>
  <c r="AZ455" i="3" s="1"/>
  <c r="BL457" i="3"/>
  <c r="BL460" i="3"/>
  <c r="BL461" i="3"/>
  <c r="BL463" i="3"/>
  <c r="AZ463" i="3" s="1"/>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A253" i="3"/>
  <c r="BA263" i="3"/>
  <c r="AZ263" i="3" s="1"/>
  <c r="BA270" i="3"/>
  <c r="AZ270" i="3" s="1"/>
  <c r="BA271" i="3"/>
  <c r="AZ271" i="3" s="1"/>
  <c r="BL271" i="3"/>
  <c r="BA279" i="3"/>
  <c r="BL285" i="3"/>
  <c r="BA125" i="3"/>
  <c r="AZ125" i="3" s="1"/>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50" i="3"/>
  <c r="AZ250" i="3" s="1"/>
  <c r="BA251" i="3"/>
  <c r="AZ251" i="3" s="1"/>
  <c r="BL251" i="3"/>
  <c r="BL254" i="3"/>
  <c r="BA260" i="3"/>
  <c r="BL261" i="3"/>
  <c r="BA272" i="3"/>
  <c r="AZ272" i="3" s="1"/>
  <c r="BA275" i="3"/>
  <c r="AZ275" i="3" s="1"/>
  <c r="BA276" i="3"/>
  <c r="BL280" i="3"/>
  <c r="BL255" i="3"/>
  <c r="G257" i="3"/>
  <c r="BL257" i="3"/>
  <c r="AZ257" i="3" s="1"/>
  <c r="BL258" i="3"/>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A169" i="3"/>
  <c r="AZ169" i="3" s="1"/>
  <c r="BA188" i="3"/>
  <c r="AZ188" i="3" s="1"/>
  <c r="BL191" i="3"/>
  <c r="AZ191" i="3" s="1"/>
  <c r="G192" i="3"/>
  <c r="BA193" i="3"/>
  <c r="AZ62" i="3"/>
  <c r="BA244" i="3"/>
  <c r="AZ244" i="3" s="1"/>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7" i="3"/>
  <c r="G175" i="3"/>
  <c r="G176" i="3"/>
  <c r="BL178" i="3"/>
  <c r="BA180" i="3"/>
  <c r="AZ180" i="3" s="1"/>
  <c r="BL182" i="3"/>
  <c r="G183" i="3"/>
  <c r="BA185" i="3"/>
  <c r="AZ185" i="3" s="1"/>
  <c r="G195" i="3"/>
  <c r="BA196" i="3"/>
  <c r="AZ196" i="3" s="1"/>
  <c r="BL205" i="3"/>
  <c r="BA41" i="3"/>
  <c r="BL49" i="3"/>
  <c r="BL54" i="3"/>
  <c r="BA63"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1" i="3"/>
  <c r="AZ171" i="3" s="1"/>
  <c r="BA176" i="3"/>
  <c r="AZ176" i="3" s="1"/>
  <c r="BA178" i="3"/>
  <c r="BA184" i="3"/>
  <c r="AZ184" i="3" s="1"/>
  <c r="BL187" i="3"/>
  <c r="BA189" i="3"/>
  <c r="AZ189" i="3" s="1"/>
  <c r="BA190" i="3"/>
  <c r="AZ190" i="3" s="1"/>
  <c r="BL197" i="3"/>
  <c r="AZ197" i="3" s="1"/>
  <c r="BL199" i="3"/>
  <c r="AZ199" i="3" s="1"/>
  <c r="BA200" i="3"/>
  <c r="AZ200" i="3" s="1"/>
  <c r="BA202" i="3"/>
  <c r="BA207" i="3"/>
  <c r="BA18" i="3"/>
  <c r="BL21" i="3"/>
  <c r="BL29" i="3"/>
  <c r="BA32" i="3"/>
  <c r="BA38" i="3"/>
  <c r="BA45" i="3"/>
  <c r="BA46" i="3"/>
  <c r="BA50" i="3"/>
  <c r="AZ50" i="3" s="1"/>
  <c r="BA55" i="3"/>
  <c r="AZ55" i="3" s="1"/>
  <c r="BA56" i="3"/>
  <c r="AZ56" i="3" s="1"/>
  <c r="BA57" i="3"/>
  <c r="BL58" i="3"/>
  <c r="BA60" i="3"/>
  <c r="BA69" i="3"/>
  <c r="AZ69" i="3" s="1"/>
  <c r="BL73" i="3"/>
  <c r="BA74" i="3"/>
  <c r="AZ74" i="3" s="1"/>
  <c r="BA75" i="3"/>
  <c r="AZ75" i="3" s="1"/>
  <c r="BA78" i="3"/>
  <c r="BA80" i="3"/>
  <c r="G84" i="3"/>
  <c r="BL84" i="3"/>
  <c r="BA89" i="3"/>
  <c r="BL92" i="3"/>
  <c r="BL94" i="3"/>
  <c r="AZ94" i="3" s="1"/>
  <c r="BL99" i="3"/>
  <c r="G101" i="3"/>
  <c r="BA101" i="3"/>
  <c r="AZ101" i="3" s="1"/>
  <c r="BA102" i="3"/>
  <c r="BL110" i="3"/>
  <c r="BL111" i="3"/>
  <c r="AZ111" i="3" s="1"/>
  <c r="D31" i="71"/>
  <c r="C32" i="71"/>
  <c r="D56" i="71"/>
  <c r="T56" i="71"/>
  <c r="C60" i="71"/>
  <c r="D59" i="71"/>
  <c r="N67" i="71"/>
  <c r="B66" i="71"/>
  <c r="F66" i="71"/>
  <c r="Q67" i="71"/>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G45" i="3"/>
  <c r="BL45" i="3"/>
  <c r="BA48" i="3"/>
  <c r="BA49" i="3"/>
  <c r="AZ49" i="3" s="1"/>
  <c r="BA51" i="3"/>
  <c r="AZ51" i="3" s="1"/>
  <c r="G54" i="3"/>
  <c r="G55" i="3"/>
  <c r="BL56" i="3"/>
  <c r="BA58" i="3"/>
  <c r="BL59" i="3"/>
  <c r="AZ59" i="3" s="1"/>
  <c r="BL60" i="3"/>
  <c r="BA61" i="3"/>
  <c r="AZ61" i="3" s="1"/>
  <c r="BA68" i="3"/>
  <c r="BA73" i="3"/>
  <c r="BA79" i="3"/>
  <c r="AZ79" i="3" s="1"/>
  <c r="G82" i="3"/>
  <c r="G83" i="3"/>
  <c r="BA84" i="3"/>
  <c r="AZ84" i="3" s="1"/>
  <c r="BL88" i="3"/>
  <c r="AZ88" i="3" s="1"/>
  <c r="G90" i="3"/>
  <c r="BL90" i="3"/>
  <c r="G98" i="3"/>
  <c r="G99" i="3"/>
  <c r="BA105" i="3"/>
  <c r="AZ105" i="3" s="1"/>
  <c r="BA106" i="3"/>
  <c r="BL108" i="3"/>
  <c r="G110" i="3"/>
  <c r="BL112" i="3"/>
  <c r="F40" i="68"/>
  <c r="C21" i="68"/>
  <c r="AA18" i="36"/>
  <c r="S18" i="36"/>
  <c r="BA66" i="3"/>
  <c r="AZ103" i="3"/>
  <c r="C40" i="68"/>
  <c r="AC29" i="39"/>
  <c r="W29" i="39"/>
  <c r="E28" i="71"/>
  <c r="AA27" i="71"/>
  <c r="AA28" i="71"/>
  <c r="D38" i="71"/>
  <c r="C39" i="7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BL63" i="3"/>
  <c r="G65" i="3"/>
  <c r="BL65" i="3"/>
  <c r="AZ65" i="3" s="1"/>
  <c r="BL66" i="3"/>
  <c r="BL67" i="3"/>
  <c r="AZ67" i="3" s="1"/>
  <c r="G69" i="3"/>
  <c r="G70" i="3"/>
  <c r="BL70" i="3"/>
  <c r="AZ70" i="3" s="1"/>
  <c r="BL71" i="3"/>
  <c r="AZ71" i="3" s="1"/>
  <c r="BL72" i="3"/>
  <c r="AZ72" i="3" s="1"/>
  <c r="G74" i="3"/>
  <c r="G75" i="3"/>
  <c r="BL75" i="3"/>
  <c r="BL91" i="3"/>
  <c r="BL100" i="3"/>
  <c r="AZ100" i="3" s="1"/>
  <c r="BL105" i="3"/>
  <c r="BL107" i="3"/>
  <c r="P65" i="71"/>
  <c r="P66" i="71"/>
  <c r="C47" i="71"/>
  <c r="D47" i="71" s="1"/>
  <c r="D46" i="71"/>
  <c r="V24" i="71"/>
  <c r="E23" i="71"/>
  <c r="E22" i="71" s="1"/>
  <c r="E21" i="71" s="1"/>
  <c r="E20" i="71" s="1"/>
  <c r="V20" i="71" s="1"/>
  <c r="G81" i="3"/>
  <c r="G85" i="3"/>
  <c r="BL85" i="3"/>
  <c r="BA86" i="3"/>
  <c r="AZ86" i="3" s="1"/>
  <c r="BA87" i="3"/>
  <c r="BA91" i="3"/>
  <c r="AZ91" i="3" s="1"/>
  <c r="G96" i="3"/>
  <c r="BL97" i="3"/>
  <c r="AZ97" i="3" s="1"/>
  <c r="BL101" i="3"/>
  <c r="BL102" i="3"/>
  <c r="G104" i="3"/>
  <c r="G105" i="3"/>
  <c r="BL106" i="3"/>
  <c r="BA108" i="3"/>
  <c r="BA110" i="3"/>
  <c r="F3" i="35"/>
  <c r="S21" i="33"/>
  <c r="S21" i="37"/>
  <c r="S25" i="40"/>
  <c r="B77" i="43"/>
  <c r="AA18" i="35"/>
  <c r="O67" i="71"/>
  <c r="AB27"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5" i="68"/>
  <c r="C66" i="71"/>
  <c r="S28" i="71"/>
  <c r="C83" i="71"/>
  <c r="C79" i="71"/>
  <c r="C71"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67" i="3"/>
  <c r="AZ470" i="3"/>
  <c r="W35" i="39"/>
  <c r="F27" i="34"/>
  <c r="C21" i="39"/>
  <c r="U9" i="36"/>
  <c r="U14" i="37"/>
  <c r="H12" i="21"/>
  <c r="G526" i="3"/>
  <c r="AZ420" i="3"/>
  <c r="AZ434" i="3"/>
  <c r="AZ438" i="3"/>
  <c r="AZ446" i="3"/>
  <c r="AZ450"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F50" i="67"/>
  <c r="F68" i="15"/>
  <c r="C36" i="68"/>
  <c r="D9" i="69"/>
  <c r="F27" i="69"/>
  <c r="C36" i="69"/>
  <c r="D9" i="68"/>
  <c r="D4" i="73"/>
  <c r="M9" i="67"/>
  <c r="F8" i="67"/>
  <c r="D5" i="73"/>
  <c r="F6" i="67"/>
  <c r="C16" i="15"/>
  <c r="F40" i="67"/>
  <c r="C76" i="67"/>
  <c r="F13" i="67"/>
  <c r="D6" i="73"/>
  <c r="M22" i="67"/>
  <c r="F37" i="67"/>
  <c r="D7" i="73"/>
  <c r="J15" i="67"/>
  <c r="C16" i="67"/>
  <c r="D3" i="73"/>
  <c r="M28" i="67"/>
  <c r="F36" i="67"/>
  <c r="U40" i="21" l="1"/>
  <c r="S37" i="21"/>
  <c r="AB45" i="21"/>
  <c r="AA39" i="21"/>
  <c r="J7" i="37"/>
  <c r="F68" i="67"/>
  <c r="F64" i="67"/>
  <c r="C6" i="67"/>
  <c r="C32" i="67" s="1"/>
  <c r="F31" i="67"/>
  <c r="F65" i="67"/>
  <c r="F51" i="67"/>
  <c r="F59" i="67" s="1"/>
  <c r="Q71" i="67"/>
  <c r="AZ107" i="3"/>
  <c r="AZ26" i="3"/>
  <c r="AZ165" i="3"/>
  <c r="AZ300" i="3"/>
  <c r="AZ129" i="3"/>
  <c r="AZ279" i="3"/>
  <c r="AZ246" i="3"/>
  <c r="AZ268" i="3"/>
  <c r="C36" i="71"/>
  <c r="D35" i="71"/>
  <c r="AZ110" i="3"/>
  <c r="AZ66" i="3"/>
  <c r="AZ58" i="3"/>
  <c r="T32" i="71"/>
  <c r="D32" i="71"/>
  <c r="AZ102" i="3"/>
  <c r="AZ282" i="3"/>
  <c r="AZ280" i="3"/>
  <c r="AZ453" i="3"/>
  <c r="AZ491" i="3"/>
  <c r="AZ469" i="3"/>
  <c r="AZ441" i="3"/>
  <c r="AZ401" i="3"/>
  <c r="U25" i="37"/>
  <c r="AB25" i="37"/>
  <c r="AC44" i="39"/>
  <c r="W44" i="39"/>
  <c r="W12" i="35"/>
  <c r="AC12" i="35"/>
  <c r="AA33" i="36"/>
  <c r="S33" i="36"/>
  <c r="AC13" i="21"/>
  <c r="W13" i="21"/>
  <c r="C70" i="71"/>
  <c r="D70" i="71" s="1"/>
  <c r="D71" i="71"/>
  <c r="O65" i="71"/>
  <c r="D66" i="71"/>
  <c r="O66" i="71"/>
  <c r="AZ108" i="3"/>
  <c r="AZ21" i="3"/>
  <c r="D60" i="71"/>
  <c r="T60" i="71"/>
  <c r="AZ41" i="3"/>
  <c r="U44" i="39"/>
  <c r="AB44" i="39"/>
  <c r="AA12" i="36"/>
  <c r="S12" i="36"/>
  <c r="S12" i="40"/>
  <c r="AA12" i="40"/>
  <c r="J6" i="67"/>
  <c r="J18" i="67" s="1"/>
  <c r="J7" i="36"/>
  <c r="AC7" i="36" s="1"/>
  <c r="V36" i="36" s="1"/>
  <c r="I36" i="36" s="1"/>
  <c r="AZ99" i="3"/>
  <c r="AZ492" i="3"/>
  <c r="C78" i="71"/>
  <c r="D78" i="71" s="1"/>
  <c r="D79" i="71"/>
  <c r="C40" i="71"/>
  <c r="D39" i="71"/>
  <c r="N65" i="71"/>
  <c r="N66" i="71"/>
  <c r="AZ57" i="3"/>
  <c r="AZ178" i="3"/>
  <c r="AZ63" i="3"/>
  <c r="AZ302" i="3"/>
  <c r="AZ284" i="3"/>
  <c r="AZ277" i="3"/>
  <c r="AZ256" i="3"/>
  <c r="AZ273" i="3"/>
  <c r="AZ368" i="3"/>
  <c r="AZ353" i="3"/>
  <c r="AZ464" i="3"/>
  <c r="AB33" i="40"/>
  <c r="U33" i="40"/>
  <c r="G5" i="3"/>
  <c r="B3" i="3" s="1"/>
  <c r="E539" i="3" s="1"/>
  <c r="T28" i="71"/>
  <c r="D28" i="71"/>
  <c r="U28" i="71" s="1"/>
  <c r="C27" i="71"/>
  <c r="C82" i="71"/>
  <c r="D82" i="71" s="1"/>
  <c r="D83" i="71"/>
  <c r="C44" i="71"/>
  <c r="D43" i="71"/>
  <c r="C86" i="71"/>
  <c r="D86" i="71" s="1"/>
  <c r="D87" i="71"/>
  <c r="AZ45" i="3"/>
  <c r="AA25" i="37"/>
  <c r="S25" i="37"/>
  <c r="AB12" i="34"/>
  <c r="U12" i="34"/>
  <c r="W26" i="33"/>
  <c r="AC26" i="33"/>
  <c r="AC39" i="37"/>
  <c r="W39" i="37"/>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276" i="3"/>
  <c r="E333" i="3"/>
  <c r="L6" i="3"/>
  <c r="E43" i="3"/>
  <c r="E473" i="3"/>
  <c r="E455" i="3"/>
  <c r="E38" i="3"/>
  <c r="E137" i="3"/>
  <c r="E234" i="3"/>
  <c r="E339" i="3"/>
  <c r="E392"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F41" i="67"/>
  <c r="G1" i="73"/>
  <c r="C49" i="67" l="1"/>
  <c r="J5" i="67"/>
  <c r="D36" i="71"/>
  <c r="T36" i="71"/>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T40" i="71"/>
  <c r="D40" i="71"/>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44" i="71"/>
  <c r="T44" i="71"/>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4" i="67" l="1"/>
  <c r="C24" i="67" s="1"/>
  <c r="F22" i="68"/>
  <c r="C26" i="68" s="1"/>
  <c r="D22" i="68" s="1"/>
  <c r="F25" i="12"/>
  <c r="C26" i="12" s="1"/>
  <c r="D25" i="12" s="1"/>
  <c r="F22" i="11"/>
  <c r="C26" i="11" s="1"/>
  <c r="D22" i="11"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69" l="1"/>
  <c r="D41" i="69" s="1"/>
  <c r="C23" i="68"/>
  <c r="C44" i="68"/>
  <c r="D41" i="68" s="1"/>
  <c r="F41" i="68"/>
  <c r="C26" i="69"/>
  <c r="D22" i="69" s="1"/>
  <c r="C24" i="11"/>
  <c r="C23" i="11"/>
  <c r="C44" i="11"/>
  <c r="D41" i="11" s="1"/>
  <c r="H25" i="6"/>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50" i="21" l="1"/>
  <c r="C50"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19" i="9"/>
  <c r="L51" i="67"/>
  <c r="D2" i="33"/>
  <c r="D102" i="9" l="1"/>
  <c r="D21" i="9"/>
  <c r="G19" i="9"/>
  <c r="G21" i="9" s="1"/>
  <c r="C102" i="9"/>
  <c r="D22" i="9"/>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0" i="9"/>
  <c r="D2" i="34"/>
  <c r="D2" i="35"/>
  <c r="C20" i="9"/>
  <c r="L51" i="15"/>
  <c r="G20" i="9" l="1"/>
  <c r="C32" i="9" s="1"/>
  <c r="C103" i="9"/>
  <c r="D103"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12" i="1"/>
  <c r="AO9" i="1"/>
  <c r="AO7" i="1"/>
  <c r="AO6" i="1"/>
  <c r="C35" i="9" l="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l="1"/>
  <c r="N61" i="9"/>
  <c r="N59" i="9"/>
  <c r="N58" i="9"/>
  <c r="P57" i="9"/>
  <c r="C5" i="74"/>
  <c r="N57" i="9"/>
  <c r="D53" i="9"/>
  <c r="D52" i="9"/>
  <c r="B32" i="72"/>
  <c r="C68" i="9"/>
  <c r="D54" i="9"/>
  <c r="M48" i="9"/>
  <c r="B48" i="72"/>
  <c r="D8" i="52"/>
  <c r="C81" i="9"/>
  <c r="D7" i="53"/>
  <c r="B21" i="72"/>
  <c r="B52" i="72"/>
  <c r="I4" i="52"/>
  <c r="H102" i="9"/>
  <c r="C105" i="9"/>
  <c r="C6" i="74"/>
  <c r="D14" i="53"/>
  <c r="B30" i="72"/>
  <c r="E81" i="9"/>
  <c r="D13" i="53"/>
  <c r="G4" i="52"/>
  <c r="C104" i="9"/>
  <c r="H4" i="52"/>
  <c r="F4" i="52"/>
  <c r="B51" i="72"/>
  <c r="D59" i="9"/>
  <c r="M55" i="9"/>
  <c r="D55" i="9"/>
  <c r="M53" i="9"/>
  <c r="C78" i="9"/>
  <c r="C73" i="9"/>
  <c r="E4" i="52"/>
  <c r="B20" i="72"/>
  <c r="G118" i="9"/>
  <c r="F118" i="9"/>
  <c r="F119" i="9"/>
  <c r="F5" i="52"/>
  <c r="B53" i="72"/>
  <c r="D122" i="9"/>
  <c r="D123" i="9"/>
  <c r="D9" i="52"/>
  <c r="C80" i="9"/>
  <c r="E80" i="9"/>
  <c r="H107" i="9"/>
  <c r="H108" i="9"/>
  <c r="D15" i="53"/>
  <c r="B31" i="72"/>
  <c r="D5" i="53"/>
  <c r="D6" i="53"/>
  <c r="B22" i="72"/>
  <c r="D4" i="52"/>
  <c r="B47" i="72"/>
  <c r="H119" i="9"/>
  <c r="H5" i="52"/>
  <c r="E118" i="9"/>
  <c r="D118" i="9"/>
  <c r="D119" i="9"/>
  <c r="D5" i="52"/>
  <c r="B49" i="72"/>
  <c r="C96" i="9"/>
  <c r="E96" i="9"/>
  <c r="E97" i="9"/>
  <c r="C85" i="9"/>
  <c r="C95" i="9"/>
  <c r="C97" i="9"/>
  <c r="D58" i="9"/>
  <c r="D56" i="9"/>
  <c r="M54" i="9"/>
  <c r="C93" i="9"/>
  <c r="C86" i="9"/>
  <c r="C72" i="9"/>
  <c r="C79"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<sst xmlns="http://schemas.openxmlformats.org/spreadsheetml/2006/main" count="8811" uniqueCount="3550">
  <si>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</si>
  <si>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</si>
  <si>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</si>
  <si>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</si>
  <si>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</si>
  <si>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</si>
  <si>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</si>
  <si>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</si>
  <si>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</si>
  <si>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</si>
  <si>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</si>
  <si>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</si>
  <si>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</si>
  <si>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</si>
  <si>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</si>
  <si>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</si>
  <si>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</si>
  <si>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</si>
  <si>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</si>
  <si>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</si>
  <si>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</si>
  <si>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</si>
  <si>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</si>
  <si>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</si>
  <si>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</si>
  <si>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</si>
  <si>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</si>
  <si>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</si>
  <si>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</si>
  <si>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</si>
  <si>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</si>
  <si>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</si>
  <si>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</si>
  <si>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</si>
  <si>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</si>
  <si>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</si>
  <si>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</si>
  <si>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</si>
  <si>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</si>
  <si>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</si>
  <si>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</si>
  <si>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</si>
  <si>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</si>
  <si>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</si>
  <si>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</si>
  <si>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</si>
  <si>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</si>
  <si>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</si>
  <si>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</si>
  <si>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</si>
  <si>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</si>
  <si>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</si>
  <si>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</si>
  <si>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</si>
  <si>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</si>
  <si>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</si>
  <si>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</si>
  <si>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</si>
  <si>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</si>
  <si>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</si>
  <si>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</si>
  <si>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</si>
  <si>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</si>
  <si>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</si>
  <si>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</si>
  <si>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</si>
  <si>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</si>
  <si>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</si>
  <si>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</si>
  <si>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</si>
  <si>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</si>
  <si>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</si>
  <si>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</si>
  <si>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</si>
  <si>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</si>
  <si>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</si>
  <si>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</si>
  <si>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</si>
  <si>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</si>
  <si>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</si>
  <si>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</si>
  <si>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</si>
  <si>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</si>
  <si>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</si>
  <si>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</si>
  <si>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</si>
  <si>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</si>
  <si>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</si>
  <si>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</si>
  <si>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</si>
  <si>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</si>
  <si>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</si>
  <si>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</si>
  <si>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</si>
  <si>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</si>
  <si>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</si>
  <si>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</si>
  <si>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</si>
  <si>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</si>
  <si>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</si>
  <si>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</si>
  <si>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</si>
  <si>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</si>
  <si>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</si>
  <si>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</si>
  <si>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</si>
  <si>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</si>
  <si>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</si>
  <si>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</si>
  <si>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</si>
  <si>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</si>
  <si>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</si>
  <si>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</si>
  <si>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</si>
  <si>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</si>
  <si>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</si>
  <si>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</si>
  <si>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</si>
  <si>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</si>
  <si>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</si>
  <si>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</si>
  <si>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</si>
  <si>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</si>
  <si>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</si>
  <si>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</si>
  <si>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</si>
  <si>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</si>
  <si>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</si>
  <si>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</si>
  <si>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</si>
  <si>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</si>
  <si>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</si>
  <si>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</si>
  <si>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</si>
  <si>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</si>
  <si>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</si>
  <si>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</si>
  <si>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</si>
  <si>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</si>
  <si>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</si>
  <si>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</si>
  <si>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</si>
  <si>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</si>
  <si>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</si>
  <si>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</si>
  <si>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</si>
  <si>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</si>
  <si>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</si>
  <si>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</si>
  <si>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</si>
  <si>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</si>
  <si>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</si>
  <si>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</si>
  <si>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</si>
  <si>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</si>
  <si>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</si>
  <si>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</si>
  <si>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</si>
  <si>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</si>
  <si>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</si>
  <si>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</si>
  <si>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</si>
  <si>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</si>
  <si>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</si>
  <si>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</si>
  <si>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</si>
  <si>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</si>
  <si>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</si>
  <si>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</si>
  <si>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</si>
  <si>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</si>
  <si>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</si>
  <si>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</si>
  <si>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</si>
  <si>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</si>
  <si>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</si>
  <si>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</si>
  <si>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</si>
  <si>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</si>
  <si>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</si>
  <si>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</si>
  <si>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</si>
  <si>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</si>
  <si>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</si>
  <si>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</si>
  <si>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</si>
  <si>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</si>
  <si>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</si>
  <si>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</si>
  <si>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</si>
  <si>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</si>
  <si>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</si>
  <si>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</si>
  <si>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</si>
  <si>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</si>
  <si>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</si>
  <si>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</si>
  <si>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</si>
  <si>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</si>
  <si>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</si>
  <si>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</si>
  <si>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</si>
  <si>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</si>
  <si>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</si>
  <si>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</si>
  <si>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</si>
  <si>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</si>
  <si>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</si>
  <si>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</si>
  <si>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</si>
  <si>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</si>
  <si>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</si>
  <si>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</si>
  <si>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</si>
  <si>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</si>
  <si>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</si>
  <si>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</si>
  <si>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</si>
  <si>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</si>
  <si>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</si>
  <si>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</si>
  <si>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</si>
  <si>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</si>
  <si>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</si>
  <si>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</si>
  <si>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</si>
  <si>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</si>
  <si>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</si>
  <si>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</si>
  <si>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</si>
  <si>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</si>
  <si>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</si>
  <si>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</si>
  <si>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</si>
  <si>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</si>
  <si>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</si>
  <si>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</si>
  <si>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</si>
  <si>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</si>
  <si>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</si>
  <si>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</si>
  <si>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</si>
  <si>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</si>
  <si>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</si>
  <si>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</si>
  <si>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</si>
  <si>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</si>
  <si>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</si>
  <si>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</si>
  <si>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</si>
  <si>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</si>
  <si>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</si>
  <si>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</si>
  <si>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</si>
  <si>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</si>
  <si>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</si>
  <si>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</si>
  <si>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</si>
  <si>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</si>
  <si>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</si>
  <si>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</si>
  <si>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</si>
  <si>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</si>
  <si>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</si>
  <si>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</si>
  <si>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</si>
  <si>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</si>
  <si>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</si>
  <si>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</si>
  <si>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</si>
  <si>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</si>
  <si>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</si>
  <si>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</si>
  <si>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</si>
  <si>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</si>
  <si>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</si>
  <si>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</si>
  <si>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</si>
  <si>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</si>
  <si>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</si>
  <si>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</si>
  <si>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</si>
  <si>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</si>
  <si>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</si>
  <si>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</si>
  <si>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</si>
  <si>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</si>
  <si>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</si>
  <si>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</si>
  <si>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</si>
  <si>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</si>
  <si>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</si>
  <si>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</si>
  <si>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</si>
  <si>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</si>
  <si>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</si>
  <si>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</si>
  <si>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</si>
  <si>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</si>
  <si>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</si>
  <si>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</si>
  <si>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</si>
  <si>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</si>
  <si>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</si>
  <si>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</si>
  <si>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</si>
  <si>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</si>
  <si>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</si>
  <si>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</si>
  <si>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</si>
  <si>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</si>
  <si>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</si>
  <si>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</si>
  <si>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</si>
  <si>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</si>
  <si>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</si>
  <si>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</si>
  <si>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</si>
  <si>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</si>
  <si>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</si>
  <si>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</si>
  <si>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</si>
  <si>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</si>
  <si>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</si>
  <si>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</si>
  <si>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</si>
  <si>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</si>
  <si>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</si>
  <si>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</si>
  <si>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</si>
  <si>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</si>
  <si>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</si>
  <si>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</si>
  <si>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</si>
  <si>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</si>
  <si>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</si>
  <si>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</si>
  <si>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</si>
  <si>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</si>
  <si>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</si>
  <si>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</si>
  <si>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</si>
  <si>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</si>
  <si>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</si>
  <si>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</si>
  <si>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</si>
  <si>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</si>
  <si>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</si>
  <si>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</si>
  <si>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</si>
  <si>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</si>
  <si>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</si>
  <si>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</si>
  <si>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</si>
  <si>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</si>
  <si>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</si>
  <si>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</si>
  <si>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</si>
  <si>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</si>
  <si>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</si>
  <si>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</si>
  <si>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</si>
  <si>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</si>
  <si>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</si>
  <si>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</si>
  <si>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</si>
  <si>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</si>
  <si>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</si>
  <si>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</si>
  <si>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</si>
  <si>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</si>
  <si>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</si>
  <si>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</si>
  <si>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</si>
  <si>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</si>
  <si>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</si>
  <si>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</si>
  <si>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</si>
  <si>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</si>
  <si>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</si>
  <si>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</si>
  <si>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</si>
  <si>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</si>
  <si>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</si>
  <si>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</si>
  <si>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</si>
  <si>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</si>
  <si>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</si>
  <si>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</si>
  <si>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</si>
  <si>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</si>
  <si>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</si>
  <si>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</si>
  <si>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</si>
  <si>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</si>
  <si>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</si>
  <si>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</si>
  <si>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</si>
  <si>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</si>
  <si>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</si>
  <si>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</si>
  <si>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</si>
  <si>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</si>
  <si>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</si>
  <si>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</si>
  <si>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</si>
  <si>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</si>
  <si>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</si>
  <si>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</si>
  <si>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</si>
  <si>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</si>
  <si>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</si>
  <si>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</si>
  <si>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</si>
  <si>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</si>
  <si>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</si>
  <si>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</si>
  <si>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</si>
  <si>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</si>
  <si>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</si>
  <si>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</si>
  <si>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</si>
  <si>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</si>
  <si>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</si>
  <si>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</si>
  <si>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</si>
  <si>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</si>
  <si>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</si>
  <si>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</si>
  <si>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</si>
  <si>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</si>
  <si>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</si>
  <si>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</si>
  <si>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</si>
  <si>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</si>
  <si>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</si>
  <si>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</si>
  <si>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</si>
  <si>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</si>
  <si>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</si>
  <si>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</si>
  <si>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</si>
  <si>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</si>
  <si>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</si>
  <si>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</si>
  <si>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</si>
  <si>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</si>
  <si>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</si>
  <si>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</si>
  <si>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</si>
  <si>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</si>
  <si>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</si>
  <si>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</si>
  <si>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</si>
  <si>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</si>
  <si>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</si>
  <si>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</si>
  <si>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</si>
  <si>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</si>
  <si>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</si>
  <si>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</si>
  <si>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</si>
  <si>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</si>
  <si>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</si>
  <si>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</si>
  <si>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</si>
  <si>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</si>
  <si>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</si>
  <si>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</si>
  <si>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</si>
  <si>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</si>
  <si>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</si>
  <si>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</si>
  <si>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</si>
  <si>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</si>
  <si>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</si>
  <si>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</si>
  <si>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</si>
  <si>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</si>
  <si>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</si>
  <si>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</si>
  <si>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</si>
  <si>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</si>
  <si>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</si>
  <si>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</si>
  <si>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</si>
  <si>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</si>
  <si>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</si>
  <si>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</si>
  <si>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</si>
  <si>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</si>
  <si>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</si>
  <si>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</si>
  <si>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</si>
  <si>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</si>
  <si>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</si>
  <si>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</si>
  <si>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</si>
  <si>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</si>
  <si>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</si>
  <si>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</si>
  <si>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</si>
  <si>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</si>
  <si>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</si>
  <si>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</si>
  <si>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</si>
  <si>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</si>
  <si>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</si>
  <si>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</si>
  <si>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</si>
  <si>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</si>
  <si>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</si>
  <si>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</si>
  <si>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</si>
  <si>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</si>
  <si>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</si>
  <si>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</si>
  <si>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</si>
  <si>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</si>
  <si>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</si>
  <si>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</si>
  <si>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</si>
  <si>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</si>
  <si>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</si>
  <si>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</si>
  <si>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</si>
  <si>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</si>
  <si>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</si>
  <si>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</si>
  <si>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</si>
  <si>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</si>
  <si>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</si>
  <si>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</si>
  <si>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</si>
  <si>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</si>
  <si>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</si>
  <si>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</si>
  <si>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</si>
  <si>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</si>
  <si>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</si>
  <si>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</si>
  <si>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</si>
  <si>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</si>
  <si>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</si>
  <si>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</si>
  <si>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</si>
  <si>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</si>
  <si>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</si>
  <si>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</si>
  <si>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</si>
  <si>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</si>
  <si>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</si>
  <si>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</si>
  <si>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</si>
  <si>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</si>
  <si>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</si>
  <si>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</si>
  <si>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</si>
  <si>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</si>
  <si>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</si>
  <si>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</si>
  <si>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</si>
  <si>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</si>
  <si>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</si>
  <si>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</si>
  <si>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</si>
  <si>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</si>
  <si>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</si>
  <si>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</si>
  <si>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</si>
  <si>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</si>
  <si>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</si>
  <si>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</si>
  <si>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</si>
  <si>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</si>
  <si>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</si>
  <si>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</si>
  <si>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</si>
  <si>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</si>
  <si>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</si>
  <si>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</si>
  <si>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</si>
  <si>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</si>
  <si>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</si>
  <si>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</si>
  <si>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</si>
  <si>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</si>
  <si>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</si>
  <si>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</si>
  <si>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</si>
  <si>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</si>
  <si>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</si>
  <si>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</si>
  <si>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</si>
  <si>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</si>
  <si>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</si>
  <si>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</si>
  <si>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</si>
  <si>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</si>
  <si>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</si>
  <si>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</si>
  <si>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</si>
  <si>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</si>
  <si>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</si>
  <si>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</si>
  <si>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</si>
  <si>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</si>
  <si>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</si>
  <si>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</si>
  <si>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</si>
  <si>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</si>
  <si>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</si>
  <si>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</si>
  <si>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</si>
  <si>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</si>
  <si>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</si>
  <si>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</si>
  <si>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</si>
  <si>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</si>
  <si>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</si>
  <si>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</si>
  <si>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</si>
  <si>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</si>
  <si>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</si>
  <si>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</si>
  <si>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</si>
  <si>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</si>
  <si>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</si>
  <si>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</si>
  <si>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</si>
  <si>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</si>
  <si>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</si>
  <si>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</si>
  <si>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</si>
  <si>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</si>
  <si>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</si>
  <si>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</si>
  <si>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</si>
  <si>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</si>
  <si>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</si>
  <si>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</si>
  <si>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</si>
  <si>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</si>
  <si>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</si>
  <si>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</si>
  <si>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</si>
  <si>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</si>
  <si>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</si>
  <si>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</si>
  <si>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</si>
  <si>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</si>
  <si>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</si>
  <si>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</si>
  <si>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</si>
  <si>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</si>
  <si>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</si>
  <si>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</si>
  <si>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</si>
  <si>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</si>
  <si>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</si>
  <si>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</si>
  <si>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</si>
  <si>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</si>
  <si>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</si>
  <si>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</si>
  <si>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</si>
  <si>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</si>
  <si>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</si>
  <si>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</si>
  <si>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</si>
  <si>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</si>
  <si>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</si>
  <si>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</si>
  <si>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</si>
  <si>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</si>
  <si>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</si>
  <si>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</si>
  <si>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</si>
  <si>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</si>
  <si>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</si>
  <si>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</si>
  <si>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</si>
  <si>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</si>
  <si>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</si>
  <si>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</si>
  <si>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</si>
  <si>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</si>
  <si>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</si>
  <si>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</si>
  <si>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</si>
  <si>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</si>
  <si>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</si>
  <si>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</si>
  <si>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</si>
  <si>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</si>
  <si>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</si>
  <si>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</si>
  <si>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</si>
  <si>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</si>
  <si>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</si>
  <si>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</si>
  <si>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</si>
  <si>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</si>
  <si>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</si>
  <si>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</si>
  <si>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</si>
  <si>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</si>
  <si>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</si>
  <si>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</si>
  <si>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</si>
  <si>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</si>
  <si>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</si>
  <si>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</si>
  <si>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</si>
  <si>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</si>
  <si>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</si>
  <si>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</si>
  <si>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</si>
  <si>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</si>
  <si>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</si>
  <si>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</si>
  <si>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</si>
  <si>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</si>
  <si>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</si>
  <si>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</si>
  <si>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</si>
  <si>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</si>
  <si>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</si>
  <si>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</si>
  <si>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</si>
  <si>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</si>
  <si>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</si>
  <si>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</si>
  <si>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</si>
  <si>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</si>
  <si>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</si>
  <si>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</si>
  <si>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</si>
  <si>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</si>
  <si>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</si>
  <si>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</si>
  <si>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</si>
  <si>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</si>
  <si>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</si>
  <si>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</si>
  <si>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</si>
  <si>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</si>
  <si>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</si>
  <si>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</si>
  <si>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</si>
  <si>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</si>
  <si>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</si>
  <si>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</si>
  <si>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</si>
  <si>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</si>
  <si>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</si>
  <si>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</si>
  <si>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</si>
  <si>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</si>
  <si>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</si>
  <si>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</si>
  <si>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</si>
  <si>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</si>
  <si>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</si>
  <si>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</si>
  <si>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</si>
  <si>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</si>
  <si>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</si>
  <si>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</si>
  <si>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</si>
  <si>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</si>
  <si>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</si>
  <si>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</si>
  <si>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</si>
  <si>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</si>
  <si>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</si>
  <si>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</si>
  <si>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</si>
  <si>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</si>
  <si>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</si>
  <si>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</si>
  <si>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</si>
  <si>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</si>
  <si>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</si>
  <si>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</si>
  <si>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</si>
  <si>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</si>
  <si>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</si>
  <si>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</si>
  <si>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</si>
  <si>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</si>
  <si>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</si>
  <si>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</si>
  <si>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</si>
  <si>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</si>
  <si>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</si>
  <si>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</si>
  <si>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</si>
  <si>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</si>
  <si>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</si>
  <si>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</si>
  <si>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</si>
  <si>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</si>
  <si>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</si>
  <si>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</si>
  <si>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</si>
  <si>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</si>
  <si>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</si>
  <si>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</si>
  <si>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</si>
  <si>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</si>
  <si>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</si>
  <si>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</si>
  <si>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</si>
  <si>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</si>
  <si>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</si>
  <si>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</si>
  <si>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</si>
  <si>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</si>
  <si>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</si>
  <si>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</si>
  <si>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</si>
  <si>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</si>
  <si>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</si>
  <si>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</si>
  <si>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</si>
  <si>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</si>
  <si>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</si>
  <si>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</si>
  <si>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</si>
  <si>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</si>
  <si>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</si>
  <si>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</si>
  <si>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</si>
  <si>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</si>
  <si>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</si>
  <si>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</si>
  <si>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</si>
  <si>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</si>
  <si>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</si>
  <si>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</si>
  <si>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</si>
  <si>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</si>
  <si>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</si>
  <si>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</si>
  <si>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</si>
  <si>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</si>
  <si>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</si>
  <si>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</si>
  <si>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</si>
  <si>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</si>
  <si>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</si>
  <si>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</si>
  <si>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</si>
  <si>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</si>
  <si>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</si>
  <si>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</si>
  <si>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</si>
  <si>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</si>
  <si>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</si>
  <si>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</si>
  <si>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</si>
  <si>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</si>
  <si>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</si>
  <si>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</si>
  <si>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</si>
  <si>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</si>
  <si>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</si>
  <si>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</si>
  <si>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</si>
  <si>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</si>
  <si>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</si>
  <si>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</si>
  <si>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</si>
  <si>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</si>
  <si>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</si>
  <si>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</si>
  <si>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</si>
  <si>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</si>
  <si>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</si>
  <si>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</si>
  <si>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</si>
  <si>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</si>
  <si>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</si>
  <si>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</si>
  <si>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</si>
  <si>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</si>
  <si>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</si>
  <si>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</si>
  <si>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</si>
  <si>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</si>
  <si>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</si>
  <si>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</si>
  <si>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</si>
  <si>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</si>
  <si>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</si>
  <si>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</si>
  <si>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</si>
  <si>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</si>
  <si>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</si>
  <si>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</si>
  <si>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</si>
  <si>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</si>
  <si>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</si>
  <si>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</si>
  <si>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</si>
  <si>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</si>
  <si>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</si>
  <si>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</si>
  <si>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</si>
  <si>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</si>
  <si>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</si>
  <si>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</si>
  <si>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</si>
  <si>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</si>
  <si>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</si>
  <si>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</si>
  <si>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</si>
  <si>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</si>
  <si>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</si>
  <si>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</si>
  <si>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</si>
  <si>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</si>
  <si>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</si>
  <si>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</si>
  <si>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</si>
  <si>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</si>
  <si>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</si>
  <si>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</si>
  <si>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</si>
  <si>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</si>
  <si>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</si>
  <si>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</si>
  <si>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</si>
  <si>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</si>
  <si>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</si>
  <si>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</si>
  <si>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</si>
  <si>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</si>
  <si>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</si>
  <si>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</si>
  <si>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</si>
  <si>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</si>
  <si>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</si>
  <si>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</si>
  <si>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</si>
  <si>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</si>
  <si>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</si>
  <si>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</si>
  <si>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</si>
  <si>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</si>
  <si>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</si>
  <si>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</si>
  <si>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</si>
  <si>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</si>
  <si>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</si>
  <si>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</si>
  <si>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</si>
  <si>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</si>
  <si>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</si>
  <si>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</si>
  <si>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</si>
  <si>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</si>
  <si>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</si>
  <si>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</si>
  <si>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</si>
  <si>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</si>
  <si>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</si>
  <si>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</si>
  <si>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</si>
  <si>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</si>
  <si>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</si>
  <si>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</si>
  <si>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</si>
  <si>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</si>
  <si>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</si>
  <si>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</si>
  <si>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</si>
  <si>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</si>
  <si>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</si>
  <si>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</si>
  <si>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</si>
  <si>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</si>
  <si>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</si>
  <si>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</si>
  <si>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</si>
  <si>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</si>
  <si>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</si>
  <si>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</si>
  <si>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</si>
  <si>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</si>
  <si>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</si>
  <si>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</si>
  <si>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</si>
  <si>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</si>
  <si>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</si>
  <si>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</si>
  <si>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</si>
  <si>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</si>
  <si>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</si>
  <si>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</si>
  <si>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</si>
  <si>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</si>
  <si>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</si>
  <si>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</si>
  <si>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</si>
  <si>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</si>
  <si>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</si>
  <si>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</si>
  <si>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</si>
  <si>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</si>
  <si>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</si>
  <si>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</si>
  <si>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</si>
  <si>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</si>
  <si>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</si>
  <si>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</si>
  <si>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</si>
  <si>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</si>
  <si>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</si>
  <si>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</si>
  <si>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</si>
  <si>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</si>
  <si>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</si>
  <si>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</si>
  <si>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</si>
  <si>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</si>
  <si>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</si>
  <si>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</si>
  <si>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</si>
  <si>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</si>
  <si>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</si>
  <si>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</si>
  <si>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</si>
  <si>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</si>
  <si>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</si>
  <si>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</si>
  <si>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</si>
  <si>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</si>
  <si>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</si>
  <si>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</si>
  <si>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</si>
  <si>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</si>
  <si>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</si>
  <si>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</si>
  <si>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</si>
  <si>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</si>
  <si>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</si>
  <si>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</si>
  <si>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</si>
  <si>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</si>
  <si>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</si>
  <si>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</si>
  <si>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</si>
  <si>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</si>
  <si>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</si>
  <si>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</si>
  <si>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</si>
  <si>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</si>
  <si>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</si>
  <si>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</si>
  <si>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</si>
  <si>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</si>
  <si>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</si>
  <si>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</si>
  <si>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</si>
  <si>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</si>
  <si>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</si>
  <si>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</si>
  <si>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</si>
  <si>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</si>
  <si>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</si>
  <si>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</si>
  <si>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</si>
  <si>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</si>
  <si>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</si>
  <si>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</si>
  <si>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</si>
  <si>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</si>
  <si>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</si>
  <si>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</si>
  <si>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</si>
  <si>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</si>
  <si>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</si>
  <si>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</si>
  <si>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</si>
  <si>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</si>
  <si>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</si>
  <si>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</si>
  <si>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</si>
  <si>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</si>
  <si>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</si>
  <si>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</si>
  <si>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</si>
  <si>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</si>
  <si>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</si>
  <si>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</si>
  <si>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</si>
  <si>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</si>
  <si>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</si>
  <si>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</si>
  <si>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</si>
  <si>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</si>
  <si>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</si>
  <si>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</si>
  <si>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</si>
  <si>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</si>
  <si>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</si>
  <si>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</si>
  <si>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</si>
  <si>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</si>
  <si>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</si>
  <si>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</si>
  <si>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</si>
  <si>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</si>
  <si>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</si>
  <si>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</si>
  <si>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</si>
  <si>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</si>
  <si>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</si>
  <si>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</si>
  <si>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</si>
  <si>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</si>
  <si>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</si>
  <si>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</si>
  <si>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</si>
  <si>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</si>
  <si>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</si>
  <si>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</si>
  <si>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</si>
  <si>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</si>
  <si>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</si>
  <si>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</si>
  <si>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</si>
  <si>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</si>
  <si>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</si>
  <si>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</si>
  <si>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</si>
  <si>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</si>
  <si>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</si>
  <si>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</si>
  <si>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</si>
  <si>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</si>
  <si>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</si>
  <si>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</si>
  <si>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</si>
  <si>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</si>
  <si>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</si>
  <si>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</si>
  <si>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</si>
  <si>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</si>
  <si>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</si>
  <si>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</si>
  <si>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</si>
  <si>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</si>
  <si>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</si>
  <si>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</si>
  <si>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</si>
  <si>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</si>
  <si>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</si>
  <si>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</si>
  <si>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</si>
  <si>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</si>
  <si>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</si>
  <si>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</si>
  <si>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</si>
  <si>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</si>
  <si>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</si>
  <si>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</si>
  <si>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</si>
  <si>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</si>
  <si>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</si>
  <si>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</si>
  <si>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</si>
  <si>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</si>
  <si>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</si>
  <si>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</si>
  <si>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</si>
  <si>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</si>
  <si>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</si>
  <si>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</si>
  <si>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</si>
  <si>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</si>
  <si>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</si>
  <si>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</si>
  <si>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</si>
  <si>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</si>
  <si>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</si>
  <si>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</si>
  <si>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</si>
  <si>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</si>
  <si>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</si>
  <si>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</si>
  <si>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</si>
  <si>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</si>
  <si>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</si>
  <si>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</si>
  <si>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</si>
  <si>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</si>
  <si>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</si>
  <si>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</si>
  <si>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</si>
  <si>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</si>
  <si>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</si>
  <si>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</si>
  <si>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</si>
  <si>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</si>
  <si>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</si>
  <si>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</si>
  <si>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</si>
  <si>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</si>
  <si>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</si>
  <si>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</si>
  <si>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</si>
  <si>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</si>
  <si>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</si>
  <si>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</si>
  <si>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</si>
  <si>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</si>
  <si>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</si>
  <si>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</si>
  <si>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</si>
  <si>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</si>
  <si>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</si>
  <si>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</si>
  <si>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</si>
  <si>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</si>
  <si>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</si>
  <si>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</si>
  <si>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</si>
  <si>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</si>
  <si>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</si>
  <si>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</si>
  <si>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</si>
  <si>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</si>
  <si>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</si>
  <si>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</si>
  <si>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</si>
  <si>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</si>
  <si>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</si>
  <si>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</si>
  <si>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</si>
  <si>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</si>
  <si>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</si>
  <si>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</si>
  <si>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</si>
  <si>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</si>
  <si>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</si>
  <si>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</si>
  <si>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</si>
  <si>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</si>
  <si>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</si>
  <si>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</si>
  <si>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</si>
  <si>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</si>
  <si>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</si>
  <si>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</si>
  <si>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</si>
  <si>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</si>
  <si>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</si>
  <si>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</si>
  <si>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</si>
  <si>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</si>
  <si>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</si>
  <si>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</si>
  <si>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</si>
  <si>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</si>
  <si>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</si>
  <si>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</si>
  <si>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</si>
  <si>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</si>
  <si>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</si>
  <si>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</si>
  <si>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</si>
  <si>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</si>
  <si>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</si>
  <si>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</si>
  <si>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</si>
  <si>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</si>
  <si>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</si>
  <si>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</si>
  <si>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</si>
  <si>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</si>
  <si>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</si>
  <si>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</si>
  <si>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</si>
  <si>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</si>
  <si>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</si>
  <si>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</si>
  <si>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</si>
  <si>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</si>
  <si>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</si>
  <si>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</si>
  <si>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</si>
  <si>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</si>
  <si>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</si>
  <si>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</si>
  <si>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</si>
  <si>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</si>
  <si>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</si>
  <si>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</si>
  <si>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</si>
  <si>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</si>
  <si>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</si>
  <si>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</si>
  <si>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</si>
  <si>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</si>
  <si>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</si>
  <si>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</si>
  <si>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</si>
  <si>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</si>
  <si>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</si>
  <si>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</si>
  <si>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</si>
  <si>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</si>
  <si>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</si>
  <si>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</si>
  <si>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</si>
  <si>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</si>
  <si>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</si>
  <si>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</si>
  <si>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</si>
  <si>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</si>
  <si>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</si>
  <si>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</si>
  <si>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</si>
  <si>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</si>
  <si>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</si>
  <si>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</si>
  <si>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</si>
  <si>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</si>
  <si>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</si>
  <si>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</si>
  <si>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</si>
  <si>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</si>
  <si>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</si>
  <si>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</si>
  <si>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</si>
  <si>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</si>
  <si>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</si>
  <si>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</si>
  <si>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</si>
  <si>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</si>
  <si>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</si>
  <si>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</si>
  <si>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</si>
  <si>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</si>
  <si>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</si>
  <si>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</si>
  <si>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</si>
  <si>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</si>
  <si>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</si>
  <si>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</si>
  <si>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</si>
  <si>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</si>
  <si>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</si>
  <si>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</si>
  <si>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</si>
  <si>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</si>
  <si>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</si>
  <si>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</si>
  <si>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</si>
  <si>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</si>
  <si>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</si>
  <si>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</si>
  <si>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</si>
  <si>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</si>
  <si>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</si>
  <si>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</si>
  <si>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</si>
  <si>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</si>
  <si>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</si>
  <si>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</si>
  <si>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</si>
  <si>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</si>
  <si>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</si>
  <si>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</si>
  <si>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</si>
  <si>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</si>
  <si>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</si>
  <si>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</si>
  <si>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</si>
  <si>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</si>
  <si>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</si>
  <si>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</si>
  <si>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</si>
  <si>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</si>
  <si>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</si>
  <si>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</si>
  <si>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</si>
  <si>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</si>
  <si>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</si>
  <si>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</si>
  <si>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</si>
  <si>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</si>
  <si>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</si>
  <si>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</si>
  <si>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</si>
  <si>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</si>
  <si>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</si>
  <si>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</si>
  <si>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</si>
  <si>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</si>
  <si>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</si>
  <si>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</si>
  <si>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</si>
  <si>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</si>
  <si>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</si>
  <si>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</si>
  <si>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</si>
  <si>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</si>
  <si>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</si>
  <si>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</si>
  <si>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</si>
  <si>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</si>
  <si>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</si>
  <si>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</si>
  <si>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</si>
  <si>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</si>
  <si>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</si>
  <si>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</si>
  <si>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</si>
  <si>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</si>
  <si>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</si>
  <si>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</si>
  <si>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</si>
  <si>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</si>
  <si>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</si>
  <si>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</si>
  <si>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</si>
  <si>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</si>
  <si>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</si>
  <si>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</si>
  <si>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</si>
  <si>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</si>
  <si>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</si>
  <si>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</si>
  <si>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</si>
  <si>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</si>
  <si>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</si>
  <si>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</si>
  <si>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</si>
  <si>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</si>
  <si>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</si>
  <si>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</si>
  <si>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</si>
  <si>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</si>
  <si>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</si>
  <si>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</si>
  <si>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</si>
  <si>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</si>
  <si>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</si>
  <si>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</si>
  <si>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</si>
  <si>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</si>
  <si>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</si>
  <si>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</si>
  <si>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</si>
  <si>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</si>
  <si>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</si>
  <si>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</si>
  <si>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</si>
  <si>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</si>
  <si>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</si>
  <si>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</si>
  <si>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</si>
  <si>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</si>
  <si>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</si>
  <si>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</si>
  <si>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</si>
  <si>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</si>
  <si>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</si>
  <si>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</si>
  <si>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</si>
  <si>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</si>
  <si>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</si>
  <si>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</si>
  <si>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</si>
  <si>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</si>
  <si>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</si>
  <si>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</si>
  <si>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</si>
  <si>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</si>
  <si>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</si>
  <si>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</si>
  <si>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</si>
  <si>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</si>
  <si>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</si>
  <si>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</si>
  <si>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</si>
  <si>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</si>
  <si>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</si>
  <si>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</si>
  <si>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</si>
  <si>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</si>
  <si>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</si>
  <si>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</si>
  <si>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</si>
  <si>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</si>
  <si>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</si>
  <si>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</si>
  <si>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</si>
  <si>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</si>
  <si>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</si>
  <si>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</si>
  <si>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</si>
  <si>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</si>
  <si>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</si>
  <si>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</si>
  <si>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</si>
  <si>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</si>
  <si>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</si>
  <si>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</si>
  <si>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</si>
  <si>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</si>
  <si>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</si>
  <si>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</si>
  <si>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</si>
  <si>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</si>
  <si>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</si>
  <si>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</si>
  <si>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</si>
  <si>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</si>
  <si>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</si>
  <si>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</si>
  <si>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</si>
  <si>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</si>
  <si>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</si>
  <si>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</si>
  <si>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</si>
  <si>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</si>
  <si>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</si>
  <si>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</si>
  <si>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</si>
  <si>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</si>
  <si>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</si>
  <si>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</si>
  <si>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</si>
  <si>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</si>
  <si>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</si>
  <si>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</si>
  <si>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</si>
  <si>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</si>
  <si>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</si>
  <si>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</si>
  <si>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</si>
  <si>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</si>
  <si>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</si>
  <si>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</si>
  <si>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</si>
  <si>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</si>
  <si>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</si>
  <si>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</si>
  <si>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</si>
  <si>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</si>
  <si>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</si>
  <si>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</si>
  <si>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</si>
  <si>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</si>
  <si>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</si>
  <si>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</si>
  <si>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</si>
  <si>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</si>
  <si>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</si>
  <si>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</si>
  <si>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</si>
  <si>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</si>
  <si>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</si>
  <si>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</si>
  <si>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</si>
  <si>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</si>
  <si>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</si>
  <si>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</si>
  <si>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</si>
  <si>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</si>
  <si>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</si>
  <si>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</si>
  <si>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</si>
  <si>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</si>
  <si>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</si>
  <si>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</si>
  <si>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</si>
  <si>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</si>
  <si>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</si>
  <si>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</si>
  <si>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</si>
  <si>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</si>
  <si>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</si>
  <si>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</si>
  <si>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</si>
  <si>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</si>
  <si>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</si>
  <si>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</si>
  <si>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</si>
  <si>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</si>
  <si>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</si>
  <si>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</si>
  <si>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</si>
  <si>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</si>
  <si>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</si>
  <si>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</si>
  <si>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</si>
  <si>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</si>
  <si>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</si>
  <si>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</si>
  <si>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</si>
  <si>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</si>
  <si>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</si>
  <si>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</si>
  <si>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</si>
  <si>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</si>
  <si>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</si>
  <si>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</si>
  <si>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</si>
  <si>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</si>
  <si>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</si>
  <si>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</si>
  <si>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</si>
  <si>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</si>
  <si>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</si>
  <si>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</si>
  <si>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</si>
  <si>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</si>
  <si>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</si>
  <si>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</si>
  <si>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</si>
  <si>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</si>
  <si>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</si>
  <si>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</si>
  <si>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</si>
  <si>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</si>
  <si>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</si>
  <si>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</si>
  <si>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</si>
  <si>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</si>
  <si>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</si>
  <si>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</si>
  <si>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</si>
  <si>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</si>
  <si>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</si>
  <si>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</si>
  <si>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</si>
  <si>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</si>
  <si>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</si>
  <si>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</si>
  <si>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</si>
  <si>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</si>
  <si>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</si>
  <si>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</si>
  <si>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</si>
  <si>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</si>
  <si>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</si>
  <si>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</si>
  <si>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</si>
  <si>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</si>
  <si>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</si>
  <si>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</si>
  <si>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</si>
  <si>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</si>
  <si>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</si>
  <si>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</si>
  <si>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</si>
  <si>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</si>
  <si>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</si>
  <si>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</si>
  <si>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</si>
  <si>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</si>
  <si>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</si>
  <si>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</si>
  <si>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</si>
  <si>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</si>
  <si>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</si>
  <si>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</si>
  <si>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</si>
  <si>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</si>
  <si>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</si>
  <si>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</si>
  <si>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</si>
  <si>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</si>
  <si>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</si>
  <si>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</si>
  <si>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</si>
  <si>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</si>
  <si>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</si>
  <si>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</si>
  <si>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</si>
  <si>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</si>
  <si>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</si>
  <si>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</si>
  <si>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</si>
  <si>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</si>
  <si>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</si>
  <si>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</si>
  <si>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</si>
  <si>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</si>
  <si>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</si>
  <si>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</si>
  <si>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</si>
  <si>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</si>
  <si>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</si>
  <si>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</si>
  <si>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</si>
  <si>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</si>
  <si>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</si>
  <si>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</si>
  <si>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</si>
  <si>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</si>
  <si>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</si>
  <si>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</si>
  <si>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</si>
  <si>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</si>
  <si>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</si>
  <si>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</si>
  <si>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</si>
  <si>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</si>
  <si>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</si>
  <si>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</si>
  <si>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</si>
  <si>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</si>
  <si>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</si>
  <si>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</si>
  <si>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</si>
  <si>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</si>
  <si>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</si>
  <si>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</si>
  <si>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</si>
  <si>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</si>
  <si>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</si>
  <si>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</si>
  <si>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</si>
  <si>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</si>
  <si>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</si>
  <si>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</si>
  <si>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</si>
  <si>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</si>
  <si>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</si>
  <si>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</si>
  <si>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</si>
  <si>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</si>
  <si>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</si>
  <si>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</si>
  <si>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</si>
  <si>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</si>
  <si>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</si>
  <si>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</si>
  <si>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</si>
  <si>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</si>
  <si>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</si>
  <si>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</si>
  <si>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</si>
  <si>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</si>
  <si>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</si>
  <si>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</si>
  <si>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</si>
  <si>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</si>
  <si>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</si>
  <si>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</si>
  <si>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</si>
  <si>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</si>
  <si>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</si>
  <si>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</si>
  <si>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</si>
  <si>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</si>
  <si>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</si>
  <si>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</si>
  <si>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</si>
  <si>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</si>
  <si>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</si>
  <si>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</si>
  <si>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</si>
  <si>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</si>
  <si>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</si>
  <si>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</si>
  <si>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</si>
  <si>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</si>
  <si>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</si>
  <si>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</si>
  <si>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</si>
  <si>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</si>
  <si>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</si>
  <si>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</si>
  <si>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</si>
  <si>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</si>
  <si>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</si>
  <si>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</si>
  <si>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</si>
  <si>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</si>
  <si>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</si>
  <si>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</si>
  <si>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</si>
  <si>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</si>
  <si>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</si>
  <si>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</si>
  <si>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</si>
  <si>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</si>
  <si>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</si>
  <si>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</si>
  <si>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</si>
  <si>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</si>
  <si>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</si>
  <si>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</si>
  <si>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</si>
  <si>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</si>
  <si>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</si>
  <si>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</si>
  <si>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</si>
  <si>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</si>
  <si>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</si>
  <si>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</si>
  <si>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</si>
  <si>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</si>
  <si>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</si>
  <si>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</si>
  <si>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</si>
  <si>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</si>
  <si>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</si>
  <si>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</si>
  <si>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</si>
  <si>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</si>
  <si>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</si>
  <si>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</si>
  <si>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</si>
  <si>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</si>
  <si>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</si>
  <si>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</si>
  <si>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</si>
  <si>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</si>
  <si>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</si>
  <si>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</si>
  <si>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</si>
  <si>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</si>
  <si>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</si>
  <si>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</si>
  <si>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</si>
  <si>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</si>
  <si>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</si>
  <si>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</si>
  <si>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</si>
  <si>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</si>
  <si>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</si>
  <si>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</si>
  <si>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</si>
  <si>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</si>
  <si>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</si>
  <si>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</si>
  <si>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</si>
  <si>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</si>
  <si>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</si>
  <si>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</si>
  <si>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</si>
  <si>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</si>
  <si>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</si>
  <si>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</si>
  <si>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</si>
  <si>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</si>
  <si>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</si>
  <si>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</si>
  <si>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</si>
  <si>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</si>
  <si>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</si>
  <si>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</si>
  <si>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</si>
  <si>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</si>
  <si>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</si>
  <si>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</si>
  <si>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</si>
  <si>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</si>
  <si>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</si>
  <si>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</si>
  <si>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</si>
  <si>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</si>
  <si>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</si>
  <si>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</si>
  <si>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</si>
  <si>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</si>
  <si>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</si>
  <si>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</si>
  <si>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</si>
  <si>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</si>
  <si>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</si>
  <si>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</si>
  <si>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</si>
  <si>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</si>
  <si>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</si>
  <si>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</si>
  <si>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</si>
  <si>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</si>
  <si>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</si>
  <si>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</si>
  <si>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</si>
  <si>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</si>
  <si>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</si>
  <si>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</si>
  <si>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</si>
  <si>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</si>
  <si>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</si>
  <si>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</si>
  <si>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</si>
  <si>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</si>
  <si>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</si>
  <si>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</si>
  <si>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</si>
  <si>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</si>
  <si>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</si>
  <si>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</si>
  <si>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</si>
  <si>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</si>
  <si>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</si>
  <si>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</si>
  <si>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</si>
  <si>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</si>
  <si>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</si>
  <si>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</si>
  <si>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</si>
  <si>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</si>
  <si>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</si>
  <si>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</si>
  <si>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</si>
  <si>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</si>
  <si>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</si>
  <si>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</si>
  <si>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</si>
  <si>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</si>
  <si>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</si>
  <si>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</si>
  <si>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</si>
  <si>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</si>
  <si>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</si>
  <si>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</si>
  <si>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</si>
  <si>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</si>
  <si>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</si>
  <si>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</si>
  <si>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</si>
  <si>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</si>
  <si>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</si>
  <si>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</si>
  <si>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</si>
  <si>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</si>
  <si>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</si>
  <si>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</si>
  <si>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</si>
  <si>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</si>
  <si>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</si>
  <si>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</si>
  <si>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</si>
  <si>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</si>
  <si>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</si>
  <si>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</si>
  <si>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</si>
  <si>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</si>
  <si>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</si>
  <si>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</si>
  <si>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</si>
  <si>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</si>
  <si>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</si>
  <si>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</si>
  <si>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</si>
  <si>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</si>
  <si>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</si>
  <si>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</si>
  <si>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</si>
  <si>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</si>
  <si>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</si>
  <si>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</si>
  <si>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</si>
  <si>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</si>
  <si>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</si>
  <si>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</si>
  <si>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</si>
  <si>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</si>
  <si>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</si>
  <si>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</si>
  <si>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</si>
  <si>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</si>
  <si>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</si>
  <si>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</si>
  <si>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</si>
  <si>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</si>
  <si>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</si>
  <si>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</si>
  <si>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</si>
  <si>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</si>
  <si>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</si>
  <si>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</si>
  <si>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</si>
  <si>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</si>
  <si>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</si>
  <si>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</si>
  <si>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</si>
  <si>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</si>
  <si>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</si>
  <si>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</si>
  <si>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</si>
  <si>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</si>
  <si>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</si>
  <si>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</si>
  <si>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</si>
  <si>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</si>
  <si>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</si>
  <si>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</si>
  <si>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</si>
  <si>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</si>
  <si>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</si>
  <si>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</si>
  <si>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</si>
  <si>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</si>
  <si>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</si>
  <si>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</si>
  <si>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</si>
  <si>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</si>
  <si>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</si>
  <si>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</si>
  <si>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</si>
  <si>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</si>
  <si>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</si>
  <si>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</si>
  <si>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</si>
  <si>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</si>
  <si>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</si>
  <si>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</si>
  <si>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</si>
  <si>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</si>
  <si>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</si>
  <si>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</si>
  <si>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</si>
  <si>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</si>
  <si>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</si>
  <si>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</si>
  <si>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</si>
  <si>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</si>
  <si>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</si>
  <si>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</si>
  <si>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</si>
  <si>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</si>
  <si>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</si>
  <si>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</si>
  <si>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</si>
  <si>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</si>
  <si>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</si>
  <si>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</si>
  <si>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</si>
  <si>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</si>
  <si>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</si>
  <si>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</si>
  <si>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</si>
  <si>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</si>
  <si>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</si>
  <si>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</si>
  <si>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</si>
  <si>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</si>
  <si>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</si>
  <si>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</si>
  <si>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</si>
  <si>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</si>
  <si>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</si>
  <si>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</si>
  <si>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</si>
  <si>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</si>
  <si>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</si>
  <si>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</si>
  <si>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</si>
  <si>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</si>
  <si>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</si>
  <si>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</si>
  <si>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</si>
  <si>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</si>
  <si>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</si>
  <si>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</si>
  <si>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</si>
  <si>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</si>
  <si>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</si>
  <si>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</si>
  <si>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</si>
  <si>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</si>
  <si>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</si>
  <si>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</si>
  <si>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</si>
  <si>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</si>
  <si>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</si>
  <si>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</si>
  <si>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</si>
  <si>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</si>
  <si>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</si>
  <si>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</si>
  <si>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</si>
  <si>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</si>
  <si>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</si>
  <si>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</si>
  <si>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</si>
  <si>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</si>
  <si>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</si>
  <si>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</si>
  <si>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</si>
  <si>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</si>
  <si>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</si>
  <si>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</si>
  <si>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</si>
  <si>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</si>
  <si>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</si>
  <si>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</si>
  <si>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</si>
  <si>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</si>
  <si>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</si>
  <si>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</si>
  <si>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</si>
  <si>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</si>
  <si>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</si>
  <si>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</si>
  <si>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</si>
  <si>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</si>
  <si>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</si>
  <si>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</si>
  <si>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</si>
  <si>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</si>
  <si>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</si>
  <si>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</si>
  <si>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</si>
  <si>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</si>
  <si>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</si>
  <si>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</si>
  <si>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</si>
  <si>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</si>
  <si>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</si>
  <si>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</si>
  <si>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</si>
  <si>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</si>
  <si>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</si>
  <si>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</si>
  <si>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</si>
  <si>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</si>
  <si>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</si>
  <si>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</si>
  <si>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</si>
  <si>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</si>
  <si>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</si>
  <si>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</si>
  <si>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</si>
  <si>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</si>
  <si>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</si>
  <si>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</si>
  <si>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</si>
  <si>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</si>
  <si>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</si>
  <si>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</si>
  <si>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</si>
  <si>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</si>
  <si>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</si>
  <si>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</si>
  <si>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</si>
  <si>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</si>
  <si>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</si>
  <si>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</si>
  <si>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</si>
  <si>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</si>
  <si>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</si>
  <si>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</si>
  <si>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</si>
  <si>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</si>
  <si>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</si>
  <si>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</si>
  <si>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</si>
  <si>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</si>
  <si>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</si>
  <si>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</si>
  <si>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</si>
  <si>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</si>
  <si>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</si>
  <si>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</si>
  <si>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</si>
  <si>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</si>
  <si>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</si>
  <si>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</si>
  <si>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</si>
  <si>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</si>
  <si>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</si>
  <si>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</si>
  <si>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</si>
  <si>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</si>
  <si>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</si>
  <si>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</si>
  <si>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</si>
  <si>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</si>
  <si>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</si>
  <si>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</si>
  <si>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</si>
  <si>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</si>
  <si>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</si>
  <si>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</si>
  <si>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</si>
  <si>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</si>
  <si>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</si>
  <si>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</si>
  <si>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</si>
  <si>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</si>
  <si>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</si>
  <si>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</si>
  <si>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</si>
  <si>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</si>
  <si>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</si>
  <si>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</si>
  <si>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</si>
  <si>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</si>
  <si>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</si>
  <si>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</si>
  <si>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</si>
  <si>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</si>
  <si>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</si>
  <si>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</si>
  <si>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</si>
  <si>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</si>
  <si>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</si>
  <si>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</si>
  <si>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</si>
  <si>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</si>
  <si>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</si>
  <si>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</si>
  <si>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</si>
  <si>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</si>
  <si>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</si>
  <si>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</si>
  <si>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</si>
  <si>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</si>
  <si>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</si>
  <si>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</si>
  <si>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</si>
  <si>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</si>
  <si>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</si>
  <si>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</si>
  <si>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</si>
  <si>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</si>
  <si>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</si>
  <si>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</si>
  <si>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</si>
  <si>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</si>
  <si>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</si>
  <si>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</si>
  <si>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</si>
  <si>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</si>
  <si>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</si>
  <si>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</si>
  <si>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</si>
  <si>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</si>
  <si>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</si>
  <si>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</si>
  <si>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</si>
  <si>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</si>
  <si>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</si>
  <si>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</si>
  <si>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</si>
  <si>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</si>
  <si>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</si>
  <si>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</si>
  <si>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</si>
  <si>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</si>
  <si>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</si>
  <si>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</si>
  <si>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</si>
  <si>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</si>
  <si>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</si>
  <si>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</si>
  <si>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</si>
  <si>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</si>
  <si>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</si>
  <si>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</si>
  <si>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</si>
  <si>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</si>
  <si>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</si>
  <si>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</si>
  <si>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</si>
  <si>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</si>
  <si>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</si>
  <si>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</si>
  <si>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</si>
  <si>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</si>
  <si>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</si>
  <si>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</si>
  <si>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</si>
  <si>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</si>
  <si>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</si>
  <si>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</si>
  <si>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</si>
  <si>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</si>
  <si>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</si>
  <si>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</si>
  <si>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</si>
  <si>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</si>
  <si>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</si>
  <si>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</si>
  <si>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</si>
  <si>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</si>
  <si>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</si>
  <si>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</si>
  <si>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</si>
  <si>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</si>
  <si>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</si>
  <si>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</si>
  <si>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</si>
  <si>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</si>
  <si>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</si>
  <si>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</si>
  <si>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</si>
  <si>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</si>
  <si>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</si>
  <si>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</si>
  <si>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</si>
  <si>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</si>
  <si>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</si>
  <si>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</si>
  <si>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</si>
  <si>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</si>
  <si>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</si>
  <si>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</si>
  <si>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</si>
  <si>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</si>
  <si>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</si>
  <si>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</si>
  <si>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</si>
  <si>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</si>
  <si>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</si>
  <si>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</si>
  <si>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</si>
  <si>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</si>
  <si>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</si>
  <si>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</si>
  <si>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</si>
  <si>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</si>
  <si>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</si>
  <si>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</si>
  <si>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</si>
  <si>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</si>
  <si>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</si>
  <si>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</si>
  <si>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</si>
  <si>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</si>
  <si>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</si>
  <si>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</si>
  <si>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</si>
  <si>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</si>
  <si>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</si>
  <si>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</si>
  <si>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</si>
  <si>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</si>
  <si>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</si>
  <si>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</si>
  <si>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</si>
  <si>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</si>
  <si>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</si>
  <si>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</si>
  <si>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</si>
  <si>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</si>
  <si>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</si>
  <si>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</si>
  <si>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</si>
  <si>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</si>
  <si>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</si>
  <si>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</si>
  <si>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</si>
  <si>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</si>
  <si>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</si>
  <si>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</si>
  <si>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</si>
  <si>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</si>
  <si>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</si>
  <si>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</si>
  <si>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</si>
  <si>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</si>
  <si>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</si>
  <si>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</si>
  <si>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</si>
  <si>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</si>
  <si>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</si>
  <si>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</si>
  <si>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</si>
  <si>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</si>
  <si>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</si>
  <si>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</si>
  <si>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</si>
  <si>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</si>
  <si>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</si>
  <si>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</si>
  <si>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</si>
  <si>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</si>
  <si>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</si>
  <si>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</si>
  <si>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</si>
  <si>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</si>
  <si>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</si>
  <si>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</si>
  <si>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</si>
  <si>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</si>
  <si>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</si>
  <si>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</si>
  <si>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</si>
  <si>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</si>
  <si>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</si>
  <si>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</si>
  <si>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</si>
  <si>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</si>
  <si>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</si>
  <si>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</si>
  <si>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</si>
  <si>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</si>
  <si>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</si>
  <si>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</si>
  <si>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</si>
  <si>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</si>
  <si>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</si>
  <si>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</si>
  <si>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</si>
  <si>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</si>
  <si>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</si>
  <si>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</si>
  <si>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</si>
  <si>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</si>
  <si>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</si>
  <si>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</si>
  <si>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</si>
  <si>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</si>
  <si>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</si>
  <si>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</si>
  <si>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</si>
  <si>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</si>
  <si>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</si>
  <si>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</si>
  <si>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</si>
  <si>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</si>
  <si>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</si>
  <si>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</si>
  <si>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</si>
  <si>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</si>
  <si>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</si>
  <si>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</si>
  <si>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</si>
  <si>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</si>
  <si>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</si>
  <si>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</si>
  <si>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</si>
  <si>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</si>
  <si>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</si>
  <si>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</si>
  <si>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</si>
  <si>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</si>
  <si>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</si>
  <si>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</si>
  <si>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</si>
  <si>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</si>
  <si>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</si>
  <si>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</si>
  <si>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</si>
  <si>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</si>
  <si>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</si>
  <si>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</si>
  <si>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</si>
  <si>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</si>
  <si>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</si>
  <si>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</si>
  <si>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</si>
  <si>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</si>
  <si>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</si>
  <si>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</si>
  <si>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</si>
  <si>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</si>
  <si>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</si>
  <si>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</si>
  <si>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</si>
  <si>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</si>
  <si>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</si>
  <si>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</si>
  <si>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</si>
  <si>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</si>
  <si>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</si>
  <si>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</si>
  <si>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</si>
  <si>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</si>
  <si>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</si>
  <si>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</si>
  <si>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</si>
  <si>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</si>
  <si>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</si>
  <si>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</si>
  <si>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</si>
  <si>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</si>
  <si>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</si>
  <si>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</si>
  <si>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</si>
  <si>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</si>
  <si>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</si>
  <si>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</si>
  <si>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</si>
  <si>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</si>
  <si>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</si>
  <si>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</si>
  <si>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</si>
  <si>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</si>
  <si>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</si>
  <si>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</si>
  <si>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</si>
  <si>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</si>
  <si>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</si>
  <si>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</si>
  <si>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</si>
  <si>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</si>
  <si>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</si>
  <si>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</si>
  <si>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</si>
  <si>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</si>
  <si>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</si>
  <si>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</si>
  <si>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</si>
  <si>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</si>
  <si>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</si>
  <si>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</si>
  <si>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</si>
  <si>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</si>
  <si>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</si>
  <si>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</si>
  <si>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</si>
  <si>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</si>
  <si>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</si>
  <si>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</si>
  <si>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</si>
  <si>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</si>
  <si>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</si>
  <si>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</si>
  <si>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</si>
  <si>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</si>
  <si>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</si>
  <si>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</si>
  <si>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</si>
  <si>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</si>
  <si>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</si>
  <si>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</si>
  <si>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</si>
  <si>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</si>
  <si>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</si>
  <si>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</si>
  <si>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</si>
  <si>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</si>
  <si>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</si>
  <si>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</si>
  <si>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</si>
  <si>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</si>
  <si>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</si>
  <si>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</si>
  <si>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</si>
  <si>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</si>
  <si>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</si>
  <si>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</si>
  <si>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</si>
  <si>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</si>
  <si>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</si>
  <si>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</si>
  <si>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</si>
  <si>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</si>
  <si>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</si>
  <si>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</si>
  <si>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</si>
  <si>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</si>
  <si>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</si>
  <si>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</si>
  <si>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</si>
  <si>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</si>
  <si>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</si>
  <si>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</si>
  <si>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</si>
  <si>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</si>
  <si>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</si>
  <si>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</si>
  <si>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</si>
  <si>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</si>
  <si>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</si>
  <si>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</si>
  <si>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</si>
  <si>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</si>
  <si>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</si>
  <si>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</si>
  <si>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</si>
  <si>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</si>
  <si>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</si>
  <si>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</si>
  <si>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</si>
  <si>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</si>
  <si>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</si>
  <si>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</si>
  <si>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</si>
  <si>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</si>
  <si>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</si>
  <si>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</si>
  <si>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</si>
  <si>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</si>
  <si>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</si>
  <si>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</si>
  <si>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</si>
  <si>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</si>
  <si>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</si>
  <si>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</si>
  <si>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</si>
  <si>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</si>
  <si>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</si>
  <si>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</si>
  <si>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</si>
  <si>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</si>
  <si>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</si>
  <si>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</si>
  <si>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</si>
  <si>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</si>
  <si>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</si>
  <si>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</si>
  <si>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</si>
  <si>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</si>
  <si>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</si>
  <si>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</si>
  <si>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</si>
  <si>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</si>
  <si>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</si>
  <si>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</si>
  <si>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</si>
  <si>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</si>
  <si>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</si>
  <si>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</si>
  <si>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</si>
  <si>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</si>
  <si>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</si>
  <si>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</si>
  <si>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</si>
  <si>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</si>
  <si>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</si>
  <si>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</si>
  <si>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</si>
  <si>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</si>
  <si>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</si>
  <si>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</si>
  <si>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</si>
  <si>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</si>
  <si>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</si>
  <si>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</si>
  <si>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</si>
  <si>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</si>
  <si>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</si>
  <si>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</si>
  <si>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</si>
  <si>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</si>
  <si>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</si>
  <si>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</si>
  <si>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</si>
  <si>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</si>
  <si>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</si>
  <si>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</si>
  <si>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</si>
  <si>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</si>
  <si>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</si>
  <si>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</si>
  <si>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</si>
  <si>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</si>
  <si>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</si>
  <si>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</si>
  <si>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</si>
  <si>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</si>
  <si>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</si>
  <si>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</si>
  <si>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</si>
  <si>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</si>
  <si>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</si>
  <si>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</si>
  <si>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</si>
  <si>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</si>
  <si>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</si>
  <si>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</si>
  <si>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</si>
  <si>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</si>
  <si>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</si>
  <si>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</si>
  <si>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</si>
  <si>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</si>
  <si>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</si>
  <si>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</si>
  <si>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</si>
  <si>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</si>
  <si>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</si>
  <si>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</si>
  <si>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</si>
  <si>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</si>
  <si>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</si>
  <si>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</si>
  <si>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</si>
  <si>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</si>
  <si>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</si>
  <si>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</si>
  <si>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</si>
  <si>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</si>
  <si>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</si>
  <si>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</si>
  <si>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</si>
  <si>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</si>
  <si>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</si>
  <si>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</si>
  <si>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</si>
  <si>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</si>
  <si>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</si>
  <si>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</si>
  <si>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</si>
  <si>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</si>
  <si>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</si>
  <si>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</si>
  <si>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</si>
  <si>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</si>
  <si>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</si>
  <si>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</si>
  <si>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</si>
  <si>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</si>
  <si>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</si>
  <si>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</si>
  <si>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</si>
  <si>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</si>
  <si>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</si>
  <si>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</si>
  <si>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</si>
  <si>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</si>
  <si>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</si>
  <si>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</si>
  <si>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</si>
  <si>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</si>
  <si>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</si>
  <si>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</si>
  <si>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</si>
  <si>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</si>
  <si>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</si>
  <si>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</si>
  <si>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</si>
  <si>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</si>
  <si>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</si>
  <si>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</si>
  <si>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</si>
  <si>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</si>
  <si>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</si>
  <si>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</si>
  <si>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</si>
  <si>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</si>
  <si>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</si>
  <si>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</si>
  <si>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</si>
  <si>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</si>
  <si>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</si>
  <si>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</si>
  <si>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</si>
  <si>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</si>
  <si>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</si>
  <si>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</si>
  <si>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</si>
  <si>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</si>
  <si>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</si>
  <si>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</si>
  <si>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</si>
  <si>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</si>
  <si>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</si>
  <si>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</si>
  <si>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</si>
  <si>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</si>
  <si>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</si>
  <si>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</si>
  <si>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</si>
  <si>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</si>
  <si>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</si>
  <si>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</si>
  <si>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</si>
  <si>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</si>
  <si>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</si>
  <si>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</si>
  <si>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</si>
  <si>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</si>
  <si>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</si>
  <si>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</si>
  <si>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</si>
  <si>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</si>
  <si>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</si>
  <si>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</si>
  <si>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</si>
  <si>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</si>
  <si>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</si>
  <si>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</si>
  <si>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</si>
  <si>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</si>
  <si>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</si>
  <si>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</si>
  <si>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</si>
  <si>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</si>
  <si>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</si>
  <si>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</si>
  <si>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</si>
  <si>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</si>
  <si>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</si>
  <si>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</si>
  <si>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</si>
  <si>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</si>
  <si>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</si>
  <si>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</si>
  <si>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</si>
  <si>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</si>
  <si>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</si>
  <si>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</si>
  <si>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</si>
  <si>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</si>
  <si>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</si>
  <si>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</si>
  <si>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</si>
  <si>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</si>
  <si>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</si>
  <si>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</si>
  <si>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</si>
  <si>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</si>
  <si>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</si>
  <si>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</si>
  <si>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</si>
  <si>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</si>
  <si>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</si>
  <si>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</si>
  <si>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</si>
  <si>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</si>
  <si>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</si>
  <si>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</si>
  <si>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</si>
  <si>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</si>
  <si>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</si>
  <si>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</si>
  <si>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</si>
  <si>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</si>
  <si>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</si>
  <si>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</si>
  <si>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</si>
  <si>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</si>
  <si>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</si>
  <si>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</si>
  <si>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</si>
  <si>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</si>
  <si>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</si>
  <si>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</si>
  <si>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</si>
  <si>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</si>
  <si>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</si>
  <si>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</si>
  <si>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</si>
  <si>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</si>
  <si>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</si>
  <si>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</si>
  <si>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</si>
  <si>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</si>
  <si>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</si>
  <si>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</si>
  <si>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</si>
  <si>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</si>
  <si>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</si>
  <si>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</si>
  <si>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</si>
  <si>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</si>
  <si>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</si>
  <si>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</si>
  <si>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</si>
  <si>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</si>
  <si>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</si>
  <si>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</si>
  <si>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</si>
  <si>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</si>
  <si>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</si>
  <si>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</si>
  <si>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</si>
  <si>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</si>
  <si>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</si>
  <si>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</si>
  <si>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</si>
  <si>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</si>
  <si>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</si>
  <si>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</si>
  <si>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</si>
  <si>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</si>
  <si>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</si>
  <si>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</si>
  <si>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</si>
  <si>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</si>
  <si>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</si>
  <si>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</si>
  <si>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</si>
  <si>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</si>
  <si>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</si>
  <si>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</si>
  <si>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</si>
  <si>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</si>
  <si>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</si>
  <si>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</si>
  <si>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</si>
  <si>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</si>
  <si>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</si>
  <si>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</si>
  <si>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</si>
  <si>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</si>
  <si>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</si>
  <si>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</si>
  <si>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</si>
  <si>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</si>
  <si>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</si>
  <si>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</si>
  <si>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</si>
  <si>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</si>
  <si>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</si>
  <si>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</si>
  <si>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</si>
  <si>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</si>
  <si>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</si>
  <si>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</si>
  <si>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</si>
  <si>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</si>
  <si>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</si>
  <si>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</si>
  <si>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</si>
  <si>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</si>
  <si>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</si>
  <si>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</si>
  <si>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</si>
  <si>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</si>
  <si>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</si>
  <si>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</si>
  <si>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</si>
  <si>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</si>
  <si>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</si>
  <si>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</si>
  <si>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</si>
  <si>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</si>
  <si>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</si>
  <si>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</si>
  <si>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</si>
  <si>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</si>
  <si>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</si>
  <si>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</si>
  <si>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</si>
  <si>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</si>
  <si>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</si>
  <si>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</si>
  <si>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</si>
  <si>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</si>
  <si>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</si>
  <si>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</si>
  <si>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</si>
  <si>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</si>
  <si>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</si>
  <si>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</si>
  <si>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</si>
  <si>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</si>
  <si>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</si>
  <si>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</si>
  <si>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</si>
  <si>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</si>
  <si>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</si>
  <si>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</si>
  <si>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</si>
  <si>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</si>
  <si>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</si>
  <si>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</si>
  <si>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</si>
  <si>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</si>
  <si>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</si>
  <si>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</si>
  <si>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</si>
  <si>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</si>
  <si>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</si>
  <si>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</si>
  <si>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</si>
  <si>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</si>
  <si>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</si>
  <si>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</si>
  <si>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</si>
  <si>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</si>
  <si>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</si>
  <si>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</si>
  <si>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</si>
  <si>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</si>
  <si>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</si>
  <si>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</si>
  <si>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</si>
  <si>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</si>
  <si>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</si>
  <si>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</si>
  <si>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</si>
  <si>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</si>
  <si>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</si>
  <si>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</si>
  <si>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</si>
  <si>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</si>
  <si>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</si>
  <si>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</si>
  <si>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</si>
  <si>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</si>
  <si>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</si>
  <si>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</si>
  <si>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</si>
  <si>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</si>
  <si>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</si>
  <si>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</si>
  <si>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</si>
  <si>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</si>
  <si>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</si>
  <si>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</si>
  <si>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</si>
  <si>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</si>
  <si>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</si>
  <si>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</si>
  <si>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</si>
  <si>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</si>
  <si>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</si>
  <si>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</si>
  <si>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</si>
  <si>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</si>
  <si>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</si>
  <si>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</si>
  <si>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</si>
  <si>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</si>
  <si>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</si>
  <si>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</si>
  <si>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</si>
  <si>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</si>
  <si>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</si>
  <si>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</si>
  <si>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</si>
  <si>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</si>
  <si>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</si>
  <si>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</si>
  <si>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</si>
  <si>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</si>
  <si>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</si>
  <si>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</si>
  <si>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</si>
  <si>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</si>
  <si>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</si>
  <si>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</si>
  <si>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</si>
  <si>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</si>
  <si>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</si>
  <si>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</si>
  <si>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</si>
  <si>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</si>
  <si>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</si>
  <si>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</si>
  <si>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</si>
  <si>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</si>
  <si>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</si>
  <si>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</si>
  <si>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</si>
  <si>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</si>
  <si>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</si>
  <si>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</si>
  <si>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</si>
  <si>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</si>
  <si>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</si>
  <si>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</si>
  <si>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</si>
  <si>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</si>
  <si>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</si>
  <si>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</si>
  <si>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</si>
  <si>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</si>
  <si>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</si>
  <si>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</si>
  <si>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</si>
  <si>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</si>
  <si>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</si>
  <si>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</si>
  <si>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</si>
  <si>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</si>
  <si>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</si>
  <si>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</si>
  <si>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</si>
  <si>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</si>
  <si>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</si>
  <si>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</si>
  <si>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</si>
  <si>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</si>
  <si>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</si>
  <si>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</si>
  <si>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</si>
  <si>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</si>
  <si>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</si>
  <si>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</si>
  <si>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</si>
  <si>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</si>
  <si>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</si>
  <si>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</si>
  <si>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</si>
  <si>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</si>
  <si>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</si>
  <si>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</si>
  <si>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</si>
  <si>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</si>
  <si>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</si>
  <si>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</si>
  <si>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</si>
  <si>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</si>
  <si>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</si>
  <si>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</si>
  <si>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</si>
  <si>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</si>
  <si>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</si>
  <si>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</si>
  <si>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</si>
  <si>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</si>
  <si>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</si>
  <si>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</si>
  <si>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</si>
  <si>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</si>
  <si>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</si>
  <si>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</si>
  <si>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</si>
  <si>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</si>
  <si>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</si>
  <si>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</si>
  <si>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</si>
  <si>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</si>
  <si>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</si>
  <si>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</si>
  <si>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</si>
  <si>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</si>
  <si>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</si>
  <si>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</si>
  <si>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</si>
  <si>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</si>
  <si>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</si>
  <si>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</si>
  <si>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</si>
  <si>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</si>
  <si>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</si>
  <si>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</si>
  <si>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</si>
  <si>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</si>
  <si>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</si>
  <si>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</si>
  <si>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</si>
  <si>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</si>
  <si>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</si>
  <si>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</si>
  <si>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</si>
  <si>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</si>
  <si>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</si>
  <si>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</si>
  <si>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</si>
  <si>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</si>
  <si>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</si>
  <si>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</si>
  <si>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</si>
  <si>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</si>
  <si>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</si>
  <si>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</si>
  <si>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</si>
  <si>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</si>
  <si>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</si>
  <si>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</si>
  <si>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</si>
  <si>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</si>
  <si>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</si>
  <si>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</si>
  <si>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</si>
  <si>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</si>
  <si>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</si>
  <si>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</si>
  <si>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</si>
  <si>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</si>
  <si>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</si>
  <si>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</si>
  <si>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</si>
  <si>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</si>
  <si>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</si>
  <si>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</si>
  <si>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</si>
  <si>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</si>
  <si>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</si>
  <si>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</si>
  <si>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</si>
  <si>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</si>
  <si>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</si>
  <si>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</si>
  <si>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</si>
  <si>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</si>
  <si>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</si>
  <si>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</si>
  <si>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</si>
  <si>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</si>
  <si>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</si>
  <si>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</si>
  <si>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</si>
  <si>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</si>
  <si>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</si>
  <si>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</si>
  <si>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</si>
  <si>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</si>
  <si>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</si>
  <si>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</si>
  <si>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</si>
  <si>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</si>
  <si>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</si>
  <si>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</si>
  <si>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</si>
  <si>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</si>
  <si>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</si>
  <si>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</si>
  <si>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</si>
  <si>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</si>
  <si>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</si>
  <si>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</si>
  <si>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</si>
  <si>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</si>
  <si>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</si>
  <si>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</si>
  <si>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</si>
  <si>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</si>
  <si>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</si>
  <si>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</si>
  <si>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</si>
  <si>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</si>
  <si>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</si>
  <si>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</si>
  <si>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</si>
  <si>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</si>
  <si>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</si>
  <si>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</si>
  <si>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</si>
  <si>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</si>
  <si>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</si>
  <si>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</si>
  <si>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</si>
  <si>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</si>
  <si>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</si>
  <si>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</si>
  <si>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</si>
  <si>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</si>
  <si>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</si>
  <si>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</si>
  <si>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</si>
  <si>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</si>
  <si>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</si>
  <si>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</si>
  <si>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</si>
  <si>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</si>
  <si>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</si>
  <si>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</si>
  <si>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</si>
  <si>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</si>
  <si>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</si>
  <si>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</si>
  <si>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</si>
  <si>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</si>
  <si>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</si>
  <si>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</si>
  <si>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</si>
  <si>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</si>
  <si>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</si>
  <si>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</si>
  <si>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</si>
  <si>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</si>
  <si>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</si>
  <si>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</si>
  <si>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</si>
  <si>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</si>
  <si>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</si>
  <si>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</si>
  <si>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</si>
  <si>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</si>
  <si>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</si>
  <si>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</si>
  <si>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</si>
  <si>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</si>
  <si>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</si>
  <si>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</si>
  <si>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</si>
  <si>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</si>
  <si>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</si>
  <si>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</si>
  <si>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</si>
  <si>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</si>
  <si>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</si>
  <si>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</si>
  <si>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</si>
  <si>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</si>
  <si>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</si>
  <si>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</si>
  <si>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</si>
  <si>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</si>
  <si>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</si>
  <si>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</si>
  <si>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</si>
  <si>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</si>
  <si>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</si>
  <si>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</si>
  <si>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</si>
  <si>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</si>
  <si>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</si>
  <si>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</si>
  <si>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</si>
  <si>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</si>
  <si>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</si>
  <si>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</si>
  <si>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</si>
  <si>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</si>
  <si>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</si>
  <si>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</si>
  <si>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</si>
  <si>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</si>
  <si>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</si>
  <si>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</si>
  <si>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</si>
  <si>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</si>
  <si>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</si>
  <si>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</si>
  <si>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</si>
  <si>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</si>
  <si>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</si>
  <si>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</si>
  <si>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</si>
  <si>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</si>
  <si>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</si>
  <si>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</si>
  <si>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</si>
  <si>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</si>
  <si>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</si>
  <si>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</si>
  <si>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</si>
  <si>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</si>
  <si>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</si>
  <si>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</si>
  <si>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</si>
  <si>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</si>
  <si>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</si>
  <si>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</si>
  <si>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</si>
  <si>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</si>
  <si>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</si>
  <si>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</si>
  <si>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</si>
  <si>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</si>
  <si>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</si>
  <si>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</si>
  <si>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</si>
  <si>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</si>
  <si>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</si>
  <si>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</si>
  <si>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</si>
  <si>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</si>
  <si>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</si>
  <si>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</si>
  <si>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</si>
  <si>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</si>
  <si>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</si>
  <si>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</si>
  <si>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</si>
  <si>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</si>
  <si>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</si>
  <si>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</si>
  <si>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</si>
  <si>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</si>
  <si>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</si>
  <si>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</si>
  <si>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</si>
  <si>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</si>
  <si>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</si>
  <si>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</si>
  <si>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</si>
  <si>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</si>
  <si>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</si>
  <si>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</si>
  <si>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</si>
  <si>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</si>
  <si>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</si>
  <si>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</si>
  <si>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</si>
  <si>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</si>
  <si>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</si>
  <si>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</si>
  <si>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</si>
  <si>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</si>
  <si>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</si>
  <si>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</si>
  <si>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</si>
  <si>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</si>
  <si>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</si>
  <si>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</si>
  <si>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</si>
  <si>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</si>
  <si>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</si>
  <si>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</si>
  <si>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</si>
  <si>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</si>
  <si>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</si>
  <si>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</si>
  <si>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</si>
  <si>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小区</t>
  </si>
  <si>
    <t>平米租金(元/㎡·月)</t>
  </si>
  <si>
    <t>法华寺路小区</t>
  </si>
  <si>
    <t>中海紫金苑</t>
  </si>
  <si>
    <t>中关村南大街22号院</t>
  </si>
  <si>
    <t>新文化街84号院</t>
  </si>
  <si>
    <t>中央社会主义学院宿舍</t>
  </si>
  <si>
    <t>法华寺小区</t>
  </si>
  <si>
    <t>中科院空间中心家属小区</t>
  </si>
  <si>
    <t>中关村南大街甲3号</t>
  </si>
  <si>
    <t>民族大学家属院</t>
  </si>
  <si>
    <t>大沙务村住房</t>
  </si>
  <si>
    <t>大慧寺5号院</t>
  </si>
  <si>
    <t>交大东路38号院</t>
  </si>
  <si>
    <t>文林大厦</t>
  </si>
  <si>
    <t>大柳树路3号院</t>
  </si>
  <si>
    <t>天作国际中心</t>
  </si>
  <si>
    <t>农影小区</t>
  </si>
  <si>
    <t>白石桥路36号</t>
  </si>
  <si>
    <t>大柳树路9号院</t>
  </si>
  <si>
    <t>中关村南大街19号院</t>
  </si>
  <si>
    <t>交大东路15号院</t>
  </si>
  <si>
    <t>铁道部宿舍</t>
  </si>
  <si>
    <t>华杰大厦</t>
  </si>
  <si>
    <t>四道口9号院</t>
  </si>
  <si>
    <t>中关村南大街33号院</t>
  </si>
  <si>
    <t>航天五院小区</t>
  </si>
  <si>
    <t>北京理工大学家属区</t>
  </si>
  <si>
    <t>西三环北路19号院</t>
  </si>
  <si>
    <t>鑫德嘉园</t>
  </si>
  <si>
    <t>北三环中路46号院</t>
  </si>
  <si>
    <t>北师大院内丽泽</t>
  </si>
  <si>
    <t>邮电大学小区</t>
  </si>
  <si>
    <t>红联南村46号院</t>
  </si>
  <si>
    <t>新街口外大街3号院</t>
  </si>
  <si>
    <t>交科院</t>
  </si>
  <si>
    <t>北三环中路36号院</t>
  </si>
  <si>
    <t>西土城路8号院</t>
  </si>
  <si>
    <t>文慧园路56号</t>
  </si>
  <si>
    <t>索家坟20号院</t>
  </si>
  <si>
    <t>迈豪时代居</t>
  </si>
  <si>
    <t>依都阁</t>
  </si>
  <si>
    <t>文慧园7,8,9号楼</t>
  </si>
  <si>
    <t>西土城10号院</t>
  </si>
  <si>
    <t>文慧园10号</t>
  </si>
  <si>
    <t>北三环中路40号院</t>
  </si>
  <si>
    <t>西坨村住房</t>
  </si>
  <si>
    <t>学院南路15号院</t>
  </si>
  <si>
    <t>新外大街21号院</t>
  </si>
  <si>
    <t>新外大街5号楼</t>
  </si>
  <si>
    <t>文慧园15号16公寓</t>
  </si>
  <si>
    <t>智慧大厦</t>
  </si>
  <si>
    <t>首座御园二期2号院</t>
  </si>
  <si>
    <t>新外大街15号院</t>
  </si>
  <si>
    <t>索家坟小区</t>
  </si>
  <si>
    <t>红联北村</t>
  </si>
  <si>
    <t>西土城路31号院</t>
  </si>
  <si>
    <t>红联村3号院</t>
  </si>
  <si>
    <t>北师大家属院</t>
  </si>
  <si>
    <t>今典花园</t>
  </si>
  <si>
    <t>首钢西直门居民区</t>
  </si>
  <si>
    <t>陈庄村住房(昌平)</t>
  </si>
  <si>
    <t>德胜门西大街7号院</t>
  </si>
  <si>
    <t>红联村</t>
  </si>
  <si>
    <t>西直门北大街43号院</t>
  </si>
  <si>
    <t>迈豪时代</t>
  </si>
  <si>
    <t>五月华庭</t>
  </si>
  <si>
    <t>红联南村45号院</t>
  </si>
  <si>
    <t>文慧园10号公寓</t>
  </si>
  <si>
    <t>文慧园北路甲6号院</t>
  </si>
  <si>
    <t>文慧园10号院</t>
  </si>
  <si>
    <t>文慧园路甲3号</t>
  </si>
  <si>
    <t>文慧园路5号小区</t>
  </si>
  <si>
    <t>师范大学小区</t>
  </si>
  <si>
    <t>德胜门西大街74号</t>
  </si>
  <si>
    <t>新街口外大街25号院</t>
  </si>
  <si>
    <t>文慧园北路4号院</t>
  </si>
  <si>
    <t>学院南路32号院</t>
  </si>
  <si>
    <t>红泥沟村住房</t>
  </si>
  <si>
    <t>明光村小区</t>
  </si>
  <si>
    <t>花房一期公寓</t>
  </si>
  <si>
    <t>中体奥林匹克花园商住楼</t>
  </si>
  <si>
    <t>北三环中路甲38号院</t>
  </si>
  <si>
    <t>学院南路乙10号院</t>
  </si>
  <si>
    <t>学院南路</t>
  </si>
  <si>
    <t>文慧园北路六号院</t>
  </si>
  <si>
    <t>西土城路25号院</t>
  </si>
  <si>
    <t>文慧北园</t>
  </si>
  <si>
    <t>德胜门西大街甲5号院</t>
  </si>
  <si>
    <t>明光北里</t>
  </si>
  <si>
    <t>学院南路6号</t>
  </si>
  <si>
    <t>学院南路34号院</t>
  </si>
  <si>
    <t>新街口外大街31号院</t>
  </si>
  <si>
    <t>学院南路8号楼</t>
  </si>
  <si>
    <t>北三环中路甲32号院</t>
  </si>
  <si>
    <t>海云轩公寓</t>
  </si>
  <si>
    <t>志强南园</t>
  </si>
  <si>
    <t>学院南路乙12号院</t>
  </si>
  <si>
    <t>华北东楼</t>
  </si>
  <si>
    <t>西海洪村住房</t>
  </si>
  <si>
    <t>枫蓝国际公寓</t>
  </si>
  <si>
    <t>佳兆业广场</t>
  </si>
  <si>
    <t>志强园小区</t>
  </si>
  <si>
    <t>天兆家园</t>
  </si>
  <si>
    <t>康居小区</t>
  </si>
  <si>
    <t>北三环中路44号院</t>
  </si>
  <si>
    <t>柳行村住房</t>
  </si>
  <si>
    <t>电车厂宿舍</t>
  </si>
  <si>
    <t>金胜嘉园</t>
  </si>
  <si>
    <t>政法大院社区</t>
  </si>
  <si>
    <t>文慧园1号楼</t>
  </si>
  <si>
    <t>西晴公寓</t>
  </si>
  <si>
    <t>红联南村</t>
  </si>
  <si>
    <t>学院南路丙10号院</t>
  </si>
  <si>
    <t>远洋风景</t>
  </si>
  <si>
    <t>朝新嘉园东里二区</t>
  </si>
  <si>
    <t>文慧园北路乙26号</t>
  </si>
  <si>
    <t>师大北路21号院</t>
  </si>
  <si>
    <t>华北南楼</t>
  </si>
  <si>
    <t>新外大街甲25号院</t>
  </si>
  <si>
    <t>刘村住房</t>
  </si>
  <si>
    <t>文慧园甲26号楼</t>
  </si>
  <si>
    <t>亦城国际中心</t>
  </si>
  <si>
    <t>正常</t>
  </si>
  <si>
    <t>七通</t>
  </si>
  <si>
    <t>七通</t>
    <phoneticPr fontId="24" type="noConversion"/>
  </si>
  <si>
    <t>六通</t>
  </si>
  <si>
    <t>六通</t>
    <phoneticPr fontId="24" type="noConversion"/>
  </si>
  <si>
    <t>成套住宅</t>
  </si>
  <si>
    <t>成套住宅</t>
    <phoneticPr fontId="24" type="noConversion"/>
  </si>
  <si>
    <t>非成套住宅</t>
  </si>
  <si>
    <t>非成套住宅</t>
    <phoneticPr fontId="24" type="noConversion"/>
  </si>
  <si>
    <t>独立卫生间</t>
    <phoneticPr fontId="24" type="noConversion"/>
  </si>
  <si>
    <t>无</t>
    <phoneticPr fontId="24" type="noConversion"/>
  </si>
  <si>
    <t>有</t>
    <phoneticPr fontId="24" type="noConversion"/>
  </si>
  <si>
    <t>有</t>
    <phoneticPr fontId="24" type="noConversion"/>
  </si>
  <si>
    <t>有</t>
    <phoneticPr fontId="24" type="noConversion"/>
  </si>
  <si>
    <t>较好</t>
  </si>
  <si>
    <t>电梯</t>
    <phoneticPr fontId="24" type="noConversion"/>
  </si>
  <si>
    <t>中关村南大街19号院</t>
    <phoneticPr fontId="134" type="noConversion"/>
  </si>
  <si>
    <t>民族歌舞团家属院</t>
    <phoneticPr fontId="3" type="noConversion"/>
  </si>
  <si>
    <t>航天五院小区</t>
    <phoneticPr fontId="134" type="noConversion"/>
  </si>
  <si>
    <t>鑫德嘉园</t>
    <phoneticPr fontId="134" type="noConversion"/>
  </si>
  <si>
    <t>有</t>
    <phoneticPr fontId="24" type="noConversion"/>
  </si>
  <si>
    <t>中关村南大街33号院</t>
    <phoneticPr fontId="134" type="noConversion"/>
  </si>
  <si>
    <t>铁道部宿舍</t>
    <phoneticPr fontId="134" type="noConversion"/>
  </si>
  <si>
    <r>
      <rPr>
        <sz val="11"/>
        <color theme="9" tint="-0.249977111117893"/>
        <rFont val="宋体"/>
        <family val="3"/>
        <charset val="134"/>
      </rPr>
      <t>交大东路</t>
    </r>
    <r>
      <rPr>
        <sz val="11"/>
        <color theme="9" tint="-0.249977111117893"/>
        <rFont val="Arial"/>
        <family val="2"/>
      </rPr>
      <t>30</t>
    </r>
    <r>
      <rPr>
        <sz val="11"/>
        <color theme="9" tint="-0.249977111117893"/>
        <rFont val="宋体"/>
        <family val="3"/>
        <charset val="134"/>
      </rPr>
      <t>号院</t>
    </r>
    <phoneticPr fontId="134" type="noConversion"/>
  </si>
  <si>
    <t>一般</t>
  </si>
  <si>
    <t>项目位置</t>
    <phoneticPr fontId="134" type="noConversion"/>
  </si>
  <si>
    <t>比较法-住宅2122</t>
  </si>
  <si>
    <t>比较法-住宅2122</t>
    <phoneticPr fontId="16" type="noConversion"/>
  </si>
  <si>
    <t>有</t>
    <phoneticPr fontId="24" type="noConversion"/>
  </si>
  <si>
    <t>有</t>
    <phoneticPr fontId="24" type="noConversion"/>
  </si>
  <si>
    <t>有</t>
    <phoneticPr fontId="24" type="noConversion"/>
  </si>
  <si>
    <t>文慧园路56号</t>
    <phoneticPr fontId="134" type="noConversion"/>
  </si>
  <si>
    <t>学院南路8号楼</t>
    <phoneticPr fontId="134" type="noConversion"/>
  </si>
  <si>
    <t>北三环中路44号院</t>
    <phoneticPr fontId="134" type="noConversion"/>
  </si>
  <si>
    <t>新外大街甲25号院</t>
    <phoneticPr fontId="134" type="noConversion"/>
  </si>
  <si>
    <t>文林大厦</t>
    <phoneticPr fontId="134" type="noConversion"/>
  </si>
  <si>
    <t>中央社会主义学院宿舍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</si>
</sst>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70" fillId="0" borderId="0" xfId="19" applyNumberFormat="1"/>
    <xf numFmtId="0" fontId="270" fillId="0" borderId="0" xfId="19" applyNumberFormat="1"/>
    <xf numFmtId="0" fontId="270" fillId="0" borderId="0" xfId="19" applyNumberFormat="1" applyAlignment="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0" fillId="0" borderId="0" xfId="0" applyNumberFormat="1" applyAlignment="1"/>
    <xf numFmtId="0" fontId="270" fillId="0" borderId="0" xfId="19" applyNumberFormat="1"/>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270" fillId="5" borderId="0" xfId="19" applyNumberFormat="1" applyFill="1" applyAlignment="1">
      <alignment horizontal="center" vertical="center"/>
    </xf>
    <xf numFmtId="0" fontId="270" fillId="0" borderId="0" xfId="19" applyNumberFormat="1" applyFill="1" applyAlignment="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0" fillId="0" borderId="0" xfId="19" applyNumberFormat="1"/>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22" borderId="0" xfId="19" applyNumberFormat="1" applyFill="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29</xdr:row>
      <xdr:rowOff>7621</xdr:rowOff>
    </xdr:from>
    <xdr:to>
      <xdr:col>17</xdr:col>
      <xdr:colOff>377781</xdr:colOff>
      <xdr:row>62</xdr:row>
      <xdr:rowOff>7621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5311141"/>
          <a:ext cx="10740980" cy="6035040"/>
        </a:xfrm>
        <a:prstGeom prst="rect">
          <a:avLst/>
        </a:prstGeom>
      </xdr:spPr>
    </xdr:pic>
    <xdr:clientData/>
  </xdr:twoCellAnchor>
  <xdr:twoCellAnchor editAs="oneCell">
    <xdr:from>
      <xdr:col>0</xdr:col>
      <xdr:colOff>0</xdr:colOff>
      <xdr:row>0</xdr:row>
      <xdr:rowOff>0</xdr:rowOff>
    </xdr:from>
    <xdr:to>
      <xdr:col>9</xdr:col>
      <xdr:colOff>167640</xdr:colOff>
      <xdr:row>29</xdr:row>
      <xdr:rowOff>10325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654040" cy="5313845"/>
        </a:xfrm>
        <a:prstGeom prst="rect">
          <a:avLst/>
        </a:prstGeom>
      </xdr:spPr>
    </xdr:pic>
    <xdr:clientData/>
  </xdr:twoCellAnchor>
  <xdr:twoCellAnchor editAs="oneCell">
    <xdr:from>
      <xdr:col>0</xdr:col>
      <xdr:colOff>1</xdr:colOff>
      <xdr:row>61</xdr:row>
      <xdr:rowOff>129540</xdr:rowOff>
    </xdr:from>
    <xdr:to>
      <xdr:col>17</xdr:col>
      <xdr:colOff>394945</xdr:colOff>
      <xdr:row>93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285220"/>
          <a:ext cx="10758144" cy="5760720"/>
        </a:xfrm>
        <a:prstGeom prst="rect">
          <a:avLst/>
        </a:prstGeom>
      </xdr:spPr>
    </xdr:pic>
    <xdr:clientData/>
  </xdr:twoCellAnchor>
  <xdr:twoCellAnchor editAs="oneCell">
    <xdr:from>
      <xdr:col>0</xdr:col>
      <xdr:colOff>0</xdr:colOff>
      <xdr:row>93</xdr:row>
      <xdr:rowOff>91441</xdr:rowOff>
    </xdr:from>
    <xdr:to>
      <xdr:col>17</xdr:col>
      <xdr:colOff>251459</xdr:colOff>
      <xdr:row>128</xdr:row>
      <xdr:rowOff>159453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099281"/>
          <a:ext cx="10614659" cy="6468812"/>
        </a:xfrm>
        <a:prstGeom prst="rect">
          <a:avLst/>
        </a:prstGeom>
      </xdr:spPr>
    </xdr:pic>
    <xdr:clientData/>
  </xdr:twoCellAnchor>
  <xdr:twoCellAnchor editAs="oneCell">
    <xdr:from>
      <xdr:col>17</xdr:col>
      <xdr:colOff>259080</xdr:colOff>
      <xdr:row>93</xdr:row>
      <xdr:rowOff>137160</xdr:rowOff>
    </xdr:from>
    <xdr:to>
      <xdr:col>37</xdr:col>
      <xdr:colOff>467080</xdr:colOff>
      <xdr:row>129</xdr:row>
      <xdr:rowOff>182051</xdr:rowOff>
    </xdr:to>
    <xdr:pic>
      <xdr:nvPicPr>
        <xdr:cNvPr id="6" name="图片 5"/>
        <xdr:cNvPicPr>
          <a:picLocks noChangeAspect="1"/>
        </xdr:cNvPicPr>
      </xdr:nvPicPr>
      <xdr:blipFill>
        <a:blip xmlns:r="http://schemas.openxmlformats.org/officeDocument/2006/relationships" r:embed="rId5"/>
        <a:stretch>
          <a:fillRect/>
        </a:stretch>
      </xdr:blipFill>
      <xdr:spPr>
        <a:xfrm>
          <a:off x="10622280" y="17145000"/>
          <a:ext cx="12400000" cy="6628571"/>
        </a:xfrm>
        <a:prstGeom prst="rect">
          <a:avLst/>
        </a:prstGeom>
      </xdr:spPr>
    </xdr:pic>
    <xdr:clientData/>
  </xdr:twoCellAnchor>
  <xdr:twoCellAnchor editAs="oneCell">
    <xdr:from>
      <xdr:col>17</xdr:col>
      <xdr:colOff>411480</xdr:colOff>
      <xdr:row>63</xdr:row>
      <xdr:rowOff>175260</xdr:rowOff>
    </xdr:from>
    <xdr:to>
      <xdr:col>34</xdr:col>
      <xdr:colOff>114947</xdr:colOff>
      <xdr:row>82</xdr:row>
      <xdr:rowOff>167207</xdr:rowOff>
    </xdr:to>
    <xdr:pic>
      <xdr:nvPicPr>
        <xdr:cNvPr id="7" name="图片 6"/>
        <xdr:cNvPicPr>
          <a:picLocks noChangeAspect="1"/>
        </xdr:cNvPicPr>
      </xdr:nvPicPr>
      <xdr:blipFill>
        <a:blip xmlns:r="http://schemas.openxmlformats.org/officeDocument/2006/relationships" r:embed="rId6"/>
        <a:stretch>
          <a:fillRect/>
        </a:stretch>
      </xdr:blipFill>
      <xdr:spPr>
        <a:xfrm>
          <a:off x="10774680" y="11696700"/>
          <a:ext cx="10066667" cy="3466667"/>
        </a:xfrm>
        <a:prstGeom prst="rect">
          <a:avLst/>
        </a:prstGeom>
      </xdr:spPr>
    </xdr:pic>
    <xdr:clientData/>
  </xdr:twoCellAnchor>
  <xdr:twoCellAnchor editAs="oneCell">
    <xdr:from>
      <xdr:col>17</xdr:col>
      <xdr:colOff>373380</xdr:colOff>
      <xdr:row>28</xdr:row>
      <xdr:rowOff>173090</xdr:rowOff>
    </xdr:from>
    <xdr:to>
      <xdr:col>34</xdr:col>
      <xdr:colOff>594360</xdr:colOff>
      <xdr:row>63</xdr:row>
      <xdr:rowOff>81595</xdr:rowOff>
    </xdr:to>
    <xdr:pic>
      <xdr:nvPicPr>
        <xdr:cNvPr id="8" name="图片 7"/>
        <xdr:cNvPicPr>
          <a:picLocks noChangeAspect="1"/>
        </xdr:cNvPicPr>
      </xdr:nvPicPr>
      <xdr:blipFill>
        <a:blip xmlns:r="http://schemas.openxmlformats.org/officeDocument/2006/relationships" r:embed="rId7"/>
        <a:stretch>
          <a:fillRect/>
        </a:stretch>
      </xdr:blipFill>
      <xdr:spPr>
        <a:xfrm>
          <a:off x="10736580" y="5293730"/>
          <a:ext cx="10584180" cy="6309305"/>
        </a:xfrm>
        <a:prstGeom prst="rect">
          <a:avLst/>
        </a:prstGeom>
      </xdr:spPr>
    </xdr:pic>
    <xdr:clientData/>
  </xdr:twoCellAnchor>
  <xdr:twoCellAnchor editAs="oneCell">
    <xdr:from>
      <xdr:col>10</xdr:col>
      <xdr:colOff>228600</xdr:colOff>
      <xdr:row>1</xdr:row>
      <xdr:rowOff>68580</xdr:rowOff>
    </xdr:from>
    <xdr:to>
      <xdr:col>20</xdr:col>
      <xdr:colOff>513552</xdr:colOff>
      <xdr:row>23</xdr:row>
      <xdr:rowOff>92839</xdr:rowOff>
    </xdr:to>
    <xdr:pic>
      <xdr:nvPicPr>
        <xdr:cNvPr id="10" name="图片 9"/>
        <xdr:cNvPicPr>
          <a:picLocks noChangeAspect="1"/>
        </xdr:cNvPicPr>
      </xdr:nvPicPr>
      <xdr:blipFill>
        <a:blip xmlns:r="http://schemas.openxmlformats.org/officeDocument/2006/relationships" r:embed="rId8"/>
        <a:stretch>
          <a:fillRect/>
        </a:stretch>
      </xdr:blipFill>
      <xdr:spPr>
        <a:xfrm>
          <a:off x="6324600" y="251460"/>
          <a:ext cx="6380952" cy="4047619"/>
        </a:xfrm>
        <a:prstGeom prst="rect">
          <a:avLst/>
        </a:prstGeom>
      </xdr:spPr>
    </xdr:pic>
    <xdr:clientData/>
  </xdr:twoCellAnchor>
  <xdr:twoCellAnchor editAs="oneCell">
    <xdr:from>
      <xdr:col>0</xdr:col>
      <xdr:colOff>0</xdr:colOff>
      <xdr:row>129</xdr:row>
      <xdr:rowOff>0</xdr:rowOff>
    </xdr:from>
    <xdr:to>
      <xdr:col>17</xdr:col>
      <xdr:colOff>396240</xdr:colOff>
      <xdr:row>163</xdr:row>
      <xdr:rowOff>7961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591520"/>
          <a:ext cx="10759440" cy="6225881"/>
        </a:xfrm>
        <a:prstGeom prst="rect">
          <a:avLst/>
        </a:prstGeom>
      </xdr:spPr>
    </xdr:pic>
    <xdr:clientData/>
  </xdr:twoCellAnchor>
  <xdr:twoCellAnchor editAs="oneCell">
    <xdr:from>
      <xdr:col>17</xdr:col>
      <xdr:colOff>403860</xdr:colOff>
      <xdr:row>140</xdr:row>
      <xdr:rowOff>175260</xdr:rowOff>
    </xdr:from>
    <xdr:to>
      <xdr:col>43</xdr:col>
      <xdr:colOff>497117</xdr:colOff>
      <xdr:row>161</xdr:row>
      <xdr:rowOff>10970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767060" y="25778460"/>
          <a:ext cx="15942857" cy="3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2022年7月1日</v>
      </c>
    </row>
    <row r="13" spans="1:2" s="1203" customFormat="1">
      <c r="A13" s="1201" t="s">
        <v>529</v>
      </c>
      <c r="B13" s="1202" t="str">
        <f>'预评函-1'!A18</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本次评估采用的主估价方法为比较法和比较法。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3540</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14" t="s">
        <v>2582</v>
      </c>
      <c r="J2" s="3514"/>
      <c r="K2" s="3514"/>
      <c r="L2" s="3514"/>
      <c r="M2" s="3514"/>
      <c r="N2" s="3514"/>
      <c r="O2" s="3514"/>
      <c r="P2" s="3514"/>
      <c r="Q2" s="3514"/>
      <c r="R2" s="3514"/>
    </row>
    <row r="3" spans="1:18">
      <c r="A3" s="3020" t="s">
        <v>2503</v>
      </c>
      <c r="B3" s="3021">
        <f>项目基本情况!D3</f>
        <v>44743</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4.47</v>
      </c>
      <c r="D5" s="3025">
        <f>IF(ISERROR(ROUND(POWER(1+E5,A5-C5)*(POWER(1+E5,C5)-1)/(POWER(1+E5,A5)-1),3)),0,ROUND(POWER(1+E5,A5-C5)*(POWER(1+E5,C5)-1)/(POWER(1+E5,A5)-1),4))</f>
        <v>0.2031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14.47</v>
      </c>
      <c r="D6" s="3025">
        <f>IF(ISERROR(ROUND(POWER(1+E6,A6-C6)*(POWER(1+E6,C6)-1)/(POWER(1+E6,A6)-1),3)),0,ROUND(POWER(1+E6,A6-C6)*(POWER(1+E6,C6)-1)/(POWER(1+E6,A6)-1),4))</f>
        <v>0.504</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34.49</v>
      </c>
      <c r="D7" s="3025">
        <f>IF(ISERROR(ROUND(POWER(1+E7,A7-C7)*(POWER(1+E7,C7)-1)/(POWER(1+E7,A7)-1),3)),0,ROUND(POWER(1+E7,A7-C7)*(POWER(1+E7,C7)-1)/(POWER(1+E7,A7)-1),4))</f>
        <v>0.7923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5" thickBot="1">
      <c r="A18" s="3031" t="s">
        <v>2518</v>
      </c>
      <c r="B18" s="3032">
        <f>ROUND(B17*F11/F12,2)</f>
        <v>5541.87</v>
      </c>
      <c r="C18" s="3032">
        <f>ROUND(F11/F12,4)</f>
        <v>1.1521999999999999</v>
      </c>
      <c r="D18" s="3033"/>
      <c r="E18" s="3033"/>
      <c r="F18" s="3034"/>
    </row>
    <row r="19" spans="1:13" ht="15" thickBot="1"/>
    <row r="20" spans="1:13" s="3069" customFormat="1" ht="1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5" t="str">
        <f>IF(B10="北京市","北京市",C10)&amp;F10&amp;IF(结果表!G1="在建","出让国有建设用地使用权及在建建筑物",IF(结果表!G1="土地","出让国有建设用地使用权",))&amp;B9&amp;"预评估"</f>
        <v>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44743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8" thickBot="1">
      <c r="A9" s="2393" t="s">
        <v>2178</v>
      </c>
      <c r="B9" s="2394"/>
      <c r="C9" s="2395"/>
      <c r="D9" s="3519"/>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0</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44743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2" sqref="M32"/>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44743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10000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43800</v>
      </c>
      <c r="C10" s="2512" t="s">
        <v>3358</v>
      </c>
      <c r="D10" s="2512" t="s">
        <v>3359</v>
      </c>
      <c r="E10" s="3441">
        <v>3000</v>
      </c>
      <c r="F10" s="3445" t="s">
        <v>3360</v>
      </c>
      <c r="G10" s="3442">
        <v>0.05</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v>20</v>
      </c>
      <c r="C14" s="2518"/>
      <c r="D14" s="2518">
        <v>10000</v>
      </c>
      <c r="E14" s="2518">
        <f>ROUND(D14*10000/B14,0)</f>
        <v>5000000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3539</v>
      </c>
      <c r="D4" s="1756" t="s">
        <v>3539</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77" t="s">
        <v>1268</v>
      </c>
      <c r="B5" s="3632">
        <v>25</v>
      </c>
      <c r="C5" s="3635">
        <v>5</v>
      </c>
      <c r="D5" s="3623">
        <v>5</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54" t="s">
        <v>2131</v>
      </c>
      <c r="F18" s="3655"/>
      <c r="G18" s="3655"/>
      <c r="H18" s="3655"/>
      <c r="I18" s="3655"/>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f ca="1">SUMIF(INDIRECT("'"&amp;C4&amp;"'"&amp;"!A:A"),结果表!B19,INDIRECT("'"&amp;C4&amp;"'"&amp;"!B:B"))</f>
        <v>0</v>
      </c>
      <c r="D19" s="135">
        <f ca="1">SUMIF(INDIRECT("'"&amp;D4&amp;"'"&amp;"!A:A"),结果表!B19,INDIRECT("'"&amp;D4&amp;"'"&amp;"!B:B"))</f>
        <v>0</v>
      </c>
      <c r="E19" s="1761" t="s">
        <v>1292</v>
      </c>
      <c r="F19" s="1762" t="s">
        <v>1291</v>
      </c>
      <c r="G19" s="136">
        <f ca="1">ROUND(C19*$C$18+D19*$D$18,0)</f>
        <v>0</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f ca="1">SUMIF(INDIRECT("'"&amp;C4&amp;"'"&amp;"!A:A"),结果表!B20,INDIRECT("'"&amp;C4&amp;"'"&amp;"!B:B"))</f>
        <v>102.1</v>
      </c>
      <c r="D20" s="138">
        <f ca="1">SUMIF(INDIRECT("'"&amp;D4&amp;"'"&amp;"!A:A"),结果表!B20,INDIRECT("'"&amp;D4&amp;"'"&amp;"!B:B"))</f>
        <v>102.1</v>
      </c>
      <c r="E20" s="1764"/>
      <c r="F20" s="1026" t="s">
        <v>1295</v>
      </c>
      <c r="G20" s="139">
        <f ca="1">ROUND(C20*$C$18+D20*$D$18,0)</f>
        <v>102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102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44743</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0</v>
      </c>
      <c r="G52" s="2555"/>
      <c r="H52" s="2544"/>
      <c r="I52" s="1807"/>
      <c r="J52" s="2523">
        <v>1</v>
      </c>
      <c r="K52" s="3590" t="s">
        <v>1355</v>
      </c>
      <c r="L52" s="3590"/>
      <c r="M52" s="2525" t="b">
        <f>D48</f>
        <v>0</v>
      </c>
      <c r="N52" s="2523" t="str">
        <f>E48</f>
        <v>销售额×税（费）率</v>
      </c>
      <c r="O52" s="2526">
        <f>F48</f>
        <v>0</v>
      </c>
    </row>
    <row r="53" spans="1:35" ht="12" customHeight="1">
      <c r="A53" s="2335" t="s">
        <v>1356</v>
      </c>
      <c r="B53" s="3614" t="s">
        <v>2291</v>
      </c>
      <c r="C53" s="3615"/>
      <c r="D53" s="1087" t="e">
        <f ca="1">ROUND(D45*'数据-取费表'!B41/(1+'数据-取费表'!C42),0)</f>
        <v>#REF!</v>
      </c>
      <c r="E53" s="2334" t="s">
        <v>1354</v>
      </c>
      <c r="F53" s="2554">
        <f>'数据-取费表'!B41</f>
        <v>0</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2292</v>
      </c>
      <c r="C54" s="3615"/>
      <c r="D54" s="1087" t="e">
        <f ca="1">C68</f>
        <v>#REF!</v>
      </c>
      <c r="E54" s="327" t="s">
        <v>1359</v>
      </c>
      <c r="F54" s="2554">
        <f>'数据-取费表'!B41</f>
        <v>0</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0</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比较法-住宅2122</v>
      </c>
      <c r="D101" s="2586" t="str">
        <f>D4</f>
        <v>比较法-住宅2122</v>
      </c>
      <c r="E101" s="3569" t="s">
        <v>1431</v>
      </c>
      <c r="F101" s="3570"/>
      <c r="G101" s="1827" t="s">
        <v>1432</v>
      </c>
      <c r="H101" s="2595" t="e">
        <f ca="1">H118</f>
        <v>#REF!</v>
      </c>
      <c r="I101" s="129"/>
    </row>
    <row r="102" spans="1:35" ht="18.75" customHeight="1">
      <c r="A102" s="3601" t="s">
        <v>1433</v>
      </c>
      <c r="B102" s="2584" t="s">
        <v>1432</v>
      </c>
      <c r="C102" s="2585">
        <f ca="1">IF(D32="楼面单价",ROUND(C19,0),C19)</f>
        <v>0</v>
      </c>
      <c r="D102" s="2586">
        <f ca="1">IF(D32="楼面单价",ROUND(D19,0),D19)</f>
        <v>0</v>
      </c>
      <c r="E102" s="3569"/>
      <c r="F102" s="3570"/>
      <c r="G102" s="1827" t="s">
        <v>1434</v>
      </c>
      <c r="H102" s="2555" t="e">
        <f ca="1">I118</f>
        <v>#REF!</v>
      </c>
      <c r="I102" s="129"/>
    </row>
    <row r="103" spans="1:35" ht="42.75" customHeight="1">
      <c r="A103" s="3601"/>
      <c r="B103" s="2584" t="s">
        <v>1434</v>
      </c>
      <c r="C103" s="2587">
        <f ca="1">C20</f>
        <v>102.1</v>
      </c>
      <c r="D103" s="2588">
        <f ca="1">D20</f>
        <v>102.1</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20" sqref="F2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6" t="s">
        <v>1544</v>
      </c>
    </row>
    <row r="43" spans="1:7" ht="13.5" customHeight="1">
      <c r="A43" s="780" t="s">
        <v>347</v>
      </c>
      <c r="B43" s="215" t="s">
        <v>1545</v>
      </c>
      <c r="C43" s="238" t="e">
        <f ca="1">ROUND(IF('数据-取费表'!B22&lt;=1,C39*F22*'数据-取费表'!B21/2,C39*(POWER((1+F22),'数据-取费表'!B21/2)-1)),0)</f>
        <v>#VALUE!</v>
      </c>
      <c r="D43" s="238"/>
      <c r="E43" s="238"/>
      <c r="F43" s="239"/>
      <c r="G43" s="3657"/>
    </row>
    <row r="44" spans="1:7" ht="13.5" customHeight="1">
      <c r="A44" s="780" t="s">
        <v>348</v>
      </c>
      <c r="B44" s="215" t="s">
        <v>1546</v>
      </c>
      <c r="C44" s="238" t="e">
        <f ca="1">ROUND(IF('数据-取费表'!B22&lt;=1,C40*F22*'数据-取费表'!B21/2,C40*(POWER((1+F22),'数据-取费表'!B21/2)-1)),4)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0" sqref="F2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6" t="s">
        <v>1591</v>
      </c>
    </row>
    <row r="43" spans="1:7" ht="13.5" customHeight="1">
      <c r="A43" s="780" t="s">
        <v>347</v>
      </c>
      <c r="B43" s="215" t="s">
        <v>1545</v>
      </c>
      <c r="C43" s="238" t="e">
        <f ca="1">ROUND(IF('数据-取费表'!B22&lt;=1,C39*F22*'数据-取费表'!B20/2,C39*(POWER((1+F22),'数据-取费表'!B20/2)-1)),0)</f>
        <v>#VALUE!</v>
      </c>
      <c r="D43" s="238"/>
      <c r="E43" s="238"/>
      <c r="F43" s="239"/>
      <c r="G43" s="3657"/>
    </row>
    <row r="44" spans="1:7" ht="13.5" customHeight="1">
      <c r="A44" s="780" t="s">
        <v>348</v>
      </c>
      <c r="B44" s="215" t="s">
        <v>1546</v>
      </c>
      <c r="C44" s="238" t="e">
        <f ca="1">ROUND(IF('数据-取费表'!B22&lt;=1,C40*F22*'数据-取费表'!B20/2,C40*(POWER((1+F22),'数据-取费表'!B20/2)-1)),4)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0</v>
      </c>
      <c r="D6" s="155" t="s">
        <v>2109</v>
      </c>
      <c r="E6" s="302" t="s">
        <v>696</v>
      </c>
      <c r="F6" s="303">
        <f ca="1">INDIRECT("'数据-取费表'!u"&amp;$G$1)</f>
        <v>0</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2" priority="56">
      <formula>$L$48&gt;$J$51</formula>
    </cfRule>
  </conditionalFormatting>
  <conditionalFormatting sqref="I55 I60">
    <cfRule type="expression" dxfId="201" priority="57">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2106</v>
      </c>
      <c r="E6" s="302" t="s">
        <v>696</v>
      </c>
      <c r="F6" s="303">
        <f ca="1">INDIRECT("'数据-取费表'!u"&amp;$G$1)</f>
        <v>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8"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7" priority="4">
      <formula>$L$48&gt;$J$51</formula>
    </cfRule>
  </conditionalFormatting>
  <conditionalFormatting sqref="I55 I60">
    <cfRule type="expression" dxfId="196" priority="5">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2" customHeight="1">
      <c r="A2" s="1385" t="s">
        <v>2317</v>
      </c>
      <c r="B2" s="2843" t="e">
        <f>IF(D2="——",C40,C40+E2)</f>
        <v>#DIV/0!</v>
      </c>
      <c r="C2" s="2844" t="s">
        <v>2318</v>
      </c>
      <c r="D2" s="3443" t="s">
        <v>3361</v>
      </c>
      <c r="E2" s="3444"/>
      <c r="F2" s="2846"/>
      <c r="G2" s="2847"/>
      <c r="H2" s="2848"/>
      <c r="I2" s="2849"/>
      <c r="J2" s="3664" t="s">
        <v>2319</v>
      </c>
      <c r="K2" s="3665"/>
      <c r="L2" s="2850" t="s">
        <v>2320</v>
      </c>
      <c r="M2" s="2850" t="s">
        <v>2321</v>
      </c>
      <c r="N2" s="2850" t="s">
        <v>2322</v>
      </c>
      <c r="O2" s="2850" t="s">
        <v>2323</v>
      </c>
      <c r="P2" s="2850" t="s">
        <v>2324</v>
      </c>
      <c r="Q2" s="2851" t="s">
        <v>2325</v>
      </c>
      <c r="R2" s="2852" t="s">
        <v>2326</v>
      </c>
      <c r="S2" s="2841"/>
      <c r="T2" s="2841"/>
      <c r="U2" s="2841"/>
      <c r="V2" s="2849"/>
    </row>
    <row r="3" spans="1:22" s="2853" customFormat="1" ht="13.2" customHeight="1">
      <c r="A3" s="2854" t="s">
        <v>2327</v>
      </c>
      <c r="B3" s="2855" t="e">
        <f>ROUND(B2*10000/B4,0)</f>
        <v>#DIV/0!</v>
      </c>
      <c r="C3" s="2844" t="s">
        <v>2328</v>
      </c>
      <c r="D3" s="2844"/>
      <c r="E3" s="2845"/>
      <c r="F3" s="2846"/>
      <c r="G3" s="2847"/>
      <c r="H3" s="2848"/>
      <c r="I3" s="2849"/>
      <c r="J3" s="3666" t="s">
        <v>2329</v>
      </c>
      <c r="K3" s="3667"/>
      <c r="L3" s="2856"/>
      <c r="M3" s="2856"/>
      <c r="N3" s="2856"/>
      <c r="O3" s="2856"/>
      <c r="P3" s="2856"/>
      <c r="Q3" s="2857"/>
      <c r="R3" s="2858">
        <f>SUM(L3:Q3)</f>
        <v>0</v>
      </c>
      <c r="S3" s="2841"/>
      <c r="T3" s="2841"/>
      <c r="U3" s="2841"/>
      <c r="V3" s="2849"/>
    </row>
    <row r="4" spans="1:22" s="2853" customFormat="1" ht="13.2" customHeight="1">
      <c r="A4" s="2859" t="s">
        <v>2330</v>
      </c>
      <c r="B4" s="2860"/>
      <c r="C4" s="2844"/>
      <c r="D4" s="2844"/>
      <c r="E4" s="2845"/>
      <c r="F4" s="2846"/>
      <c r="G4" s="2847"/>
      <c r="H4" s="2848"/>
      <c r="I4" s="2849"/>
      <c r="J4" s="3666" t="s">
        <v>2331</v>
      </c>
      <c r="K4" s="3667"/>
      <c r="L4" s="2861"/>
      <c r="M4" s="2861"/>
      <c r="N4" s="2861"/>
      <c r="O4" s="2861"/>
      <c r="P4" s="2861"/>
      <c r="Q4" s="2862"/>
      <c r="R4" s="2863">
        <f>SUM(L4:Q4)</f>
        <v>0</v>
      </c>
      <c r="S4" s="2841"/>
      <c r="T4" s="2841"/>
      <c r="U4" s="2841"/>
      <c r="V4" s="2849"/>
    </row>
    <row r="5" spans="1:22" s="2853" customFormat="1" ht="13.2"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2" customHeight="1" thickBot="1">
      <c r="A6" s="3668" t="s">
        <v>2335</v>
      </c>
      <c r="B6" s="3669"/>
      <c r="C6" s="3670"/>
      <c r="D6" s="2870"/>
      <c r="E6" s="2871"/>
      <c r="F6" s="2872"/>
      <c r="G6" s="2873"/>
      <c r="H6" s="2848"/>
      <c r="I6" s="2849"/>
      <c r="J6" s="3671">
        <v>1</v>
      </c>
      <c r="K6" s="367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2" customHeight="1">
      <c r="A7" s="2876" t="s">
        <v>2345</v>
      </c>
      <c r="B7" s="2877"/>
      <c r="C7" s="2878"/>
      <c r="D7" s="2879">
        <f>SUM(D9,D10,D11,D17,0)</f>
        <v>0</v>
      </c>
      <c r="E7" s="2880" t="e">
        <f>E9+E10+E11+E17</f>
        <v>#DIV/0!</v>
      </c>
      <c r="F7" s="2881"/>
      <c r="G7" s="2882"/>
      <c r="H7" s="2848"/>
      <c r="I7" s="2849"/>
      <c r="J7" s="3671"/>
      <c r="K7" s="3673"/>
      <c r="L7" s="2883" t="s">
        <v>2346</v>
      </c>
      <c r="M7" s="2884"/>
      <c r="N7" s="2860"/>
      <c r="O7" s="2885"/>
      <c r="P7" s="2885"/>
      <c r="Q7" s="2886">
        <v>365</v>
      </c>
      <c r="R7" s="2887">
        <f>ROUND(M7*N7*O7*P7*Q7/10000,0)</f>
        <v>0</v>
      </c>
      <c r="S7" s="2841"/>
      <c r="T7" s="2841" t="s">
        <v>2347</v>
      </c>
      <c r="U7" s="2841"/>
      <c r="V7" s="2849"/>
    </row>
    <row r="8" spans="1:22" s="2853" customFormat="1" ht="13.2" customHeight="1">
      <c r="A8" s="2888" t="s">
        <v>2348</v>
      </c>
      <c r="B8" s="3675" t="s">
        <v>2349</v>
      </c>
      <c r="C8" s="3676"/>
      <c r="D8" s="2889" t="s">
        <v>2350</v>
      </c>
      <c r="E8" s="2890" t="s">
        <v>2351</v>
      </c>
      <c r="F8" s="2891" t="s">
        <v>2352</v>
      </c>
      <c r="G8" s="2892"/>
      <c r="H8" s="2848"/>
      <c r="I8" s="2849"/>
      <c r="J8" s="3671"/>
      <c r="K8" s="3673"/>
      <c r="L8" s="2883" t="s">
        <v>2353</v>
      </c>
      <c r="M8" s="2884"/>
      <c r="N8" s="2860"/>
      <c r="O8" s="2885"/>
      <c r="P8" s="2885"/>
      <c r="Q8" s="2886">
        <v>365</v>
      </c>
      <c r="R8" s="2887">
        <f t="shared" ref="R8:R13" si="0">ROUND(M8*N8*O8*P8*Q8/10000,0)</f>
        <v>0</v>
      </c>
      <c r="S8" s="2841"/>
      <c r="T8" s="2841" t="s">
        <v>2354</v>
      </c>
      <c r="U8" s="2841"/>
      <c r="V8" s="2849"/>
    </row>
    <row r="9" spans="1:22" s="2853" customFormat="1" ht="13.2" customHeight="1">
      <c r="A9" s="2888">
        <v>1</v>
      </c>
      <c r="B9" s="3675" t="s">
        <v>2355</v>
      </c>
      <c r="C9" s="3676"/>
      <c r="D9" s="2889">
        <f>ROUND(D6*E9,0)</f>
        <v>0</v>
      </c>
      <c r="E9" s="2893"/>
      <c r="F9" s="2894" t="s">
        <v>2356</v>
      </c>
      <c r="G9" s="2873"/>
      <c r="H9" s="2848"/>
      <c r="I9" s="2849"/>
      <c r="J9" s="3671"/>
      <c r="K9" s="3673"/>
      <c r="L9" s="2883" t="s">
        <v>2357</v>
      </c>
      <c r="M9" s="2884"/>
      <c r="N9" s="2860"/>
      <c r="O9" s="2885"/>
      <c r="P9" s="2885"/>
      <c r="Q9" s="2886">
        <v>365</v>
      </c>
      <c r="R9" s="2887">
        <f t="shared" si="0"/>
        <v>0</v>
      </c>
      <c r="S9" s="2841"/>
      <c r="T9" s="2841"/>
      <c r="U9" s="2841"/>
      <c r="V9" s="2849"/>
    </row>
    <row r="10" spans="1:22" s="2853" customFormat="1" ht="13.2" customHeight="1">
      <c r="A10" s="2888">
        <v>2</v>
      </c>
      <c r="B10" s="3675" t="s">
        <v>2358</v>
      </c>
      <c r="C10" s="3676"/>
      <c r="D10" s="2889">
        <f>ROUND(D6*E10,0)</f>
        <v>0</v>
      </c>
      <c r="E10" s="2893"/>
      <c r="F10" s="2894" t="s">
        <v>2359</v>
      </c>
      <c r="G10" s="2873"/>
      <c r="H10" s="2848"/>
      <c r="I10" s="2849"/>
      <c r="J10" s="3671"/>
      <c r="K10" s="3673"/>
      <c r="L10" s="2883" t="s">
        <v>2360</v>
      </c>
      <c r="M10" s="2884"/>
      <c r="N10" s="2860"/>
      <c r="O10" s="2885"/>
      <c r="P10" s="2885"/>
      <c r="Q10" s="2886">
        <v>365</v>
      </c>
      <c r="R10" s="2887">
        <f t="shared" si="0"/>
        <v>0</v>
      </c>
      <c r="S10" s="2841"/>
      <c r="T10" s="2841"/>
      <c r="U10" s="2841"/>
      <c r="V10" s="2849"/>
    </row>
    <row r="11" spans="1:22" s="2853" customFormat="1" ht="13.2" customHeight="1">
      <c r="A11" s="2888">
        <v>3</v>
      </c>
      <c r="B11" s="3675" t="s">
        <v>2361</v>
      </c>
      <c r="C11" s="3676"/>
      <c r="D11" s="2889">
        <f>D12+D14+D15+D16</f>
        <v>0</v>
      </c>
      <c r="E11" s="2895" t="e">
        <f>D11/D6</f>
        <v>#DIV/0!</v>
      </c>
      <c r="F11" s="2891"/>
      <c r="G11" s="2892"/>
      <c r="H11" s="2848"/>
      <c r="I11" s="2849"/>
      <c r="J11" s="3671"/>
      <c r="K11" s="3673"/>
      <c r="L11" s="2883" t="s">
        <v>2362</v>
      </c>
      <c r="M11" s="2884"/>
      <c r="N11" s="2860"/>
      <c r="O11" s="2885"/>
      <c r="P11" s="2885"/>
      <c r="Q11" s="2886">
        <v>365</v>
      </c>
      <c r="R11" s="2887">
        <f t="shared" si="0"/>
        <v>0</v>
      </c>
      <c r="S11" s="2841"/>
      <c r="T11" s="2841"/>
      <c r="U11" s="2841"/>
      <c r="V11" s="2849"/>
    </row>
    <row r="12" spans="1:22" s="2853" customFormat="1" ht="13.2" customHeight="1">
      <c r="A12" s="2896" t="s">
        <v>2363</v>
      </c>
      <c r="B12" s="3677" t="s">
        <v>2364</v>
      </c>
      <c r="C12" s="3678"/>
      <c r="D12" s="2897">
        <f>ROUND(D13*1.2%*(1-30%),0)</f>
        <v>0</v>
      </c>
      <c r="E12" s="2898">
        <v>1.2E-2</v>
      </c>
      <c r="F12" s="2891" t="s">
        <v>2365</v>
      </c>
      <c r="G12" s="2892"/>
      <c r="H12" s="2848"/>
      <c r="I12" s="2849"/>
      <c r="J12" s="3671"/>
      <c r="K12" s="3673"/>
      <c r="L12" s="2883" t="s">
        <v>2366</v>
      </c>
      <c r="M12" s="2884"/>
      <c r="N12" s="2860"/>
      <c r="O12" s="2885"/>
      <c r="P12" s="2885"/>
      <c r="Q12" s="2886">
        <v>365</v>
      </c>
      <c r="R12" s="2887">
        <f t="shared" si="0"/>
        <v>0</v>
      </c>
      <c r="S12" s="2841"/>
      <c r="T12" s="2841"/>
      <c r="U12" s="2841"/>
      <c r="V12" s="2849"/>
    </row>
    <row r="13" spans="1:22" s="2853" customFormat="1" ht="13.2" customHeight="1">
      <c r="A13" s="2896"/>
      <c r="B13" s="2899"/>
      <c r="C13" s="2900" t="s">
        <v>2367</v>
      </c>
      <c r="D13" s="2901"/>
      <c r="E13" s="2902"/>
      <c r="F13" s="2891"/>
      <c r="G13" s="2892"/>
      <c r="H13" s="2848"/>
      <c r="I13" s="2849"/>
      <c r="J13" s="3671"/>
      <c r="K13" s="3673"/>
      <c r="L13" s="2883" t="s">
        <v>2368</v>
      </c>
      <c r="M13" s="2884"/>
      <c r="N13" s="2860"/>
      <c r="O13" s="2885"/>
      <c r="P13" s="2885"/>
      <c r="Q13" s="2886">
        <v>365</v>
      </c>
      <c r="R13" s="2887">
        <f t="shared" si="0"/>
        <v>0</v>
      </c>
      <c r="S13" s="2841"/>
      <c r="T13" s="2841"/>
      <c r="U13" s="2841"/>
      <c r="V13" s="2849"/>
    </row>
    <row r="14" spans="1:22" s="2853" customFormat="1" ht="13.2" customHeight="1">
      <c r="A14" s="2896" t="s">
        <v>2369</v>
      </c>
      <c r="B14" s="3677" t="s">
        <v>2370</v>
      </c>
      <c r="C14" s="3678"/>
      <c r="D14" s="2897">
        <f>ROUND(E14*B5/10000,0)</f>
        <v>0</v>
      </c>
      <c r="E14" s="2886"/>
      <c r="F14" s="2891" t="s">
        <v>2371</v>
      </c>
      <c r="G14" s="2892"/>
      <c r="H14" s="2848"/>
      <c r="I14" s="2849"/>
      <c r="J14" s="3671"/>
      <c r="K14" s="367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2373</v>
      </c>
      <c r="B15" s="3677" t="s">
        <v>2374</v>
      </c>
      <c r="C15" s="3678"/>
      <c r="D15" s="2897">
        <f>ROUND(D6*E15,0)</f>
        <v>0</v>
      </c>
      <c r="E15" s="2898">
        <v>5.5E-2</v>
      </c>
      <c r="F15" s="2891" t="s">
        <v>2375</v>
      </c>
      <c r="G15" s="2873"/>
      <c r="H15" s="2848"/>
      <c r="I15" s="2849"/>
      <c r="J15" s="3671">
        <v>2</v>
      </c>
      <c r="K15" s="367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2" customHeight="1">
      <c r="A16" s="2896" t="s">
        <v>2382</v>
      </c>
      <c r="B16" s="3677" t="s">
        <v>2383</v>
      </c>
      <c r="C16" s="3678"/>
      <c r="D16" s="2908">
        <f>D6*E16</f>
        <v>0</v>
      </c>
      <c r="E16" s="2909"/>
      <c r="F16" s="2894" t="s">
        <v>2384</v>
      </c>
      <c r="G16" s="2873"/>
      <c r="H16" s="2848"/>
      <c r="I16" s="2849"/>
      <c r="J16" s="3671"/>
      <c r="K16" s="3673"/>
      <c r="L16" s="2883" t="s">
        <v>2385</v>
      </c>
      <c r="M16" s="2884"/>
      <c r="N16" s="2884"/>
      <c r="O16" s="2885"/>
      <c r="P16" s="2886">
        <v>365</v>
      </c>
      <c r="Q16" s="2860"/>
      <c r="R16" s="2907">
        <f>ROUND(M16*N16*O16*P16/10000,0)</f>
        <v>0</v>
      </c>
      <c r="S16" s="2841"/>
      <c r="T16" s="2841"/>
      <c r="U16" s="2841"/>
      <c r="V16" s="2849"/>
    </row>
    <row r="17" spans="1:22" s="2853" customFormat="1" ht="13.2" customHeight="1" thickBot="1">
      <c r="A17" s="2910">
        <v>4</v>
      </c>
      <c r="B17" s="3679" t="s">
        <v>2386</v>
      </c>
      <c r="C17" s="3680"/>
      <c r="D17" s="2911">
        <f>ROUND(D6*E17,0)</f>
        <v>0</v>
      </c>
      <c r="E17" s="2912"/>
      <c r="F17" s="2913" t="s">
        <v>2387</v>
      </c>
      <c r="G17" s="2873"/>
      <c r="H17" s="2848"/>
      <c r="I17" s="2849"/>
      <c r="J17" s="3671"/>
      <c r="K17" s="3673"/>
      <c r="L17" s="2883" t="s">
        <v>2388</v>
      </c>
      <c r="M17" s="2884"/>
      <c r="N17" s="2884"/>
      <c r="O17" s="2885"/>
      <c r="P17" s="2886">
        <v>365</v>
      </c>
      <c r="Q17" s="2860"/>
      <c r="R17" s="2907">
        <f>ROUND(M17*N17*O17*P17/10000,0)</f>
        <v>0</v>
      </c>
      <c r="S17" s="2841"/>
      <c r="T17" s="2841"/>
      <c r="U17" s="2841"/>
      <c r="V17" s="2849"/>
    </row>
    <row r="18" spans="1:22" s="2853" customFormat="1" ht="13.2" customHeight="1" thickBot="1">
      <c r="A18" s="2876" t="s">
        <v>2389</v>
      </c>
      <c r="B18" s="2877"/>
      <c r="C18" s="2877"/>
      <c r="D18" s="2914">
        <f>ROUND(D6*E18,0)</f>
        <v>0</v>
      </c>
      <c r="E18" s="2915"/>
      <c r="F18" s="2916" t="s">
        <v>2390</v>
      </c>
      <c r="G18" s="2873"/>
      <c r="H18" s="2848"/>
      <c r="I18" s="2849"/>
      <c r="J18" s="3671"/>
      <c r="K18" s="3673"/>
      <c r="L18" s="2883" t="s">
        <v>2391</v>
      </c>
      <c r="M18" s="2884"/>
      <c r="N18" s="2884"/>
      <c r="O18" s="2885"/>
      <c r="P18" s="2886">
        <v>365</v>
      </c>
      <c r="Q18" s="2860"/>
      <c r="R18" s="2907">
        <f>ROUND(M18*N18*O18*P18/10000,0)</f>
        <v>0</v>
      </c>
      <c r="S18" s="2841"/>
      <c r="T18" s="2841"/>
      <c r="U18" s="2841"/>
      <c r="V18" s="2849"/>
    </row>
    <row r="19" spans="1:22" s="2853" customFormat="1" ht="13.2" customHeight="1" thickBot="1">
      <c r="A19" s="2917" t="s">
        <v>2392</v>
      </c>
      <c r="B19" s="2871"/>
      <c r="C19" s="2871"/>
      <c r="D19" s="2871"/>
      <c r="E19" s="2871"/>
      <c r="F19" s="2872"/>
      <c r="G19" s="2892"/>
      <c r="H19" s="2848"/>
      <c r="I19" s="2849"/>
      <c r="J19" s="3671"/>
      <c r="K19" s="367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1">
        <v>3</v>
      </c>
      <c r="K20" s="367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2" customHeight="1">
      <c r="A21" s="2876"/>
      <c r="B21" s="2877"/>
      <c r="C21" s="2923" t="s">
        <v>2401</v>
      </c>
      <c r="D21" s="2924" t="s">
        <v>2402</v>
      </c>
      <c r="E21" s="2925" t="s">
        <v>2403</v>
      </c>
      <c r="F21" s="2920"/>
      <c r="G21" s="2892"/>
      <c r="H21" s="2848"/>
      <c r="I21" s="2849"/>
      <c r="J21" s="3671"/>
      <c r="K21" s="3673"/>
      <c r="L21" s="2883" t="s">
        <v>2404</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2405</v>
      </c>
      <c r="D22" s="2928" t="s">
        <v>2406</v>
      </c>
      <c r="E22" s="2929" t="s">
        <v>2407</v>
      </c>
      <c r="F22" s="2920"/>
      <c r="G22" s="2930"/>
      <c r="H22" s="2848"/>
      <c r="I22" s="2849"/>
      <c r="J22" s="3671"/>
      <c r="K22" s="3673"/>
      <c r="L22" s="2883" t="s">
        <v>2408</v>
      </c>
      <c r="M22" s="2884"/>
      <c r="N22" s="2884"/>
      <c r="O22" s="2885"/>
      <c r="P22" s="2886">
        <v>365</v>
      </c>
      <c r="Q22" s="2860"/>
      <c r="R22" s="2926">
        <f>ROUND(M22*N22*O22*P22/10000,0)</f>
        <v>0</v>
      </c>
      <c r="S22" s="2922"/>
      <c r="T22" s="2922"/>
      <c r="U22" s="2922"/>
      <c r="V22" s="2849"/>
    </row>
    <row r="23" spans="1:22" s="2853" customFormat="1" ht="13.2" customHeight="1">
      <c r="A23" s="2931">
        <v>1</v>
      </c>
      <c r="B23" s="2932" t="s">
        <v>2409</v>
      </c>
      <c r="C23" s="2933">
        <f>D6</f>
        <v>0</v>
      </c>
      <c r="D23" s="2934">
        <f>C23*(1+D24)</f>
        <v>0</v>
      </c>
      <c r="E23" s="2935">
        <f>D23*(1+E24)</f>
        <v>0</v>
      </c>
      <c r="F23" s="2936"/>
      <c r="G23" s="2937"/>
      <c r="H23" s="2848"/>
      <c r="I23" s="2849"/>
      <c r="J23" s="3671"/>
      <c r="K23" s="3673"/>
      <c r="L23" s="2883" t="s">
        <v>2410</v>
      </c>
      <c r="M23" s="2884"/>
      <c r="N23" s="2884"/>
      <c r="O23" s="2885"/>
      <c r="P23" s="2886">
        <v>365</v>
      </c>
      <c r="Q23" s="2860"/>
      <c r="R23" s="2926">
        <f>ROUND(M23*N23*O23*P23/10000,0)</f>
        <v>0</v>
      </c>
      <c r="S23" s="2841"/>
      <c r="T23" s="2841"/>
      <c r="U23" s="2841"/>
      <c r="V23" s="2849"/>
    </row>
    <row r="24" spans="1:22" s="2853" customFormat="1" ht="13.2" customHeight="1">
      <c r="A24" s="2938"/>
      <c r="B24" s="2939" t="s">
        <v>2411</v>
      </c>
      <c r="C24" s="2940"/>
      <c r="D24" s="2941"/>
      <c r="E24" s="2942"/>
      <c r="F24" s="2943"/>
      <c r="G24" s="2937"/>
      <c r="H24" s="2848"/>
      <c r="I24" s="2849"/>
      <c r="J24" s="3671"/>
      <c r="K24" s="367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2" customHeight="1">
      <c r="A26" s="2931">
        <v>2</v>
      </c>
      <c r="B26" s="2932" t="s">
        <v>2413</v>
      </c>
      <c r="C26" s="2933">
        <f>D7</f>
        <v>0</v>
      </c>
      <c r="D26" s="2934">
        <f>D23*D27</f>
        <v>0</v>
      </c>
      <c r="E26" s="2935">
        <f>E23*E27</f>
        <v>0</v>
      </c>
      <c r="F26" s="2936"/>
      <c r="G26" s="2937"/>
      <c r="H26" s="2848"/>
      <c r="I26" s="2849"/>
      <c r="J26" s="3681">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2" customHeight="1">
      <c r="A27" s="2938"/>
      <c r="B27" s="2939" t="s">
        <v>2419</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2"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2" customHeight="1">
      <c r="A32" s="2931">
        <v>4</v>
      </c>
      <c r="B32" s="2932" t="s">
        <v>2427</v>
      </c>
      <c r="C32" s="2933">
        <f>C23-C26-C29</f>
        <v>0</v>
      </c>
      <c r="D32" s="2934">
        <f>D23-D26-D29</f>
        <v>0</v>
      </c>
      <c r="E32" s="2935">
        <f>E23-E26-E29</f>
        <v>0</v>
      </c>
      <c r="F32" s="2936"/>
      <c r="G32" s="2930"/>
      <c r="H32" s="2848"/>
      <c r="I32" s="2849"/>
      <c r="J32" s="3664" t="s">
        <v>2319</v>
      </c>
      <c r="K32" s="3665"/>
      <c r="L32" s="2850" t="s">
        <v>2320</v>
      </c>
      <c r="M32" s="2850" t="s">
        <v>2321</v>
      </c>
      <c r="N32" s="2850" t="s">
        <v>2322</v>
      </c>
      <c r="O32" s="2850" t="s">
        <v>2323</v>
      </c>
      <c r="P32" s="2850" t="s">
        <v>2324</v>
      </c>
      <c r="Q32" s="2851" t="s">
        <v>2325</v>
      </c>
      <c r="R32" s="2973" t="s">
        <v>2326</v>
      </c>
      <c r="S32" s="2922"/>
      <c r="T32" s="2841"/>
      <c r="U32" s="2841"/>
      <c r="V32" s="2949"/>
    </row>
    <row r="33" spans="1:23" s="2853" customFormat="1" ht="13.2" customHeight="1">
      <c r="A33" s="2931"/>
      <c r="B33" s="2932"/>
      <c r="C33" s="2933"/>
      <c r="D33" s="2974"/>
      <c r="E33" s="2975"/>
      <c r="F33" s="2936"/>
      <c r="G33" s="2930"/>
      <c r="H33" s="2958"/>
      <c r="I33" s="2949"/>
      <c r="J33" s="3666" t="s">
        <v>2329</v>
      </c>
      <c r="K33" s="3667"/>
      <c r="L33" s="2856"/>
      <c r="M33" s="2856"/>
      <c r="N33" s="2856"/>
      <c r="O33" s="2856"/>
      <c r="P33" s="2856"/>
      <c r="Q33" s="2857"/>
      <c r="R33" s="2976">
        <f>SUM(L33:Q33)</f>
        <v>0</v>
      </c>
      <c r="S33" s="2922"/>
      <c r="T33" s="2841"/>
      <c r="U33" s="2841"/>
      <c r="V33" s="2849"/>
    </row>
    <row r="34" spans="1:23" s="2853" customFormat="1" ht="13.2" customHeight="1">
      <c r="A34" s="2931">
        <v>5</v>
      </c>
      <c r="B34" s="2932" t="s">
        <v>2428</v>
      </c>
      <c r="C34" s="2977"/>
      <c r="D34" s="2978"/>
      <c r="E34" s="2979"/>
      <c r="F34" s="2936"/>
      <c r="G34" s="2930"/>
      <c r="H34" s="2958"/>
      <c r="I34" s="2949"/>
      <c r="J34" s="3666" t="s">
        <v>2331</v>
      </c>
      <c r="K34" s="366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2" customHeight="1" thickBot="1">
      <c r="A36" s="2931">
        <v>7</v>
      </c>
      <c r="B36" s="2986" t="s">
        <v>2430</v>
      </c>
      <c r="C36" s="2987"/>
      <c r="D36" s="2988"/>
      <c r="E36" s="2989"/>
      <c r="F36" s="2990">
        <f>C36+D36+E36</f>
        <v>0</v>
      </c>
      <c r="G36" s="2930"/>
      <c r="H36" s="2848"/>
      <c r="I36" s="2849"/>
      <c r="J36" s="3671">
        <v>1</v>
      </c>
      <c r="K36" s="3672" t="s">
        <v>2431</v>
      </c>
      <c r="L36" s="2874"/>
      <c r="M36" s="2875"/>
      <c r="N36" s="2875"/>
      <c r="O36" s="2875"/>
      <c r="P36" s="2875"/>
      <c r="Q36" s="2875"/>
      <c r="R36" s="2858" t="s">
        <v>2343</v>
      </c>
      <c r="S36" s="2922"/>
      <c r="T36" s="2841" t="s">
        <v>2344</v>
      </c>
      <c r="U36" s="2841"/>
      <c r="V36" s="2849"/>
    </row>
    <row r="37" spans="1:23" s="2853" customFormat="1" ht="13.2"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2347</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2354</v>
      </c>
      <c r="U38" s="2841"/>
      <c r="V38" s="2849"/>
    </row>
    <row r="39" spans="1:23" s="2853" customFormat="1" ht="13.2" customHeight="1">
      <c r="A39" s="2931">
        <v>9</v>
      </c>
      <c r="B39" s="2932" t="s">
        <v>2432</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2" customHeight="1">
      <c r="A40" s="2992">
        <v>10</v>
      </c>
      <c r="B40" s="2932" t="s">
        <v>2433</v>
      </c>
      <c r="C40" s="2993" t="e">
        <f>C39+D39+E39</f>
        <v>#DIV/0!</v>
      </c>
      <c r="D40" s="2994"/>
      <c r="E40" s="2994"/>
      <c r="F40" s="2995"/>
      <c r="G40" s="2930"/>
      <c r="H40" s="2848"/>
      <c r="I40" s="2849"/>
      <c r="J40" s="3671"/>
      <c r="K40" s="3674"/>
      <c r="L40" s="2903" t="s">
        <v>2372</v>
      </c>
      <c r="M40" s="2904"/>
      <c r="N40" s="2904"/>
      <c r="O40" s="2905"/>
      <c r="P40" s="2905"/>
      <c r="Q40" s="2906"/>
      <c r="R40" s="2852">
        <f>SUM(R37:R39)</f>
        <v>0</v>
      </c>
      <c r="S40" s="2922"/>
      <c r="T40" s="2841"/>
      <c r="U40" s="2841"/>
      <c r="V40" s="2849"/>
    </row>
    <row r="41" spans="1:23" s="2853" customFormat="1" ht="13.2"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2" customHeight="1">
      <c r="G42" s="3000"/>
      <c r="H42" s="2848"/>
      <c r="I42" s="2849"/>
      <c r="J42" s="3681">
        <v>3</v>
      </c>
      <c r="K42" s="2951" t="s">
        <v>2414</v>
      </c>
      <c r="L42" s="2952"/>
      <c r="M42" s="2953"/>
      <c r="N42" s="2954" t="s">
        <v>2415</v>
      </c>
      <c r="O42" s="2954" t="s">
        <v>2416</v>
      </c>
      <c r="P42" s="2955" t="s">
        <v>2417</v>
      </c>
      <c r="Q42" s="2955" t="s">
        <v>2418</v>
      </c>
      <c r="R42" s="2858" t="s">
        <v>2343</v>
      </c>
      <c r="S42" s="2956"/>
      <c r="T42" s="2956"/>
      <c r="U42" s="2841"/>
      <c r="V42" s="2849"/>
    </row>
    <row r="43" spans="1:23" ht="13.2"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zoomScaleSheetLayoutView="70" workbookViewId="0">
      <selection activeCell="K38" sqref="K3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102.1</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1355"/>
      <c r="Y4" s="3690" t="s">
        <v>1672</v>
      </c>
      <c r="Z4" s="3691"/>
      <c r="AA4" s="3685" t="s">
        <v>1668</v>
      </c>
      <c r="AB4" s="3685" t="s">
        <v>1669</v>
      </c>
      <c r="AC4" s="3685" t="s">
        <v>1670</v>
      </c>
    </row>
    <row r="5" spans="1:29">
      <c r="A5" s="358"/>
      <c r="B5" s="359"/>
      <c r="C5" s="3696" t="s">
        <v>1673</v>
      </c>
      <c r="D5" s="3697"/>
      <c r="E5" s="3694" t="str">
        <f>'2021-2022'!A8</f>
        <v>中关村南大街19号院</v>
      </c>
      <c r="F5" s="3695"/>
      <c r="G5" s="3696" t="str">
        <f>'2021-2022'!A16</f>
        <v>航天五院小区</v>
      </c>
      <c r="H5" s="3697"/>
      <c r="I5" s="3696" t="str">
        <f>'2021-2022'!A19</f>
        <v>鑫德嘉园</v>
      </c>
      <c r="J5" s="3697"/>
      <c r="K5" s="1890"/>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00" t="s">
        <v>3530</v>
      </c>
      <c r="F6" s="3701"/>
      <c r="G6" s="3698" t="s">
        <v>1677</v>
      </c>
      <c r="H6" s="3699"/>
      <c r="I6" s="3698" t="s">
        <v>1677</v>
      </c>
      <c r="J6" s="3699"/>
      <c r="K6" s="1890"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f>C7</f>
        <v>44743</v>
      </c>
      <c r="F7" s="367">
        <f>SUMIF(58:58,YEAR(E7)&amp;"-"&amp;MONTH(E7),59:59)</f>
        <v>100</v>
      </c>
      <c r="G7" s="366">
        <f>C7</f>
        <v>44743</v>
      </c>
      <c r="H7" s="365">
        <f>SUMIF(58:58,YEAR(G7)&amp;"-"&amp;MONTH(G7),59:59)</f>
        <v>100</v>
      </c>
      <c r="I7" s="366">
        <f>C7</f>
        <v>44743</v>
      </c>
      <c r="J7" s="365">
        <f>SUMIF(58:58,YEAR(I7)&amp;"-"&amp;MONTH(I7),59:59)</f>
        <v>100</v>
      </c>
      <c r="K7" s="1891"/>
      <c r="L7" s="2717"/>
      <c r="M7" s="2718"/>
      <c r="N7" s="2718"/>
      <c r="O7" s="2718"/>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1343"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1352"/>
      <c r="R16" s="705"/>
      <c r="S16" s="706"/>
      <c r="T16" s="705"/>
      <c r="U16" s="706"/>
      <c r="V16" s="705"/>
      <c r="W16" s="706"/>
      <c r="X16" s="1355"/>
      <c r="Y16" s="372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0"/>
      <c r="Q17" s="1352" t="str">
        <f>B17</f>
        <v>交通便捷度</v>
      </c>
      <c r="R17" s="705" t="s">
        <v>18</v>
      </c>
      <c r="S17" s="706">
        <f>F17</f>
        <v>100</v>
      </c>
      <c r="T17" s="705" t="s">
        <v>18</v>
      </c>
      <c r="U17" s="706">
        <f>H17</f>
        <v>100</v>
      </c>
      <c r="V17" s="705" t="s">
        <v>18</v>
      </c>
      <c r="W17" s="706">
        <f>J17</f>
        <v>100</v>
      </c>
      <c r="X17" s="1355"/>
      <c r="Y17" s="3723"/>
      <c r="Z17" s="1356" t="str">
        <f>Q17</f>
        <v>交通便捷度</v>
      </c>
      <c r="AA17" s="1353">
        <f t="shared" si="3"/>
        <v>1</v>
      </c>
      <c r="AB17" s="1353">
        <f t="shared" si="4"/>
        <v>1</v>
      </c>
      <c r="AC17" s="1353">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730"/>
      <c r="Q18" s="1352"/>
      <c r="R18" s="705"/>
      <c r="S18" s="706"/>
      <c r="T18" s="705"/>
      <c r="U18" s="706"/>
      <c r="V18" s="705"/>
      <c r="W18" s="706"/>
      <c r="X18" s="1355"/>
      <c r="Y18" s="372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1352"/>
      <c r="R22" s="705"/>
      <c r="S22" s="706"/>
      <c r="T22" s="705"/>
      <c r="U22" s="706"/>
      <c r="V22" s="705"/>
      <c r="W22" s="706"/>
      <c r="X22" s="1355"/>
      <c r="Y22" s="372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1352" t="str">
        <f t="shared" si="11"/>
        <v>朝向</v>
      </c>
      <c r="R26" s="705" t="s">
        <v>18</v>
      </c>
      <c r="S26" s="706">
        <f t="shared" si="12"/>
        <v>100</v>
      </c>
      <c r="T26" s="705" t="s">
        <v>18</v>
      </c>
      <c r="U26" s="706">
        <f t="shared" si="13"/>
        <v>100</v>
      </c>
      <c r="V26" s="705" t="s">
        <v>18</v>
      </c>
      <c r="W26" s="706">
        <f t="shared" si="14"/>
        <v>100</v>
      </c>
      <c r="X26" s="1355"/>
      <c r="Y26" s="372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1343">
        <f t="shared" si="11"/>
        <v>111</v>
      </c>
      <c r="R27" s="701" t="s">
        <v>18</v>
      </c>
      <c r="S27" s="702">
        <f t="shared" si="12"/>
        <v>100</v>
      </c>
      <c r="T27" s="701" t="s">
        <v>18</v>
      </c>
      <c r="U27" s="702">
        <f t="shared" si="13"/>
        <v>100</v>
      </c>
      <c r="V27" s="701" t="s">
        <v>18</v>
      </c>
      <c r="W27" s="702">
        <f t="shared" si="14"/>
        <v>100</v>
      </c>
      <c r="X27" s="703"/>
      <c r="Y27" s="372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1352" t="str">
        <f t="shared" si="11"/>
        <v>建筑类型</v>
      </c>
      <c r="R32" s="705" t="s">
        <v>18</v>
      </c>
      <c r="S32" s="706">
        <f t="shared" si="12"/>
        <v>100</v>
      </c>
      <c r="T32" s="705" t="s">
        <v>18</v>
      </c>
      <c r="U32" s="706">
        <f t="shared" si="13"/>
        <v>100</v>
      </c>
      <c r="V32" s="705" t="s">
        <v>18</v>
      </c>
      <c r="W32" s="706">
        <f t="shared" si="14"/>
        <v>100</v>
      </c>
      <c r="X32" s="1355"/>
      <c r="Y32" s="3727" t="s">
        <v>1696</v>
      </c>
      <c r="Z32" s="1356" t="str">
        <f t="shared" si="18"/>
        <v>建筑类型</v>
      </c>
      <c r="AA32" s="1353">
        <f t="shared" si="15"/>
        <v>1</v>
      </c>
      <c r="AB32" s="1353">
        <f t="shared" si="16"/>
        <v>1</v>
      </c>
      <c r="AC32" s="1353">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1352" t="str">
        <f t="shared" si="11"/>
        <v>建筑结构</v>
      </c>
      <c r="R34" s="705" t="s">
        <v>18</v>
      </c>
      <c r="S34" s="706">
        <f t="shared" si="12"/>
        <v>100</v>
      </c>
      <c r="T34" s="705" t="s">
        <v>18</v>
      </c>
      <c r="U34" s="706">
        <f t="shared" si="13"/>
        <v>100</v>
      </c>
      <c r="V34" s="705" t="s">
        <v>18</v>
      </c>
      <c r="W34" s="706">
        <f t="shared" si="14"/>
        <v>100</v>
      </c>
      <c r="X34" s="1355"/>
      <c r="Y34" s="372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0.75</v>
      </c>
      <c r="F37" s="376">
        <f>LOOKUP(E37,112:112,113:113)-LOOKUP(C37,112:112,113:113)+100</f>
        <v>102.5</v>
      </c>
      <c r="G37" s="427">
        <v>0.75</v>
      </c>
      <c r="H37" s="127">
        <f>LOOKUP(G37,112:112,113:113)-LOOKUP(C37,112:112,113:113)+100</f>
        <v>102.5</v>
      </c>
      <c r="I37" s="426">
        <v>0.75</v>
      </c>
      <c r="J37" s="127">
        <f>LOOKUP(I37,112:112,113:113)-LOOKUP(C37,112:112,113:113)+100</f>
        <v>102.5</v>
      </c>
      <c r="K37" s="377">
        <v>2.5</v>
      </c>
      <c r="L37" s="2717"/>
      <c r="M37" s="2718"/>
      <c r="N37" s="2718"/>
      <c r="O37" s="2718"/>
      <c r="P37" s="3725"/>
      <c r="Q37" s="1343" t="str">
        <f t="shared" si="11"/>
        <v>成新度</v>
      </c>
      <c r="R37" s="701" t="s">
        <v>18</v>
      </c>
      <c r="S37" s="702">
        <f t="shared" si="12"/>
        <v>102.5</v>
      </c>
      <c r="T37" s="701" t="s">
        <v>18</v>
      </c>
      <c r="U37" s="702">
        <f t="shared" si="13"/>
        <v>102.5</v>
      </c>
      <c r="V37" s="701" t="s">
        <v>18</v>
      </c>
      <c r="W37" s="702">
        <f t="shared" si="14"/>
        <v>102.5</v>
      </c>
      <c r="X37" s="703"/>
      <c r="Y37" s="3727"/>
      <c r="Z37" s="52" t="str">
        <f t="shared" si="18"/>
        <v>成新度</v>
      </c>
      <c r="AA37" s="704">
        <f t="shared" si="15"/>
        <v>0.97560975609756095</v>
      </c>
      <c r="AB37" s="704">
        <f t="shared" si="16"/>
        <v>0.97560975609756095</v>
      </c>
      <c r="AC37" s="704">
        <f t="shared" si="17"/>
        <v>0.97560975609756095</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1352" t="str">
        <f t="shared" si="11"/>
        <v>物业管理</v>
      </c>
      <c r="R38" s="705" t="s">
        <v>18</v>
      </c>
      <c r="S38" s="706">
        <f t="shared" si="12"/>
        <v>100</v>
      </c>
      <c r="T38" s="705" t="s">
        <v>18</v>
      </c>
      <c r="U38" s="706">
        <f t="shared" si="13"/>
        <v>100</v>
      </c>
      <c r="V38" s="705" t="s">
        <v>18</v>
      </c>
      <c r="W38" s="706">
        <f t="shared" si="14"/>
        <v>100</v>
      </c>
      <c r="X38" s="1355"/>
      <c r="Y38" s="3727" t="s">
        <v>1696</v>
      </c>
      <c r="Z38" s="1356" t="str">
        <f t="shared" si="18"/>
        <v>物业管理</v>
      </c>
      <c r="AA38" s="1353">
        <f t="shared" si="15"/>
        <v>1</v>
      </c>
      <c r="AB38" s="1353">
        <f t="shared" si="16"/>
        <v>1</v>
      </c>
      <c r="AC38" s="1353">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1352" t="str">
        <f t="shared" si="11"/>
        <v>市政基础设施</v>
      </c>
      <c r="R39" s="705" t="s">
        <v>18</v>
      </c>
      <c r="S39" s="706">
        <f t="shared" si="12"/>
        <v>110</v>
      </c>
      <c r="T39" s="705" t="s">
        <v>18</v>
      </c>
      <c r="U39" s="706">
        <f t="shared" si="13"/>
        <v>110</v>
      </c>
      <c r="V39" s="705" t="s">
        <v>18</v>
      </c>
      <c r="W39" s="706">
        <f t="shared" si="14"/>
        <v>110</v>
      </c>
      <c r="X39" s="1355"/>
      <c r="Y39" s="3727"/>
      <c r="Z39" s="1356" t="str">
        <f t="shared" si="18"/>
        <v>市政基础设施</v>
      </c>
      <c r="AA39" s="1353">
        <f t="shared" si="15"/>
        <v>0.90909090909090906</v>
      </c>
      <c r="AB39" s="1353">
        <f t="shared" si="16"/>
        <v>0.90909090909090906</v>
      </c>
      <c r="AC39" s="1353">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1352" t="str">
        <f t="shared" si="11"/>
        <v>房型</v>
      </c>
      <c r="R40" s="705" t="s">
        <v>18</v>
      </c>
      <c r="S40" s="706">
        <f t="shared" si="12"/>
        <v>112</v>
      </c>
      <c r="T40" s="705" t="s">
        <v>18</v>
      </c>
      <c r="U40" s="706">
        <f t="shared" si="13"/>
        <v>112</v>
      </c>
      <c r="V40" s="705" t="s">
        <v>18</v>
      </c>
      <c r="W40" s="706">
        <f t="shared" si="14"/>
        <v>112</v>
      </c>
      <c r="X40" s="1355"/>
      <c r="Y40" s="3727"/>
      <c r="Z40" s="1356" t="str">
        <f t="shared" si="18"/>
        <v>房型</v>
      </c>
      <c r="AA40" s="1353">
        <f t="shared" si="15"/>
        <v>0.8928571428571429</v>
      </c>
      <c r="AB40" s="1353">
        <f t="shared" si="16"/>
        <v>0.8928571428571429</v>
      </c>
      <c r="AC40" s="1353">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1352" t="str">
        <f t="shared" si="11"/>
        <v>内部装修</v>
      </c>
      <c r="R42" s="705" t="s">
        <v>18</v>
      </c>
      <c r="S42" s="706">
        <f t="shared" si="12"/>
        <v>100</v>
      </c>
      <c r="T42" s="705" t="s">
        <v>18</v>
      </c>
      <c r="U42" s="706">
        <f t="shared" si="13"/>
        <v>100</v>
      </c>
      <c r="V42" s="705" t="s">
        <v>18</v>
      </c>
      <c r="W42" s="706">
        <f t="shared" si="14"/>
        <v>100</v>
      </c>
      <c r="X42" s="1355"/>
      <c r="Y42" s="372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hidden="1">
      <c r="A44" s="424"/>
      <c r="B44" s="3470" t="s">
        <v>3522</v>
      </c>
      <c r="C44" s="3471" t="s">
        <v>3541</v>
      </c>
      <c r="D44" s="127">
        <v>100</v>
      </c>
      <c r="E44" s="3471" t="s">
        <v>3524</v>
      </c>
      <c r="F44" s="376">
        <f>SUMIF(126:126,E44,127:127)-SUMIF(126:126,C44,127:127)+100</f>
        <v>100</v>
      </c>
      <c r="G44" s="3471" t="s">
        <v>3525</v>
      </c>
      <c r="H44" s="127">
        <f>SUMIF(126:126,G44,127:127)-SUMIF(126:126,C44,127:127)+100</f>
        <v>100</v>
      </c>
      <c r="I44" s="3471" t="s">
        <v>3526</v>
      </c>
      <c r="J44" s="127">
        <f>SUMIF(126:126,I44,127:127)-SUMIF(126:126,C44,127:127)+100</f>
        <v>100</v>
      </c>
      <c r="K44" s="1894"/>
      <c r="L44" s="2717"/>
      <c r="M44" s="2718"/>
      <c r="N44" s="2718"/>
      <c r="O44" s="2718"/>
      <c r="P44" s="3725"/>
      <c r="Q44" s="1343" t="str">
        <f t="shared" si="11"/>
        <v>独立卫生间</v>
      </c>
      <c r="R44" s="701" t="s">
        <v>18</v>
      </c>
      <c r="S44" s="702">
        <f t="shared" si="12"/>
        <v>100</v>
      </c>
      <c r="T44" s="701" t="s">
        <v>18</v>
      </c>
      <c r="U44" s="702">
        <f t="shared" si="13"/>
        <v>100</v>
      </c>
      <c r="V44" s="701" t="s">
        <v>18</v>
      </c>
      <c r="W44" s="702">
        <f t="shared" si="14"/>
        <v>100</v>
      </c>
      <c r="X44" s="703"/>
      <c r="Y44" s="3727"/>
      <c r="Z44" s="52" t="str">
        <f t="shared" si="18"/>
        <v>独立卫生间</v>
      </c>
      <c r="AA44" s="704">
        <f t="shared" si="15"/>
        <v>1</v>
      </c>
      <c r="AB44" s="704">
        <f t="shared" si="16"/>
        <v>1</v>
      </c>
      <c r="AC44" s="704">
        <f t="shared" si="17"/>
        <v>1</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3533</v>
      </c>
      <c r="J45" s="386">
        <f>SUMIF(128:128,I45,129:129)-SUMIF(128:128,C45,129:129)+100</f>
        <v>102</v>
      </c>
      <c r="K45" s="1894"/>
      <c r="L45" s="2722"/>
      <c r="M45" s="2716"/>
      <c r="N45" s="2716"/>
      <c r="O45" s="2716"/>
      <c r="P45" s="3725"/>
      <c r="Q45" s="1352" t="str">
        <f t="shared" si="11"/>
        <v>电梯</v>
      </c>
      <c r="R45" s="705" t="s">
        <v>18</v>
      </c>
      <c r="S45" s="706">
        <f t="shared" si="12"/>
        <v>102</v>
      </c>
      <c r="T45" s="705" t="s">
        <v>18</v>
      </c>
      <c r="U45" s="706">
        <f t="shared" si="13"/>
        <v>102</v>
      </c>
      <c r="V45" s="705" t="s">
        <v>18</v>
      </c>
      <c r="W45" s="706">
        <f t="shared" si="14"/>
        <v>102</v>
      </c>
      <c r="X45" s="1355"/>
      <c r="Y45" s="3727"/>
      <c r="Z45" s="1356" t="str">
        <f t="shared" si="18"/>
        <v>电梯</v>
      </c>
      <c r="AA45" s="1353">
        <f t="shared" si="15"/>
        <v>0.98039215686274506</v>
      </c>
      <c r="AB45" s="1353">
        <f t="shared" si="16"/>
        <v>0.98039215686274506</v>
      </c>
      <c r="AC45" s="1353">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4.4">
      <c r="A47" s="430" t="s">
        <v>1708</v>
      </c>
      <c r="B47" s="431"/>
      <c r="C47" s="1154" t="s">
        <v>16</v>
      </c>
      <c r="D47" s="1155"/>
      <c r="E47" s="1156">
        <f>'2021-2022'!B8</f>
        <v>136.19999999999999</v>
      </c>
      <c r="F47" s="1157"/>
      <c r="G47" s="1158">
        <f>'2021-2022'!B16</f>
        <v>135</v>
      </c>
      <c r="H47" s="1159"/>
      <c r="I47" s="1156">
        <f>'2021-2022'!B19</f>
        <v>123.4</v>
      </c>
      <c r="J47" s="1159"/>
      <c r="K47" s="1914"/>
      <c r="L47" s="2724"/>
      <c r="M47" s="2725"/>
      <c r="N47" s="2716"/>
      <c r="O47" s="2725"/>
      <c r="P47" s="3720" t="str">
        <f>A47</f>
        <v>成交单价（元/平方米）</v>
      </c>
      <c r="Q47" s="3720"/>
      <c r="R47" s="3721">
        <f>E47</f>
        <v>136.19999999999999</v>
      </c>
      <c r="S47" s="3721"/>
      <c r="T47" s="3721">
        <f>G47</f>
        <v>135</v>
      </c>
      <c r="U47" s="3721"/>
      <c r="V47" s="3721">
        <f>I47</f>
        <v>123.4</v>
      </c>
      <c r="W47" s="3721"/>
      <c r="X47" s="690"/>
      <c r="Y47" s="712"/>
      <c r="Z47" s="690"/>
      <c r="AA47" s="690"/>
      <c r="AB47" s="690"/>
      <c r="AC47" s="690"/>
    </row>
    <row r="48" spans="1:29" ht="15" thickBot="1">
      <c r="A48" s="437" t="s">
        <v>1709</v>
      </c>
      <c r="B48" s="438"/>
      <c r="C48" s="1160">
        <f>R49</f>
        <v>102.1</v>
      </c>
      <c r="D48" s="2317" t="s">
        <v>2138</v>
      </c>
      <c r="E48" s="1161">
        <f>R48</f>
        <v>105.7</v>
      </c>
      <c r="F48" s="2318"/>
      <c r="G48" s="1160">
        <f>T48</f>
        <v>104.8</v>
      </c>
      <c r="H48" s="2318"/>
      <c r="I48" s="1161">
        <f>V48</f>
        <v>95.8</v>
      </c>
      <c r="J48" s="2318"/>
      <c r="K48" s="2319">
        <f>F48+H48+J48</f>
        <v>0</v>
      </c>
      <c r="L48" s="2724"/>
      <c r="M48" s="2725"/>
      <c r="N48" s="2725"/>
      <c r="O48" s="2725"/>
      <c r="P48" s="3720" t="str">
        <f>A48</f>
        <v>比较价值（元/平方米）</v>
      </c>
      <c r="Q48" s="3720"/>
      <c r="R48" s="3721">
        <f>IF(F1="售价",ROUND(PRODUCT(R47,AA7:AA46),0),ROUND(PRODUCT(R47,AA7:AA46),1))</f>
        <v>105.7</v>
      </c>
      <c r="S48" s="3721"/>
      <c r="T48" s="3721">
        <f>IF(F1="售价",ROUND(PRODUCT(T47,AB7:AB46),0),ROUND(PRODUCT(T47,AB7:AB46),1))</f>
        <v>104.8</v>
      </c>
      <c r="U48" s="3721"/>
      <c r="V48" s="3721">
        <f>IF(F1="售价",ROUND(PRODUCT(V47,AC7:AC46),0),ROUND(PRODUCT(V47,AC7:AC46),1))</f>
        <v>95.8</v>
      </c>
      <c r="W48" s="3721"/>
      <c r="X48" s="690"/>
      <c r="Y48" s="690"/>
      <c r="Z48" s="690"/>
      <c r="AA48" s="690"/>
      <c r="AB48" s="690"/>
      <c r="AC48" s="690"/>
    </row>
    <row r="49" spans="1:29" ht="15" thickBot="1">
      <c r="A49" s="441" t="s">
        <v>1710</v>
      </c>
      <c r="B49" s="442"/>
      <c r="C49" s="1162">
        <f>R49</f>
        <v>102.1</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102.1</v>
      </c>
      <c r="S49" s="3719"/>
      <c r="T49" s="3719"/>
      <c r="U49" s="3719"/>
      <c r="V49" s="3719"/>
      <c r="W49" s="3719"/>
      <c r="X49" s="690"/>
      <c r="Y49" s="690"/>
      <c r="Z49" s="690"/>
      <c r="AA49" s="690"/>
      <c r="AB49" s="690"/>
      <c r="AC49" s="690"/>
    </row>
    <row r="50" spans="1:29">
      <c r="A50" s="2725"/>
      <c r="B50" s="2725">
        <f>ROUND(C49*0.9,1)</f>
        <v>91.9</v>
      </c>
      <c r="C50" s="2725">
        <f>ROUND(C49*1.1,1)</f>
        <v>112.3</v>
      </c>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0.28855250709555325</v>
      </c>
      <c r="F52" s="449" t="str">
        <f>IF(OR(E52&gt;=0.3,E52&lt;=-0.3),"超过30%","")</f>
        <v/>
      </c>
      <c r="G52" s="448">
        <f>IF(G47&lt;G48,G48/G47-1,G47/G48-1)</f>
        <v>0.28816793893129766</v>
      </c>
      <c r="H52" s="449" t="str">
        <f>IF(OR(G52&gt;=0.3,G52&lt;=-0.3),"超过30%","")</f>
        <v/>
      </c>
      <c r="I52" s="448">
        <f>IF(I47&lt;I48,I48/I47-1,I47/I48-1)</f>
        <v>0.28810020876826736</v>
      </c>
      <c r="J52" s="449" t="str">
        <f>IF(OR(I52&gt;=0.3,I52&lt;=-0.3),"超过30%","")</f>
        <v/>
      </c>
      <c r="K52" s="2730"/>
      <c r="L52" s="2726"/>
      <c r="M52" s="2725"/>
      <c r="N52" s="2725"/>
      <c r="O52" s="2725"/>
    </row>
    <row r="53" spans="1:29" ht="13.5" customHeight="1">
      <c r="A53" s="2725"/>
      <c r="B53" s="2725"/>
      <c r="C53" s="446" t="s">
        <v>1712</v>
      </c>
      <c r="D53" s="450"/>
      <c r="E53" s="448">
        <f>IF(E48&lt;G48,G48/E48-1,E48/G48-1)</f>
        <v>8.5877862595420407E-3</v>
      </c>
      <c r="F53" s="449" t="str">
        <f>IF(OR(E53&gt;=0.2,E53&lt;=-0.2),"超过20%","")</f>
        <v/>
      </c>
      <c r="G53" s="448">
        <f>IF(G48&lt;I48,I48/G48-1,G48/I48-1)</f>
        <v>9.3945720250521836E-2</v>
      </c>
      <c r="H53" s="449" t="str">
        <f>IF(OR(G53&gt;=0.2,G53&lt;=-0.2),"超过20%","")</f>
        <v/>
      </c>
      <c r="I53" s="448">
        <f>IF(I48&lt;E48,E48/I48-1,I48/E48-1)</f>
        <v>0.10334029227557417</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8.8888888888887241E-3</v>
      </c>
      <c r="F54" s="449" t="str">
        <f>IF(OR(E54&gt;=0.3,E54&lt;=-0.3),"超过30%","")</f>
        <v/>
      </c>
      <c r="G54" s="448">
        <f>IF(G47&lt;I47,I47/G47-1,G47/I47-1)</f>
        <v>9.4003241491085854E-2</v>
      </c>
      <c r="H54" s="449" t="str">
        <f>IF(OR(G54&gt;=0.3,G54&lt;=-0.3),"超过30%","")</f>
        <v/>
      </c>
      <c r="I54" s="448">
        <f>IF(I47&lt;E47,E47/I47-1,I47/E47-1)</f>
        <v>0.10372771474878428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2022-7</v>
      </c>
      <c r="D58" s="1185">
        <f>EDATE(C58,-1)</f>
        <v>44713</v>
      </c>
      <c r="E58" s="1185">
        <f>EDATE(D58,-1)</f>
        <v>44682</v>
      </c>
      <c r="F58" s="1185">
        <f t="shared" ref="F58:O58" si="19">EDATE(E58,-1)</f>
        <v>44652</v>
      </c>
      <c r="G58" s="1185">
        <f t="shared" si="19"/>
        <v>44621</v>
      </c>
      <c r="H58" s="1185">
        <f t="shared" si="19"/>
        <v>44593</v>
      </c>
      <c r="I58" s="1185">
        <f t="shared" si="19"/>
        <v>44562</v>
      </c>
      <c r="J58" s="1185">
        <f t="shared" si="19"/>
        <v>44531</v>
      </c>
      <c r="K58" s="1185">
        <f t="shared" si="19"/>
        <v>44501</v>
      </c>
      <c r="L58" s="1185">
        <f t="shared" si="19"/>
        <v>44470</v>
      </c>
      <c r="M58" s="1185">
        <f t="shared" si="19"/>
        <v>44440</v>
      </c>
      <c r="N58" s="1185">
        <f t="shared" si="19"/>
        <v>44409</v>
      </c>
      <c r="O58" s="1185">
        <f t="shared" si="19"/>
        <v>44378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102.5</v>
      </c>
      <c r="E113" s="493">
        <f>D113+$K37</f>
        <v>105</v>
      </c>
      <c r="F113" s="493">
        <f>E113+$K37</f>
        <v>107.5</v>
      </c>
      <c r="G113" s="493">
        <f>F113+$K37</f>
        <v>110</v>
      </c>
      <c r="H113" s="493">
        <f>G113+$K37</f>
        <v>112.5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A10" sqref="A10"/>
    </sheetView>
  </sheetViews>
  <sheetFormatPr defaultRowHeight="15.6"/>
  <cols>
    <col min="1" max="1" width="22.21875" style="3450" customWidth="1"/>
    <col min="2" max="2" width="12" style="3451" customWidth="1"/>
    <col min="3" max="12" width="13" style="3450" customWidth="1"/>
    <col min="13" max="189" width="22.21875" style="3450" customWidth="1"/>
    <col min="190" max="16384" width="8.88671875" style="3450"/>
  </cols>
  <sheetData>
    <row r="1" spans="1:12">
      <c r="A1" s="3731" t="s">
        <v>3390</v>
      </c>
      <c r="C1" s="3449">
        <v>44713.333831018521</v>
      </c>
      <c r="D1" s="3449">
        <v>44682.333831018521</v>
      </c>
      <c r="E1" s="3449">
        <v>44652.333831018521</v>
      </c>
      <c r="F1" s="3449">
        <v>44621.333831018521</v>
      </c>
      <c r="G1" s="3449">
        <v>44593.333831018521</v>
      </c>
      <c r="H1" s="3449">
        <v>44562.333831018521</v>
      </c>
      <c r="I1" s="3449">
        <v>44531.333831018521</v>
      </c>
      <c r="J1" s="3449">
        <v>44501.333831018521</v>
      </c>
      <c r="K1" s="3449">
        <v>44470.333831018521</v>
      </c>
      <c r="L1" s="3449">
        <v>44440.333831018521</v>
      </c>
    </row>
    <row r="2" spans="1:12">
      <c r="A2" s="3731"/>
      <c r="C2" s="3450" t="s">
        <v>3391</v>
      </c>
      <c r="D2" s="3450" t="s">
        <v>3391</v>
      </c>
      <c r="E2" s="3450" t="s">
        <v>3391</v>
      </c>
      <c r="F2" s="3450" t="s">
        <v>3391</v>
      </c>
      <c r="G2" s="3450" t="s">
        <v>3391</v>
      </c>
      <c r="H2" s="3450" t="s">
        <v>3391</v>
      </c>
      <c r="I2" s="3450" t="s">
        <v>3391</v>
      </c>
      <c r="J2" s="3450" t="s">
        <v>3391</v>
      </c>
      <c r="K2" s="3450" t="s">
        <v>3391</v>
      </c>
      <c r="L2" s="3450" t="s">
        <v>3391</v>
      </c>
    </row>
    <row r="3" spans="1:12">
      <c r="A3" s="3450" t="s">
        <v>3404</v>
      </c>
      <c r="B3" s="3451">
        <f>ROUND(AVERAGE(C3:L3),1)</f>
        <v>139.6</v>
      </c>
      <c r="C3" s="3450">
        <v>136.54</v>
      </c>
      <c r="D3" s="3450">
        <v>141.88</v>
      </c>
      <c r="E3" s="3450">
        <v>142.88999999999999</v>
      </c>
      <c r="F3" s="3450">
        <v>132.56</v>
      </c>
      <c r="G3" s="3450">
        <v>134.08000000000001</v>
      </c>
      <c r="H3" s="3450">
        <v>138.81</v>
      </c>
      <c r="I3" s="3450">
        <v>141.02000000000001</v>
      </c>
      <c r="J3" s="3450">
        <v>148.21</v>
      </c>
      <c r="K3" s="3450">
        <v>140.52000000000001</v>
      </c>
    </row>
    <row r="4" spans="1:12">
      <c r="A4" s="3450" t="s">
        <v>3405</v>
      </c>
      <c r="B4" s="3451">
        <f t="shared" ref="B4:B54" si="0">ROUND(AVERAGE(C4:L4),1)</f>
        <v>138.9</v>
      </c>
      <c r="C4" s="3450">
        <v>141.65</v>
      </c>
      <c r="D4" s="3450">
        <v>141.63999999999999</v>
      </c>
      <c r="E4" s="3450">
        <v>133.13999999999999</v>
      </c>
      <c r="F4" s="3450">
        <v>129.25</v>
      </c>
      <c r="G4" s="3450">
        <v>141.93</v>
      </c>
      <c r="H4" s="3450">
        <v>147.94</v>
      </c>
      <c r="J4" s="3450">
        <v>136.77000000000001</v>
      </c>
      <c r="K4" s="3450">
        <v>135.51</v>
      </c>
      <c r="L4" s="3450">
        <v>141.91</v>
      </c>
    </row>
    <row r="5" spans="1:12">
      <c r="A5" s="3450" t="s">
        <v>3406</v>
      </c>
      <c r="B5" s="3451">
        <f t="shared" si="0"/>
        <v>156.1</v>
      </c>
      <c r="C5" s="3450">
        <v>155.75</v>
      </c>
      <c r="D5" s="3450">
        <v>152.44999999999999</v>
      </c>
      <c r="E5" s="3450">
        <v>143.41</v>
      </c>
      <c r="F5" s="3450">
        <v>147.58000000000001</v>
      </c>
      <c r="G5" s="3450">
        <v>156.06</v>
      </c>
      <c r="H5" s="3450">
        <v>153.87</v>
      </c>
      <c r="I5" s="3450">
        <v>152.41999999999999</v>
      </c>
      <c r="J5" s="3450">
        <v>159.11000000000001</v>
      </c>
      <c r="K5" s="3450">
        <v>162</v>
      </c>
      <c r="L5" s="3450">
        <v>178.39</v>
      </c>
    </row>
    <row r="6" spans="1:12">
      <c r="A6" s="3450" t="s">
        <v>3407</v>
      </c>
      <c r="B6" s="3451">
        <f t="shared" si="0"/>
        <v>148.69999999999999</v>
      </c>
      <c r="C6" s="3450">
        <v>149.44</v>
      </c>
      <c r="D6" s="3450">
        <v>143.68</v>
      </c>
      <c r="E6" s="3450">
        <v>145.44</v>
      </c>
      <c r="F6" s="3450">
        <v>153.69999999999999</v>
      </c>
      <c r="G6" s="3450">
        <v>148.96</v>
      </c>
      <c r="H6" s="3450">
        <v>146.18</v>
      </c>
      <c r="J6" s="3450">
        <v>146.36000000000001</v>
      </c>
      <c r="K6" s="3450">
        <v>149.37</v>
      </c>
      <c r="L6" s="3450">
        <v>154.72</v>
      </c>
    </row>
    <row r="7" spans="1:12">
      <c r="A7" s="3450" t="s">
        <v>3409</v>
      </c>
      <c r="B7" s="3451">
        <f t="shared" si="0"/>
        <v>150.80000000000001</v>
      </c>
      <c r="C7" s="3450">
        <v>166.12</v>
      </c>
      <c r="D7" s="3450">
        <v>140.79</v>
      </c>
      <c r="E7" s="3450">
        <v>140.79</v>
      </c>
      <c r="H7" s="3450">
        <v>165.02</v>
      </c>
      <c r="K7" s="3450">
        <v>142.75</v>
      </c>
      <c r="L7" s="3450">
        <v>149.13999999999999</v>
      </c>
    </row>
    <row r="8" spans="1:12">
      <c r="A8" s="3450" t="s">
        <v>3529</v>
      </c>
      <c r="B8" s="3466">
        <f t="shared" si="0"/>
        <v>136.19999999999999</v>
      </c>
      <c r="C8" s="3450">
        <v>193.33</v>
      </c>
      <c r="D8" s="3450">
        <v>107.56</v>
      </c>
      <c r="E8" s="3450">
        <v>107.56</v>
      </c>
    </row>
    <row r="9" spans="1:12">
      <c r="A9" s="3450" t="s">
        <v>3411</v>
      </c>
      <c r="B9" s="3451">
        <f t="shared" si="0"/>
        <v>147.5</v>
      </c>
      <c r="C9" s="3450">
        <v>155.04</v>
      </c>
      <c r="D9" s="3450">
        <v>112.6</v>
      </c>
      <c r="E9" s="3450">
        <v>129.72999999999999</v>
      </c>
      <c r="F9" s="3450">
        <v>129.72999999999999</v>
      </c>
      <c r="G9" s="3450">
        <v>120.04</v>
      </c>
      <c r="H9" s="3450">
        <v>120.04</v>
      </c>
      <c r="I9" s="3450">
        <v>206.25</v>
      </c>
      <c r="J9" s="3450">
        <v>206.25</v>
      </c>
    </row>
    <row r="10" spans="1:12">
      <c r="A10" s="3450" t="s">
        <v>3412</v>
      </c>
      <c r="B10" s="3451">
        <f t="shared" si="0"/>
        <v>120.6</v>
      </c>
      <c r="C10" s="3450">
        <v>122.79</v>
      </c>
      <c r="D10" s="3450">
        <v>114.8</v>
      </c>
      <c r="E10" s="3450">
        <v>120.86</v>
      </c>
      <c r="F10" s="3450">
        <v>123.38</v>
      </c>
      <c r="G10" s="3450">
        <v>123.55</v>
      </c>
      <c r="H10" s="3450">
        <v>126.71</v>
      </c>
      <c r="I10" s="3450">
        <v>126.71</v>
      </c>
      <c r="J10" s="3450">
        <v>121.71</v>
      </c>
      <c r="K10" s="3450">
        <v>118.43</v>
      </c>
      <c r="L10" s="3450">
        <v>106.72</v>
      </c>
    </row>
    <row r="11" spans="1:12">
      <c r="A11" s="3450" t="s">
        <v>3413</v>
      </c>
      <c r="B11" s="3451">
        <f t="shared" si="0"/>
        <v>113</v>
      </c>
      <c r="C11" s="3450">
        <v>108.71</v>
      </c>
      <c r="D11" s="3450">
        <v>108.71</v>
      </c>
      <c r="E11" s="3450">
        <v>99.52</v>
      </c>
      <c r="F11" s="3450">
        <v>112.95</v>
      </c>
      <c r="G11" s="3450">
        <v>137.41</v>
      </c>
      <c r="J11" s="3450">
        <v>114.16</v>
      </c>
      <c r="K11" s="3450">
        <v>114.25</v>
      </c>
      <c r="L11" s="3450">
        <v>108.46</v>
      </c>
    </row>
    <row r="12" spans="1:12">
      <c r="A12" s="3450" t="s">
        <v>3414</v>
      </c>
      <c r="B12" s="3451">
        <f t="shared" si="0"/>
        <v>117.7</v>
      </c>
      <c r="C12" s="3450">
        <v>129.22999999999999</v>
      </c>
      <c r="D12" s="3450">
        <v>131.02000000000001</v>
      </c>
      <c r="E12" s="3450">
        <v>132.81</v>
      </c>
      <c r="G12" s="3450">
        <v>105.52</v>
      </c>
      <c r="H12" s="3450">
        <v>105.52</v>
      </c>
      <c r="I12" s="3450">
        <v>124.71</v>
      </c>
      <c r="J12" s="3450">
        <v>109.62</v>
      </c>
      <c r="K12" s="3450">
        <v>111.41</v>
      </c>
      <c r="L12" s="3450">
        <v>109.09</v>
      </c>
    </row>
    <row r="13" spans="1:12">
      <c r="A13" s="3450" t="s">
        <v>3415</v>
      </c>
      <c r="B13" s="3451">
        <f t="shared" si="0"/>
        <v>137.5</v>
      </c>
      <c r="C13" s="3450">
        <v>131.96</v>
      </c>
      <c r="D13" s="3450">
        <v>141.41</v>
      </c>
      <c r="E13" s="3450">
        <v>133.21</v>
      </c>
      <c r="F13" s="3450">
        <v>138.94999999999999</v>
      </c>
      <c r="G13" s="3450">
        <v>138.94999999999999</v>
      </c>
      <c r="H13" s="3450">
        <v>141.41</v>
      </c>
      <c r="I13" s="3450">
        <v>141.41</v>
      </c>
      <c r="J13" s="3450">
        <v>141.41</v>
      </c>
      <c r="K13" s="3450">
        <v>129.03</v>
      </c>
    </row>
    <row r="14" spans="1:12">
      <c r="A14" s="3450" t="s">
        <v>3393</v>
      </c>
      <c r="B14" s="3451">
        <f t="shared" si="0"/>
        <v>159.5</v>
      </c>
      <c r="C14" s="3450">
        <v>152.79</v>
      </c>
      <c r="D14" s="3450">
        <v>157.69999999999999</v>
      </c>
      <c r="E14" s="3450">
        <v>156.80000000000001</v>
      </c>
      <c r="F14" s="3450">
        <v>157.03</v>
      </c>
      <c r="G14" s="3450">
        <v>159.62</v>
      </c>
      <c r="H14" s="3450">
        <v>159.62</v>
      </c>
      <c r="I14" s="3450">
        <v>160.69999999999999</v>
      </c>
      <c r="J14" s="3450">
        <v>161.71</v>
      </c>
      <c r="K14" s="3450">
        <v>161.71</v>
      </c>
      <c r="L14" s="3450">
        <v>167.53</v>
      </c>
    </row>
    <row r="15" spans="1:12">
      <c r="A15" s="3450" t="s">
        <v>3397</v>
      </c>
      <c r="B15" s="3451">
        <f t="shared" si="0"/>
        <v>150.69999999999999</v>
      </c>
      <c r="C15" s="3450">
        <v>152.32</v>
      </c>
      <c r="D15" s="3450">
        <v>155.31</v>
      </c>
      <c r="E15" s="3450">
        <v>159.72</v>
      </c>
      <c r="F15" s="3450">
        <v>147.86000000000001</v>
      </c>
      <c r="G15" s="3450">
        <v>143.94999999999999</v>
      </c>
      <c r="H15" s="3450">
        <v>143.94999999999999</v>
      </c>
      <c r="I15" s="3450">
        <v>143.94999999999999</v>
      </c>
      <c r="J15" s="3450">
        <v>158.13999999999999</v>
      </c>
    </row>
    <row r="16" spans="1:12">
      <c r="A16" s="3450" t="s">
        <v>3531</v>
      </c>
      <c r="B16" s="3466">
        <f t="shared" si="0"/>
        <v>135</v>
      </c>
      <c r="C16" s="3450">
        <v>141.44999999999999</v>
      </c>
      <c r="D16" s="3450">
        <v>140.88</v>
      </c>
      <c r="E16" s="3450">
        <v>134.82</v>
      </c>
      <c r="F16" s="3450">
        <v>132</v>
      </c>
      <c r="G16" s="3450">
        <v>141.22</v>
      </c>
      <c r="H16" s="3450">
        <v>127.43</v>
      </c>
      <c r="I16" s="3450">
        <v>130.47</v>
      </c>
      <c r="J16" s="3450">
        <v>132</v>
      </c>
    </row>
    <row r="17" spans="1:12">
      <c r="A17" s="3450" t="s">
        <v>3417</v>
      </c>
      <c r="B17" s="3451">
        <f t="shared" si="0"/>
        <v>181.9</v>
      </c>
      <c r="C17" s="3450">
        <v>176.5</v>
      </c>
      <c r="D17" s="3450">
        <v>171.64</v>
      </c>
      <c r="E17" s="3450">
        <v>182.22</v>
      </c>
      <c r="F17" s="3450">
        <v>197.27</v>
      </c>
      <c r="G17" s="3450">
        <v>190.81</v>
      </c>
      <c r="H17" s="3450">
        <v>167.51</v>
      </c>
      <c r="I17" s="3450">
        <v>188.48</v>
      </c>
      <c r="J17" s="3450">
        <v>190.28</v>
      </c>
      <c r="K17" s="3450">
        <v>175.88</v>
      </c>
      <c r="L17" s="3450">
        <v>177.92</v>
      </c>
    </row>
    <row r="18" spans="1:12">
      <c r="A18" s="3450" t="s">
        <v>3418</v>
      </c>
      <c r="B18" s="3467">
        <f t="shared" si="0"/>
        <v>141.1</v>
      </c>
      <c r="C18" s="3450">
        <v>136.44</v>
      </c>
      <c r="D18" s="3450">
        <v>145.83000000000001</v>
      </c>
    </row>
    <row r="19" spans="1:12">
      <c r="A19" s="3450" t="s">
        <v>3532</v>
      </c>
      <c r="B19" s="3466">
        <f t="shared" si="0"/>
        <v>123.4</v>
      </c>
      <c r="C19" s="3450">
        <v>143.91999999999999</v>
      </c>
      <c r="D19" s="3450">
        <v>106.93</v>
      </c>
      <c r="E19" s="3450">
        <v>107.41</v>
      </c>
      <c r="F19" s="3450">
        <v>159.09</v>
      </c>
      <c r="G19" s="3450">
        <v>159.09</v>
      </c>
      <c r="H19" s="3450">
        <v>132.63999999999999</v>
      </c>
      <c r="I19" s="3450">
        <v>106.19</v>
      </c>
      <c r="J19" s="3450">
        <v>106.19</v>
      </c>
      <c r="K19" s="3450">
        <v>106.19</v>
      </c>
      <c r="L19" s="3450">
        <v>106.19</v>
      </c>
    </row>
    <row r="20" spans="1:12" s="3458" customFormat="1">
      <c r="A20" s="3458" t="s">
        <v>3420</v>
      </c>
      <c r="B20" s="3451">
        <f t="shared" si="0"/>
        <v>143.30000000000001</v>
      </c>
      <c r="C20" s="3458">
        <v>143.47999999999999</v>
      </c>
      <c r="D20" s="3458">
        <v>134.86000000000001</v>
      </c>
      <c r="E20" s="3458">
        <v>155</v>
      </c>
      <c r="F20" s="3458">
        <v>174.3</v>
      </c>
      <c r="G20" s="3458">
        <v>152.15</v>
      </c>
      <c r="H20" s="3458">
        <v>129.78</v>
      </c>
      <c r="I20" s="3458">
        <v>127.62</v>
      </c>
      <c r="J20" s="3458">
        <v>130.26</v>
      </c>
      <c r="K20" s="3458">
        <v>135.62</v>
      </c>
      <c r="L20" s="3458">
        <v>149.63999999999999</v>
      </c>
    </row>
    <row r="21" spans="1:12" s="3458" customFormat="1">
      <c r="A21" s="3458" t="s">
        <v>3421</v>
      </c>
      <c r="B21" s="3451">
        <f t="shared" si="0"/>
        <v>167.1</v>
      </c>
      <c r="C21" s="3458">
        <v>173.55</v>
      </c>
      <c r="D21" s="3458">
        <v>164.84</v>
      </c>
      <c r="E21" s="3458">
        <v>166.05</v>
      </c>
      <c r="F21" s="3458">
        <v>173.14</v>
      </c>
      <c r="G21" s="3458">
        <v>172.37</v>
      </c>
      <c r="H21" s="3458">
        <v>176.82</v>
      </c>
      <c r="I21" s="3458">
        <v>159.47999999999999</v>
      </c>
      <c r="J21" s="3458">
        <v>165.87</v>
      </c>
      <c r="K21" s="3458">
        <v>160.37</v>
      </c>
      <c r="L21" s="3458">
        <v>158.55000000000001</v>
      </c>
    </row>
    <row r="22" spans="1:12" s="3458" customFormat="1">
      <c r="A22" s="3458" t="s">
        <v>3422</v>
      </c>
      <c r="B22" s="3451">
        <f t="shared" si="0"/>
        <v>120.5</v>
      </c>
      <c r="C22" s="3458">
        <v>137.35</v>
      </c>
      <c r="D22" s="3458">
        <v>127.92</v>
      </c>
      <c r="E22" s="3458">
        <v>128.61000000000001</v>
      </c>
      <c r="F22" s="3458">
        <v>122.11</v>
      </c>
      <c r="G22" s="3458">
        <v>122.11</v>
      </c>
      <c r="H22" s="3458">
        <v>102.74</v>
      </c>
      <c r="I22" s="3458">
        <v>102.74</v>
      </c>
    </row>
    <row r="23" spans="1:12" s="3458" customFormat="1">
      <c r="A23" s="3458" t="s">
        <v>3423</v>
      </c>
      <c r="B23" s="3451">
        <f t="shared" si="0"/>
        <v>160.4</v>
      </c>
      <c r="C23" s="3458">
        <v>172.46</v>
      </c>
      <c r="D23" s="3458">
        <v>139.43</v>
      </c>
      <c r="E23" s="3458">
        <v>140.88999999999999</v>
      </c>
      <c r="F23" s="3458">
        <v>171.5</v>
      </c>
      <c r="G23" s="3458">
        <v>167.41</v>
      </c>
      <c r="H23" s="3458">
        <v>158.47</v>
      </c>
      <c r="I23" s="3458">
        <v>188.34</v>
      </c>
      <c r="J23" s="3458">
        <v>154.79</v>
      </c>
      <c r="K23" s="3458">
        <v>155.6</v>
      </c>
      <c r="L23" s="3458">
        <v>155.6</v>
      </c>
    </row>
    <row r="24" spans="1:12" s="3458" customFormat="1">
      <c r="A24" s="3458" t="s">
        <v>3424</v>
      </c>
      <c r="B24" s="3451">
        <f t="shared" si="0"/>
        <v>151.4</v>
      </c>
      <c r="C24" s="3458">
        <v>155.03</v>
      </c>
      <c r="D24" s="3458">
        <v>150.44</v>
      </c>
      <c r="E24" s="3458">
        <v>145.04</v>
      </c>
      <c r="F24" s="3458">
        <v>142.66</v>
      </c>
      <c r="G24" s="3458">
        <v>144.94</v>
      </c>
      <c r="H24" s="3458">
        <v>138.38</v>
      </c>
      <c r="I24" s="3458">
        <v>147.83000000000001</v>
      </c>
      <c r="J24" s="3458">
        <v>170.12</v>
      </c>
      <c r="K24" s="3458">
        <v>167.95</v>
      </c>
    </row>
    <row r="25" spans="1:12" s="3458" customFormat="1">
      <c r="A25" s="3458" t="s">
        <v>3427</v>
      </c>
      <c r="B25" s="3451">
        <f t="shared" si="0"/>
        <v>142.6</v>
      </c>
      <c r="C25" s="3458">
        <v>144.1</v>
      </c>
      <c r="D25" s="3458">
        <v>116.69</v>
      </c>
      <c r="E25" s="3458">
        <v>108.89</v>
      </c>
      <c r="F25" s="3458">
        <v>148.12</v>
      </c>
      <c r="G25" s="3458">
        <v>183.52</v>
      </c>
      <c r="H25" s="3458">
        <v>177.27</v>
      </c>
      <c r="I25" s="3458">
        <v>131.30000000000001</v>
      </c>
      <c r="J25" s="3458">
        <v>135.22999999999999</v>
      </c>
      <c r="K25" s="3458">
        <v>137.96</v>
      </c>
    </row>
    <row r="26" spans="1:12" s="3458" customFormat="1">
      <c r="A26" s="3458" t="s">
        <v>3428</v>
      </c>
      <c r="B26" s="3451">
        <f t="shared" si="0"/>
        <v>135</v>
      </c>
      <c r="C26" s="3458">
        <v>140.94</v>
      </c>
      <c r="D26" s="3458">
        <v>141.66</v>
      </c>
      <c r="E26" s="3458">
        <v>141.29</v>
      </c>
      <c r="F26" s="3458">
        <v>135.19999999999999</v>
      </c>
      <c r="G26" s="3458">
        <v>124.96</v>
      </c>
      <c r="H26" s="3458">
        <v>124.96</v>
      </c>
      <c r="I26" s="3458">
        <v>124.72</v>
      </c>
      <c r="J26" s="3458">
        <v>133.54</v>
      </c>
      <c r="K26" s="3458">
        <v>139.31</v>
      </c>
      <c r="L26" s="3458">
        <v>143.25</v>
      </c>
    </row>
    <row r="27" spans="1:12" s="3458" customFormat="1">
      <c r="A27" s="3458" t="s">
        <v>3429</v>
      </c>
      <c r="B27" s="3451">
        <f t="shared" si="0"/>
        <v>142.6</v>
      </c>
      <c r="C27" s="3458">
        <v>155.44</v>
      </c>
      <c r="D27" s="3458">
        <v>147.41</v>
      </c>
      <c r="E27" s="3458">
        <v>149.47</v>
      </c>
      <c r="F27" s="3458">
        <v>143.93</v>
      </c>
      <c r="G27" s="3458">
        <v>143.47999999999999</v>
      </c>
      <c r="H27" s="3458">
        <v>144.63999999999999</v>
      </c>
      <c r="I27" s="3458">
        <v>139.46</v>
      </c>
      <c r="J27" s="3458">
        <v>134.47</v>
      </c>
      <c r="K27" s="3458">
        <v>133.93</v>
      </c>
      <c r="L27" s="3458">
        <v>133.93</v>
      </c>
    </row>
    <row r="28" spans="1:12" s="3458" customFormat="1">
      <c r="A28" s="3458" t="s">
        <v>3430</v>
      </c>
      <c r="B28" s="3451">
        <f t="shared" si="0"/>
        <v>118.5</v>
      </c>
      <c r="C28" s="3458">
        <v>171.03</v>
      </c>
      <c r="D28" s="3458">
        <v>112.91</v>
      </c>
      <c r="E28" s="3458">
        <v>112.91</v>
      </c>
      <c r="F28" s="3458">
        <v>107.67</v>
      </c>
      <c r="G28" s="3458">
        <v>110.88</v>
      </c>
      <c r="H28" s="3458">
        <v>113.99</v>
      </c>
      <c r="I28" s="3458">
        <v>109.11</v>
      </c>
      <c r="J28" s="3458">
        <v>114.09</v>
      </c>
      <c r="K28" s="3458">
        <v>114.09</v>
      </c>
    </row>
    <row r="29" spans="1:12" s="3458" customFormat="1">
      <c r="A29" s="3458" t="s">
        <v>3431</v>
      </c>
      <c r="B29" s="3451">
        <f t="shared" si="0"/>
        <v>123.2</v>
      </c>
      <c r="C29" s="3458">
        <v>131.76</v>
      </c>
      <c r="D29" s="3458">
        <v>108.87</v>
      </c>
      <c r="E29" s="3458">
        <v>122.3</v>
      </c>
      <c r="F29" s="3458">
        <v>156.61000000000001</v>
      </c>
      <c r="G29" s="3458">
        <v>116.31</v>
      </c>
      <c r="H29" s="3458">
        <v>111.96</v>
      </c>
      <c r="I29" s="3458">
        <v>111.96</v>
      </c>
      <c r="J29" s="3458">
        <v>117.24</v>
      </c>
      <c r="K29" s="3458">
        <v>127.38</v>
      </c>
      <c r="L29" s="3458">
        <v>127.38</v>
      </c>
    </row>
    <row r="30" spans="1:12" s="3458" customFormat="1">
      <c r="A30" s="3458" t="s">
        <v>3432</v>
      </c>
      <c r="B30" s="3451">
        <f t="shared" si="0"/>
        <v>176.7</v>
      </c>
      <c r="C30" s="3458">
        <v>176.67</v>
      </c>
    </row>
    <row r="31" spans="1:12" s="3458" customFormat="1">
      <c r="A31" s="3458" t="s">
        <v>3435</v>
      </c>
      <c r="B31" s="3451">
        <f t="shared" si="0"/>
        <v>160.30000000000001</v>
      </c>
      <c r="C31" s="3458">
        <v>154.96</v>
      </c>
      <c r="D31" s="3458">
        <v>149.94</v>
      </c>
      <c r="E31" s="3458">
        <v>151</v>
      </c>
      <c r="F31" s="3458">
        <v>145.30000000000001</v>
      </c>
      <c r="G31" s="3458">
        <v>145.30000000000001</v>
      </c>
      <c r="H31" s="3458">
        <v>153.53</v>
      </c>
      <c r="I31" s="3458">
        <v>153.53</v>
      </c>
      <c r="J31" s="3458">
        <v>149.9</v>
      </c>
      <c r="K31" s="3458">
        <v>200</v>
      </c>
      <c r="L31" s="3458">
        <v>200</v>
      </c>
    </row>
    <row r="32" spans="1:12" s="3458" customFormat="1">
      <c r="A32" s="3458" t="s">
        <v>3437</v>
      </c>
      <c r="B32" s="3451">
        <f t="shared" si="0"/>
        <v>87.4</v>
      </c>
      <c r="C32" s="3458">
        <v>90.85</v>
      </c>
      <c r="D32" s="3458">
        <v>79.09</v>
      </c>
      <c r="E32" s="3458">
        <v>79.09</v>
      </c>
      <c r="K32" s="3458">
        <v>93.98</v>
      </c>
      <c r="L32" s="3458">
        <v>93.98</v>
      </c>
    </row>
    <row r="33" spans="1:14" s="3458" customFormat="1">
      <c r="A33" s="3458" t="s">
        <v>3438</v>
      </c>
      <c r="B33" s="3451">
        <f t="shared" si="0"/>
        <v>137.1</v>
      </c>
      <c r="C33" s="3458">
        <v>137.16999999999999</v>
      </c>
      <c r="D33" s="3458">
        <v>142.97999999999999</v>
      </c>
      <c r="E33" s="3458">
        <v>144.63</v>
      </c>
      <c r="F33" s="3458">
        <v>143.06</v>
      </c>
      <c r="G33" s="3458">
        <v>150.84</v>
      </c>
      <c r="H33" s="3458">
        <v>137.06</v>
      </c>
      <c r="I33" s="3458">
        <v>128.46</v>
      </c>
      <c r="J33" s="3458">
        <v>116.26</v>
      </c>
      <c r="K33" s="3458">
        <v>126.8</v>
      </c>
      <c r="L33" s="3458">
        <v>143.86000000000001</v>
      </c>
    </row>
    <row r="34" spans="1:14" s="3458" customFormat="1">
      <c r="A34" s="3458" t="s">
        <v>3439</v>
      </c>
      <c r="B34" s="3451">
        <f t="shared" si="0"/>
        <v>195.6</v>
      </c>
      <c r="C34" s="3458">
        <v>190.58</v>
      </c>
      <c r="D34" s="3458">
        <v>195.94</v>
      </c>
      <c r="E34" s="3458">
        <v>202.52</v>
      </c>
      <c r="F34" s="3458">
        <v>202.52</v>
      </c>
      <c r="G34" s="3458">
        <v>202.52</v>
      </c>
      <c r="H34" s="3458">
        <v>202.52</v>
      </c>
      <c r="I34" s="3458">
        <v>185.72</v>
      </c>
      <c r="J34" s="3458">
        <v>185.72</v>
      </c>
      <c r="K34" s="3458">
        <v>185.72</v>
      </c>
      <c r="L34" s="3458">
        <v>202.52</v>
      </c>
    </row>
    <row r="35" spans="1:14" s="3458" customFormat="1">
      <c r="A35" s="3458" t="s">
        <v>3440</v>
      </c>
      <c r="B35" s="3451">
        <f t="shared" si="0"/>
        <v>121.4</v>
      </c>
      <c r="C35" s="3458">
        <v>125.61</v>
      </c>
      <c r="D35" s="3458">
        <v>124.89</v>
      </c>
      <c r="E35" s="3458">
        <v>117.1</v>
      </c>
      <c r="F35" s="3458">
        <v>119.52</v>
      </c>
      <c r="G35" s="3458">
        <v>116.23</v>
      </c>
      <c r="H35" s="3458">
        <v>114.52</v>
      </c>
      <c r="I35" s="3458">
        <v>115.48</v>
      </c>
      <c r="J35" s="3458">
        <v>125.64</v>
      </c>
      <c r="K35" s="3458">
        <v>127.85</v>
      </c>
      <c r="L35" s="3458">
        <v>127.45</v>
      </c>
    </row>
    <row r="36" spans="1:14" s="3458" customFormat="1">
      <c r="A36" s="3458" t="s">
        <v>3441</v>
      </c>
      <c r="B36" s="3451">
        <f t="shared" si="0"/>
        <v>145.30000000000001</v>
      </c>
      <c r="C36" s="3458">
        <v>149.15</v>
      </c>
      <c r="D36" s="3458">
        <v>152.36000000000001</v>
      </c>
      <c r="E36" s="3458">
        <v>147.38999999999999</v>
      </c>
      <c r="F36" s="3458">
        <v>146.38999999999999</v>
      </c>
      <c r="G36" s="3458">
        <v>141.13</v>
      </c>
      <c r="H36" s="3458">
        <v>144.85</v>
      </c>
      <c r="I36" s="3458">
        <v>137.08000000000001</v>
      </c>
      <c r="J36" s="3458">
        <v>137.83000000000001</v>
      </c>
      <c r="K36" s="3458">
        <v>141.93</v>
      </c>
      <c r="L36" s="3458">
        <v>154.63999999999999</v>
      </c>
    </row>
    <row r="37" spans="1:14" s="3458" customFormat="1">
      <c r="A37" s="3458" t="s">
        <v>3443</v>
      </c>
      <c r="B37" s="3451">
        <f t="shared" si="0"/>
        <v>148.80000000000001</v>
      </c>
      <c r="C37" s="3458">
        <v>147.15</v>
      </c>
      <c r="D37" s="3458">
        <v>146.9</v>
      </c>
      <c r="E37" s="3458">
        <v>146.82</v>
      </c>
      <c r="F37" s="3458">
        <v>146.82</v>
      </c>
      <c r="G37" s="3458">
        <v>160.62</v>
      </c>
      <c r="H37" s="3458">
        <v>149.96</v>
      </c>
      <c r="I37" s="3458">
        <v>143.08000000000001</v>
      </c>
      <c r="J37" s="3458">
        <v>149.4</v>
      </c>
    </row>
    <row r="38" spans="1:14" s="3458" customFormat="1">
      <c r="A38" s="3458" t="s">
        <v>3444</v>
      </c>
      <c r="B38" s="3451">
        <f t="shared" si="0"/>
        <v>138.9</v>
      </c>
      <c r="C38" s="3458">
        <v>133.33000000000001</v>
      </c>
      <c r="D38" s="3458">
        <v>129.80000000000001</v>
      </c>
      <c r="E38" s="3458">
        <v>129.37</v>
      </c>
      <c r="F38" s="3458">
        <v>135.09</v>
      </c>
      <c r="G38" s="3458">
        <v>137.71</v>
      </c>
      <c r="H38" s="3458">
        <v>127.64</v>
      </c>
      <c r="I38" s="3458">
        <v>138</v>
      </c>
      <c r="J38" s="3458">
        <v>139.24</v>
      </c>
      <c r="K38" s="3458">
        <v>149.62</v>
      </c>
      <c r="L38" s="3458">
        <v>169.04</v>
      </c>
    </row>
    <row r="39" spans="1:14" s="3458" customFormat="1">
      <c r="A39" s="3458" t="s">
        <v>3445</v>
      </c>
      <c r="B39" s="3451">
        <f t="shared" si="0"/>
        <v>134.4</v>
      </c>
      <c r="C39" s="3458">
        <v>152.47</v>
      </c>
      <c r="D39" s="3458">
        <v>137.41</v>
      </c>
      <c r="E39" s="3458">
        <v>134.25</v>
      </c>
      <c r="F39" s="3458">
        <v>132.26</v>
      </c>
      <c r="G39" s="3458">
        <v>132.84</v>
      </c>
      <c r="H39" s="3458">
        <v>130.02000000000001</v>
      </c>
      <c r="I39" s="3458">
        <v>124.79</v>
      </c>
      <c r="J39" s="3458">
        <v>129.78</v>
      </c>
      <c r="K39" s="3458">
        <v>131.4</v>
      </c>
      <c r="L39" s="3458">
        <v>138.91</v>
      </c>
    </row>
    <row r="40" spans="1:14" s="3458" customFormat="1">
      <c r="A40" s="3458" t="s">
        <v>3446</v>
      </c>
      <c r="B40" s="3451">
        <f t="shared" si="0"/>
        <v>141.9</v>
      </c>
      <c r="C40" s="3458">
        <v>187.57</v>
      </c>
      <c r="D40" s="3458">
        <v>193.24</v>
      </c>
      <c r="E40" s="3458">
        <v>93.33</v>
      </c>
      <c r="F40" s="3458">
        <v>93.33</v>
      </c>
    </row>
    <row r="41" spans="1:14" s="3458" customFormat="1">
      <c r="A41" s="3458" t="s">
        <v>3447</v>
      </c>
      <c r="B41" s="3451">
        <f t="shared" si="0"/>
        <v>140.9</v>
      </c>
      <c r="E41" s="3458">
        <v>146.63</v>
      </c>
      <c r="F41" s="3458">
        <v>146.63</v>
      </c>
      <c r="J41" s="3458">
        <v>135.08000000000001</v>
      </c>
      <c r="K41" s="3458">
        <v>135.08000000000001</v>
      </c>
    </row>
    <row r="42" spans="1:14" s="3458" customFormat="1">
      <c r="A42" s="3458" t="s">
        <v>3449</v>
      </c>
      <c r="B42" s="3451">
        <f t="shared" si="0"/>
        <v>125.7</v>
      </c>
      <c r="C42" s="3458">
        <v>140.04</v>
      </c>
      <c r="D42" s="3458">
        <v>125.05</v>
      </c>
      <c r="E42" s="3458">
        <v>126.31</v>
      </c>
      <c r="F42" s="3458">
        <v>125.86</v>
      </c>
      <c r="G42" s="3458">
        <v>124.55</v>
      </c>
      <c r="H42" s="3458">
        <v>123.37</v>
      </c>
      <c r="I42" s="3458">
        <v>122.57</v>
      </c>
      <c r="J42" s="3458">
        <v>125.82</v>
      </c>
      <c r="K42" s="3458">
        <v>121.74</v>
      </c>
      <c r="L42" s="3458">
        <v>121.19</v>
      </c>
      <c r="N42" s="3458">
        <v>120.64</v>
      </c>
    </row>
    <row r="43" spans="1:14" s="3458" customFormat="1">
      <c r="A43" s="3458" t="s">
        <v>3453</v>
      </c>
      <c r="B43" s="3451">
        <f t="shared" si="0"/>
        <v>129.80000000000001</v>
      </c>
      <c r="C43" s="3458">
        <v>151.9</v>
      </c>
      <c r="D43" s="3458">
        <v>136.97</v>
      </c>
      <c r="E43" s="3458">
        <v>131.97999999999999</v>
      </c>
      <c r="F43" s="3458">
        <v>127.79</v>
      </c>
      <c r="G43" s="3458">
        <v>108.66</v>
      </c>
      <c r="H43" s="3458">
        <v>117.01</v>
      </c>
      <c r="I43" s="3458">
        <v>131.84</v>
      </c>
      <c r="J43" s="3458">
        <v>130.13</v>
      </c>
      <c r="K43" s="3458">
        <v>132.07</v>
      </c>
    </row>
    <row r="44" spans="1:14" s="3458" customFormat="1">
      <c r="A44" s="3458" t="s">
        <v>3454</v>
      </c>
      <c r="B44" s="3451">
        <f t="shared" si="0"/>
        <v>140.80000000000001</v>
      </c>
      <c r="C44" s="3458">
        <v>161.24</v>
      </c>
      <c r="D44" s="3458">
        <v>150.85</v>
      </c>
      <c r="E44" s="3458">
        <v>143.22</v>
      </c>
      <c r="F44" s="3458">
        <v>142.93</v>
      </c>
      <c r="G44" s="3458">
        <v>141</v>
      </c>
      <c r="H44" s="3458">
        <v>141</v>
      </c>
      <c r="I44" s="3458">
        <v>134.96</v>
      </c>
      <c r="J44" s="3458">
        <v>128.05000000000001</v>
      </c>
      <c r="K44" s="3458">
        <v>133.01</v>
      </c>
      <c r="L44" s="3458">
        <v>132.01</v>
      </c>
    </row>
    <row r="45" spans="1:14" s="3458" customFormat="1">
      <c r="A45" s="3458" t="s">
        <v>3455</v>
      </c>
      <c r="B45" s="3451">
        <f t="shared" si="0"/>
        <v>111.4</v>
      </c>
      <c r="C45" s="3458">
        <v>111.36</v>
      </c>
      <c r="D45" s="3458">
        <v>111.36</v>
      </c>
      <c r="E45" s="3458">
        <v>111.36</v>
      </c>
      <c r="F45" s="3458">
        <v>111.36</v>
      </c>
      <c r="G45" s="3458">
        <v>111.36</v>
      </c>
    </row>
    <row r="46" spans="1:14" s="3458" customFormat="1">
      <c r="A46" s="3458" t="s">
        <v>3456</v>
      </c>
      <c r="B46" s="3451">
        <f t="shared" si="0"/>
        <v>146.9</v>
      </c>
      <c r="C46" s="3458">
        <v>147.36000000000001</v>
      </c>
      <c r="D46" s="3458">
        <v>147.31</v>
      </c>
      <c r="E46" s="3458">
        <v>148.09</v>
      </c>
      <c r="F46" s="3458">
        <v>151.68</v>
      </c>
      <c r="G46" s="3458">
        <v>147.09</v>
      </c>
      <c r="H46" s="3458">
        <v>142.54</v>
      </c>
      <c r="I46" s="3458">
        <v>144.29</v>
      </c>
      <c r="J46" s="3458">
        <v>147.51</v>
      </c>
      <c r="K46" s="3458">
        <v>146.94999999999999</v>
      </c>
      <c r="L46" s="3458">
        <v>146.59</v>
      </c>
      <c r="M46" s="3458">
        <v>131.41999999999999</v>
      </c>
      <c r="N46" s="3458">
        <v>155.72999999999999</v>
      </c>
    </row>
    <row r="47" spans="1:14" s="3458" customFormat="1">
      <c r="A47" s="3458" t="s">
        <v>3457</v>
      </c>
      <c r="B47" s="3451">
        <f t="shared" si="0"/>
        <v>144.5</v>
      </c>
      <c r="C47" s="3458">
        <v>167.52</v>
      </c>
      <c r="D47" s="3458">
        <v>141.59</v>
      </c>
      <c r="E47" s="3458">
        <v>137.61000000000001</v>
      </c>
      <c r="F47" s="3458">
        <v>137.80000000000001</v>
      </c>
      <c r="G47" s="3458">
        <v>137.80000000000001</v>
      </c>
    </row>
    <row r="48" spans="1:14" s="3458" customFormat="1">
      <c r="A48" s="3458" t="s">
        <v>3458</v>
      </c>
      <c r="B48" s="3451">
        <f t="shared" si="0"/>
        <v>129.6</v>
      </c>
      <c r="C48" s="3458">
        <v>149.9</v>
      </c>
      <c r="D48" s="3458">
        <v>112.62</v>
      </c>
      <c r="E48" s="3458">
        <v>119.96</v>
      </c>
      <c r="F48" s="3458">
        <v>125.69</v>
      </c>
      <c r="G48" s="3458">
        <v>125.93</v>
      </c>
      <c r="H48" s="3458">
        <v>133.91</v>
      </c>
      <c r="I48" s="3458">
        <v>133.62</v>
      </c>
      <c r="J48" s="3458">
        <v>126.31</v>
      </c>
      <c r="K48" s="3458">
        <v>125.07</v>
      </c>
      <c r="L48" s="3458">
        <v>143.04</v>
      </c>
    </row>
    <row r="49" spans="1:14" s="3458" customFormat="1">
      <c r="A49" s="3458" t="s">
        <v>3459</v>
      </c>
      <c r="B49" s="3451">
        <f t="shared" si="0"/>
        <v>138.69999999999999</v>
      </c>
      <c r="C49" s="3458">
        <v>146.04</v>
      </c>
      <c r="D49" s="3458">
        <v>132.43</v>
      </c>
      <c r="E49" s="3458">
        <v>120.9</v>
      </c>
      <c r="F49" s="3458">
        <v>119.79</v>
      </c>
      <c r="G49" s="3458">
        <v>114.71</v>
      </c>
      <c r="H49" s="3458">
        <v>115.13</v>
      </c>
      <c r="I49" s="3458">
        <v>135.49</v>
      </c>
      <c r="J49" s="3458">
        <v>143.22999999999999</v>
      </c>
      <c r="K49" s="3458">
        <v>142.76</v>
      </c>
      <c r="L49" s="3458">
        <v>216.67</v>
      </c>
    </row>
    <row r="50" spans="1:14" s="3458" customFormat="1">
      <c r="A50" s="3458" t="s">
        <v>3460</v>
      </c>
      <c r="B50" s="3451">
        <f t="shared" si="0"/>
        <v>134.4</v>
      </c>
      <c r="C50" s="3458">
        <v>147.08000000000001</v>
      </c>
      <c r="D50" s="3458">
        <v>147.08000000000001</v>
      </c>
      <c r="E50" s="3458">
        <v>134.05000000000001</v>
      </c>
      <c r="J50" s="3458">
        <v>121.95</v>
      </c>
      <c r="K50" s="3458">
        <v>121.95</v>
      </c>
    </row>
    <row r="51" spans="1:14" s="3458" customFormat="1">
      <c r="A51" s="3458" t="s">
        <v>3461</v>
      </c>
      <c r="B51" s="3451">
        <f t="shared" si="0"/>
        <v>133.4</v>
      </c>
      <c r="C51" s="3458">
        <v>134.54</v>
      </c>
      <c r="D51" s="3458">
        <v>134.41999999999999</v>
      </c>
      <c r="E51" s="3458">
        <v>125.48</v>
      </c>
      <c r="F51" s="3458">
        <v>125.17</v>
      </c>
      <c r="G51" s="3458">
        <v>135.69</v>
      </c>
      <c r="H51" s="3458">
        <v>130.83000000000001</v>
      </c>
      <c r="I51" s="3458">
        <v>134.11000000000001</v>
      </c>
      <c r="J51" s="3458">
        <v>134.97</v>
      </c>
      <c r="K51" s="3458">
        <v>138.59</v>
      </c>
      <c r="L51" s="3458">
        <v>140.49</v>
      </c>
      <c r="M51" s="3458">
        <v>139.84</v>
      </c>
      <c r="N51" s="3458">
        <v>123.37</v>
      </c>
    </row>
    <row r="52" spans="1:14" s="3458" customFormat="1">
      <c r="A52" s="3458" t="s">
        <v>3464</v>
      </c>
      <c r="B52" s="3451">
        <f t="shared" si="0"/>
        <v>136.19999999999999</v>
      </c>
      <c r="C52" s="3458">
        <v>136.21</v>
      </c>
    </row>
    <row r="53" spans="1:14" s="3458" customFormat="1">
      <c r="A53" s="3458" t="s">
        <v>3466</v>
      </c>
      <c r="B53" s="3451">
        <f t="shared" si="0"/>
        <v>122.3</v>
      </c>
      <c r="C53" s="3458">
        <v>141.44999999999999</v>
      </c>
      <c r="D53" s="3458">
        <v>124.76</v>
      </c>
      <c r="E53" s="3458">
        <v>122.82</v>
      </c>
      <c r="F53" s="3458">
        <v>122.47</v>
      </c>
      <c r="G53" s="3458">
        <v>116.43</v>
      </c>
      <c r="H53" s="3458">
        <v>120</v>
      </c>
      <c r="I53" s="3458">
        <v>120.42</v>
      </c>
      <c r="J53" s="3458">
        <v>116.42</v>
      </c>
      <c r="K53" s="3458">
        <v>116.28</v>
      </c>
    </row>
    <row r="54" spans="1:14" s="3458" customFormat="1">
      <c r="A54" s="3458" t="s">
        <v>3467</v>
      </c>
      <c r="B54" s="3451">
        <f t="shared" si="0"/>
        <v>141.19999999999999</v>
      </c>
      <c r="C54" s="3458">
        <v>159.75</v>
      </c>
      <c r="D54" s="3458">
        <v>139.74</v>
      </c>
      <c r="E54" s="3458">
        <v>138.41999999999999</v>
      </c>
      <c r="F54" s="3458">
        <v>137.13</v>
      </c>
      <c r="G54" s="3458">
        <v>135.12</v>
      </c>
      <c r="H54" s="3458">
        <v>144.24</v>
      </c>
      <c r="I54" s="3458">
        <v>146.37</v>
      </c>
      <c r="J54" s="3458">
        <v>138.55000000000001</v>
      </c>
      <c r="K54" s="3458">
        <v>137.58000000000001</v>
      </c>
      <c r="L54" s="3458">
        <v>135.04</v>
      </c>
    </row>
    <row r="55" spans="1:14" s="3458" customFormat="1">
      <c r="A55" s="3458" t="s">
        <v>3469</v>
      </c>
      <c r="B55" s="3451">
        <f t="shared" ref="B55:B81" si="1">ROUND(AVERAGE(C55:L55),1)</f>
        <v>154.19999999999999</v>
      </c>
      <c r="C55" s="3458">
        <v>173.69</v>
      </c>
      <c r="D55" s="3458">
        <v>164.76</v>
      </c>
      <c r="E55" s="3458">
        <v>160.9</v>
      </c>
      <c r="F55" s="3458">
        <v>164.22</v>
      </c>
      <c r="G55" s="3458">
        <v>171.51</v>
      </c>
      <c r="H55" s="3458">
        <v>150.72</v>
      </c>
      <c r="I55" s="3458">
        <v>144.11000000000001</v>
      </c>
      <c r="J55" s="3458">
        <v>139.06</v>
      </c>
      <c r="K55" s="3458">
        <v>138.02000000000001</v>
      </c>
      <c r="L55" s="3458">
        <v>135.28</v>
      </c>
      <c r="N55" s="3458">
        <v>121.03</v>
      </c>
    </row>
    <row r="56" spans="1:14" s="3458" customFormat="1">
      <c r="A56" s="3458" t="s">
        <v>3473</v>
      </c>
      <c r="B56" s="3451">
        <f t="shared" si="1"/>
        <v>150.5</v>
      </c>
      <c r="C56" s="3458">
        <v>144.32</v>
      </c>
      <c r="D56" s="3458">
        <v>157.44</v>
      </c>
      <c r="E56" s="3458">
        <v>158.71</v>
      </c>
      <c r="F56" s="3458">
        <v>155.13999999999999</v>
      </c>
      <c r="G56" s="3458">
        <v>147.25</v>
      </c>
      <c r="H56" s="3458">
        <v>148.93</v>
      </c>
      <c r="I56" s="3458">
        <v>158.63999999999999</v>
      </c>
      <c r="J56" s="3458">
        <v>150.61000000000001</v>
      </c>
      <c r="K56" s="3458">
        <v>133.88999999999999</v>
      </c>
    </row>
    <row r="57" spans="1:14" s="3458" customFormat="1">
      <c r="A57" s="3458" t="s">
        <v>3476</v>
      </c>
      <c r="B57" s="3451">
        <f t="shared" si="1"/>
        <v>131.30000000000001</v>
      </c>
      <c r="C57" s="3458">
        <v>131.25</v>
      </c>
    </row>
    <row r="58" spans="1:14" s="3458" customFormat="1">
      <c r="A58" s="3458" t="s">
        <v>3477</v>
      </c>
      <c r="B58" s="3451">
        <f t="shared" si="1"/>
        <v>159</v>
      </c>
      <c r="C58" s="3458">
        <v>152.55000000000001</v>
      </c>
      <c r="E58" s="3458">
        <v>150.15</v>
      </c>
      <c r="F58" s="3458">
        <v>150.15</v>
      </c>
      <c r="G58" s="3458">
        <v>153.91</v>
      </c>
      <c r="H58" s="3458">
        <v>160.76</v>
      </c>
      <c r="I58" s="3458">
        <v>160.76</v>
      </c>
      <c r="J58" s="3458">
        <v>160.76</v>
      </c>
      <c r="K58" s="3458">
        <v>182.56</v>
      </c>
    </row>
    <row r="59" spans="1:14" s="3458" customFormat="1">
      <c r="A59" s="3458" t="s">
        <v>3478</v>
      </c>
      <c r="B59" s="3451">
        <f t="shared" si="1"/>
        <v>128.4</v>
      </c>
      <c r="C59" s="3458">
        <v>126.02</v>
      </c>
      <c r="D59" s="3458">
        <v>123.03</v>
      </c>
      <c r="E59" s="3458">
        <v>127.74</v>
      </c>
      <c r="F59" s="3458">
        <v>127.99</v>
      </c>
      <c r="G59" s="3458">
        <v>124.36</v>
      </c>
      <c r="H59" s="3458">
        <v>126.14</v>
      </c>
      <c r="I59" s="3458">
        <v>126.59</v>
      </c>
      <c r="J59" s="3458">
        <v>130.59</v>
      </c>
      <c r="K59" s="3458">
        <v>137.47</v>
      </c>
      <c r="L59" s="3458">
        <v>133.88999999999999</v>
      </c>
    </row>
    <row r="60" spans="1:14" s="3458" customFormat="1">
      <c r="A60" s="3458" t="s">
        <v>3479</v>
      </c>
      <c r="B60" s="3451">
        <f t="shared" si="1"/>
        <v>156.80000000000001</v>
      </c>
      <c r="C60" s="3458">
        <v>175.75</v>
      </c>
      <c r="D60" s="3458">
        <v>138.18</v>
      </c>
      <c r="E60" s="3458">
        <v>140.44999999999999</v>
      </c>
      <c r="F60" s="3458">
        <v>170.69</v>
      </c>
      <c r="G60" s="3458">
        <v>200.91</v>
      </c>
      <c r="H60" s="3458">
        <v>170.6</v>
      </c>
      <c r="I60" s="3458">
        <v>149.47999999999999</v>
      </c>
      <c r="J60" s="3458">
        <v>148.32</v>
      </c>
      <c r="K60" s="3458">
        <v>143.33000000000001</v>
      </c>
      <c r="L60" s="3458">
        <v>130.62</v>
      </c>
      <c r="M60" s="3458">
        <v>114.87</v>
      </c>
    </row>
    <row r="61" spans="1:14" s="3458" customFormat="1">
      <c r="A61" s="3458" t="s">
        <v>3480</v>
      </c>
      <c r="B61" s="3451">
        <f t="shared" si="1"/>
        <v>142.5</v>
      </c>
      <c r="C61" s="3458">
        <v>145.96</v>
      </c>
      <c r="D61" s="3458">
        <v>130.76</v>
      </c>
      <c r="E61" s="3458">
        <v>143.02000000000001</v>
      </c>
      <c r="F61" s="3458">
        <v>143.02000000000001</v>
      </c>
      <c r="G61" s="3458">
        <v>150</v>
      </c>
      <c r="J61" s="3458">
        <v>142.36000000000001</v>
      </c>
    </row>
    <row r="62" spans="1:14" s="3458" customFormat="1">
      <c r="A62" s="3458" t="s">
        <v>3481</v>
      </c>
      <c r="B62" s="3451">
        <f t="shared" si="1"/>
        <v>132.5</v>
      </c>
      <c r="C62" s="3458">
        <v>126.18</v>
      </c>
      <c r="D62" s="3458">
        <v>114.29</v>
      </c>
      <c r="E62" s="3458">
        <v>114.46</v>
      </c>
      <c r="F62" s="3458">
        <v>119.81</v>
      </c>
      <c r="G62" s="3458">
        <v>132.47999999999999</v>
      </c>
      <c r="H62" s="3458">
        <v>124.19</v>
      </c>
      <c r="I62" s="3458">
        <v>124.61</v>
      </c>
      <c r="J62" s="3458">
        <v>131.47999999999999</v>
      </c>
      <c r="K62" s="3458">
        <v>168.75</v>
      </c>
      <c r="L62" s="3458">
        <v>168.75</v>
      </c>
    </row>
    <row r="63" spans="1:14" s="3458" customFormat="1">
      <c r="A63" s="3458" t="s">
        <v>3482</v>
      </c>
      <c r="B63" s="3451">
        <f t="shared" si="1"/>
        <v>170.6</v>
      </c>
      <c r="C63" s="3458">
        <v>176.89</v>
      </c>
      <c r="D63" s="3458">
        <v>144.68</v>
      </c>
      <c r="E63" s="3458">
        <v>137.5</v>
      </c>
      <c r="F63" s="3458">
        <v>199.39</v>
      </c>
      <c r="G63" s="3458">
        <v>241.61</v>
      </c>
      <c r="H63" s="3458">
        <v>202.53</v>
      </c>
      <c r="I63" s="3458">
        <v>140.68</v>
      </c>
      <c r="J63" s="3458">
        <v>147.13999999999999</v>
      </c>
      <c r="K63" s="3458">
        <v>158.72</v>
      </c>
      <c r="L63" s="3458">
        <v>157.13</v>
      </c>
    </row>
    <row r="64" spans="1:14" s="3458" customFormat="1">
      <c r="A64" s="3458" t="s">
        <v>3483</v>
      </c>
      <c r="B64" s="3451">
        <f t="shared" si="1"/>
        <v>166.1</v>
      </c>
      <c r="C64" s="3458">
        <v>143.6</v>
      </c>
      <c r="K64" s="3458">
        <v>177.39</v>
      </c>
      <c r="L64" s="3458">
        <v>177.39</v>
      </c>
    </row>
    <row r="65" spans="1:14" s="3458" customFormat="1">
      <c r="A65" s="3458" t="s">
        <v>3485</v>
      </c>
      <c r="B65" s="3451">
        <f t="shared" si="1"/>
        <v>94.5</v>
      </c>
      <c r="C65" s="3458">
        <v>95.97</v>
      </c>
      <c r="D65" s="3458">
        <v>94.97</v>
      </c>
      <c r="E65" s="3458">
        <v>95.73</v>
      </c>
      <c r="F65" s="3458">
        <v>100</v>
      </c>
      <c r="G65" s="3458">
        <v>92.86</v>
      </c>
      <c r="H65" s="3458">
        <v>102.13</v>
      </c>
      <c r="I65" s="3458">
        <v>98.52</v>
      </c>
      <c r="J65" s="3458">
        <v>93.03</v>
      </c>
      <c r="K65" s="3458">
        <v>87.06</v>
      </c>
      <c r="L65" s="3458">
        <v>85.01</v>
      </c>
    </row>
    <row r="66" spans="1:14" s="3458" customFormat="1">
      <c r="A66" s="3458" t="s">
        <v>3486</v>
      </c>
      <c r="B66" s="3451">
        <f t="shared" si="1"/>
        <v>134.6</v>
      </c>
      <c r="C66" s="3458">
        <v>150.37</v>
      </c>
      <c r="D66" s="3458">
        <v>129.88999999999999</v>
      </c>
      <c r="E66" s="3458">
        <v>132.81</v>
      </c>
      <c r="F66" s="3458">
        <v>137.32</v>
      </c>
      <c r="G66" s="3458">
        <v>138.22</v>
      </c>
      <c r="H66" s="3458">
        <v>132.38</v>
      </c>
      <c r="I66" s="3458">
        <v>132.74</v>
      </c>
      <c r="J66" s="3458">
        <v>128.34</v>
      </c>
      <c r="K66" s="3458">
        <v>129.30000000000001</v>
      </c>
    </row>
    <row r="67" spans="1:14" s="3458" customFormat="1">
      <c r="A67" s="3458" t="s">
        <v>3487</v>
      </c>
      <c r="B67" s="3451">
        <f t="shared" si="1"/>
        <v>146.1</v>
      </c>
      <c r="C67" s="3458">
        <v>146.82</v>
      </c>
      <c r="D67" s="3458">
        <v>136.55000000000001</v>
      </c>
      <c r="E67" s="3458">
        <v>137.43</v>
      </c>
      <c r="F67" s="3458">
        <v>149.69999999999999</v>
      </c>
      <c r="G67" s="3458">
        <v>149.69999999999999</v>
      </c>
      <c r="H67" s="3458">
        <v>149.69999999999999</v>
      </c>
      <c r="I67" s="3458">
        <v>144.87</v>
      </c>
      <c r="J67" s="3458">
        <v>143.85</v>
      </c>
      <c r="K67" s="3458">
        <v>154.65</v>
      </c>
      <c r="L67" s="3458">
        <v>147.88999999999999</v>
      </c>
    </row>
    <row r="68" spans="1:14" s="3458" customFormat="1">
      <c r="A68" s="3458" t="s">
        <v>3490</v>
      </c>
      <c r="B68" s="3451">
        <f t="shared" si="1"/>
        <v>122.2</v>
      </c>
      <c r="C68" s="3458">
        <v>126.8</v>
      </c>
      <c r="D68" s="3458">
        <v>128.80000000000001</v>
      </c>
      <c r="E68" s="3458">
        <v>129.97999999999999</v>
      </c>
      <c r="F68" s="3458">
        <v>120.16</v>
      </c>
      <c r="G68" s="3458">
        <v>121.71</v>
      </c>
      <c r="H68" s="3458">
        <v>115.85</v>
      </c>
      <c r="I68" s="3458">
        <v>112.94</v>
      </c>
      <c r="J68" s="3458">
        <v>121</v>
      </c>
    </row>
    <row r="69" spans="1:14" s="3458" customFormat="1">
      <c r="A69" s="3458" t="s">
        <v>3492</v>
      </c>
      <c r="B69" s="3451">
        <f t="shared" si="1"/>
        <v>137.9</v>
      </c>
      <c r="C69" s="3458">
        <v>160.63999999999999</v>
      </c>
      <c r="D69" s="3458">
        <v>136.34</v>
      </c>
      <c r="E69" s="3458">
        <v>133.16999999999999</v>
      </c>
      <c r="F69" s="3458">
        <v>137.22999999999999</v>
      </c>
      <c r="G69" s="3458">
        <v>146.6</v>
      </c>
      <c r="H69" s="3458">
        <v>140.62</v>
      </c>
      <c r="I69" s="3458">
        <v>128.93</v>
      </c>
      <c r="J69" s="3458">
        <v>124.99</v>
      </c>
      <c r="K69" s="3458">
        <v>134.07</v>
      </c>
      <c r="L69" s="3458">
        <v>136.19</v>
      </c>
      <c r="N69" s="3458">
        <v>140.16999999999999</v>
      </c>
    </row>
    <row r="70" spans="1:14" s="3458" customFormat="1">
      <c r="A70" s="3458" t="s">
        <v>3493</v>
      </c>
      <c r="B70" s="3451">
        <f t="shared" si="1"/>
        <v>135.6</v>
      </c>
      <c r="C70" s="3458">
        <v>137.16</v>
      </c>
      <c r="D70" s="3458">
        <v>137.16999999999999</v>
      </c>
      <c r="E70" s="3458">
        <v>140.41999999999999</v>
      </c>
      <c r="F70" s="3458">
        <v>139.03</v>
      </c>
      <c r="G70" s="3458">
        <v>136.65</v>
      </c>
      <c r="H70" s="3458">
        <v>134.22999999999999</v>
      </c>
      <c r="I70" s="3458">
        <v>133.9</v>
      </c>
      <c r="J70" s="3458">
        <v>131.26</v>
      </c>
      <c r="K70" s="3458">
        <v>132.69999999999999</v>
      </c>
      <c r="L70" s="3458">
        <v>133.35</v>
      </c>
      <c r="M70" s="3458">
        <v>136.56</v>
      </c>
    </row>
    <row r="71" spans="1:14" s="3458" customFormat="1">
      <c r="A71" s="3458" t="s">
        <v>3497</v>
      </c>
      <c r="B71" s="3451">
        <f t="shared" si="1"/>
        <v>147.4</v>
      </c>
      <c r="C71" s="3458">
        <v>150.62</v>
      </c>
      <c r="D71" s="3458">
        <v>177.93</v>
      </c>
      <c r="E71" s="3458">
        <v>169.91</v>
      </c>
      <c r="F71" s="3458">
        <v>170.13</v>
      </c>
      <c r="G71" s="3458">
        <v>158.04</v>
      </c>
      <c r="H71" s="3458">
        <v>129.6</v>
      </c>
      <c r="I71" s="3458">
        <v>121.61</v>
      </c>
      <c r="J71" s="3458">
        <v>133.1</v>
      </c>
      <c r="K71" s="3458">
        <v>134.06</v>
      </c>
      <c r="L71" s="3458">
        <v>129.15</v>
      </c>
    </row>
    <row r="72" spans="1:14" s="3458" customFormat="1">
      <c r="A72" s="3458" t="s">
        <v>3498</v>
      </c>
      <c r="B72" s="3451">
        <f t="shared" si="1"/>
        <v>138.4</v>
      </c>
      <c r="C72" s="3458">
        <v>137.99</v>
      </c>
      <c r="D72" s="3458">
        <v>133.94999999999999</v>
      </c>
      <c r="E72" s="3458">
        <v>138.66999999999999</v>
      </c>
      <c r="F72" s="3458">
        <v>136.44</v>
      </c>
      <c r="G72" s="3458">
        <v>141.82</v>
      </c>
      <c r="H72" s="3458">
        <v>142.46</v>
      </c>
      <c r="I72" s="3458">
        <v>127.95</v>
      </c>
      <c r="J72" s="3458">
        <v>130.9</v>
      </c>
      <c r="K72" s="3458">
        <v>141.96</v>
      </c>
      <c r="L72" s="3458">
        <v>151.47999999999999</v>
      </c>
      <c r="N72" s="3458">
        <v>140.19</v>
      </c>
    </row>
    <row r="73" spans="1:14" s="3458" customFormat="1">
      <c r="A73" s="3458" t="s">
        <v>3499</v>
      </c>
      <c r="B73" s="3451">
        <f t="shared" si="1"/>
        <v>162.19999999999999</v>
      </c>
      <c r="C73" s="3458">
        <v>155.6</v>
      </c>
      <c r="G73" s="3458">
        <v>190.53</v>
      </c>
      <c r="H73" s="3458">
        <v>167.5</v>
      </c>
      <c r="I73" s="3458">
        <v>135</v>
      </c>
    </row>
    <row r="74" spans="1:14" s="3458" customFormat="1">
      <c r="A74" s="3458" t="s">
        <v>3500</v>
      </c>
      <c r="B74" s="3451">
        <f t="shared" si="1"/>
        <v>141.9</v>
      </c>
      <c r="C74" s="3458">
        <v>145.5</v>
      </c>
      <c r="D74" s="3458">
        <v>152.63</v>
      </c>
      <c r="E74" s="3458">
        <v>156.58000000000001</v>
      </c>
      <c r="F74" s="3458">
        <v>137.71</v>
      </c>
      <c r="G74" s="3458">
        <v>138.68</v>
      </c>
      <c r="H74" s="3458">
        <v>129.07</v>
      </c>
      <c r="I74" s="3458">
        <v>130.75</v>
      </c>
      <c r="J74" s="3458">
        <v>132.4</v>
      </c>
      <c r="K74" s="3458">
        <v>147.61000000000001</v>
      </c>
      <c r="L74" s="3458">
        <v>147.61000000000001</v>
      </c>
    </row>
    <row r="75" spans="1:14" s="3458" customFormat="1">
      <c r="A75" s="3458" t="s">
        <v>3501</v>
      </c>
      <c r="B75" s="3451">
        <f t="shared" si="1"/>
        <v>123.2</v>
      </c>
      <c r="C75" s="3458">
        <v>147.97</v>
      </c>
      <c r="D75" s="3458">
        <v>111.1</v>
      </c>
      <c r="E75" s="3458">
        <v>111.1</v>
      </c>
      <c r="F75" s="3458">
        <v>127.71</v>
      </c>
      <c r="G75" s="3458">
        <v>127.71</v>
      </c>
      <c r="I75" s="3458">
        <v>106.48</v>
      </c>
      <c r="J75" s="3458">
        <v>106.48</v>
      </c>
      <c r="K75" s="3458">
        <v>125.46</v>
      </c>
      <c r="L75" s="3458">
        <v>144.44</v>
      </c>
    </row>
    <row r="76" spans="1:14" s="3458" customFormat="1">
      <c r="A76" s="3458" t="s">
        <v>3502</v>
      </c>
      <c r="B76" s="3451">
        <f t="shared" si="1"/>
        <v>149.1</v>
      </c>
      <c r="C76" s="3458">
        <v>178.67</v>
      </c>
      <c r="D76" s="3458">
        <v>141.43</v>
      </c>
      <c r="E76" s="3458">
        <v>143.78</v>
      </c>
      <c r="F76" s="3458">
        <v>147.24</v>
      </c>
      <c r="G76" s="3458">
        <v>162.11000000000001</v>
      </c>
      <c r="H76" s="3458">
        <v>140</v>
      </c>
      <c r="I76" s="3458">
        <v>154.18</v>
      </c>
      <c r="K76" s="3458">
        <v>131.74</v>
      </c>
      <c r="L76" s="3458">
        <v>143.1</v>
      </c>
    </row>
    <row r="77" spans="1:14" s="3458" customFormat="1">
      <c r="A77" s="3458" t="s">
        <v>3503</v>
      </c>
      <c r="B77" s="3451">
        <f t="shared" si="1"/>
        <v>145.5</v>
      </c>
      <c r="C77" s="3458">
        <v>145.52000000000001</v>
      </c>
    </row>
    <row r="78" spans="1:14" s="3458" customFormat="1">
      <c r="A78" s="3458" t="s">
        <v>3504</v>
      </c>
      <c r="B78" s="3451">
        <f t="shared" si="1"/>
        <v>139.9</v>
      </c>
      <c r="C78" s="3458">
        <v>137.72</v>
      </c>
      <c r="D78" s="3458">
        <v>136.31</v>
      </c>
      <c r="E78" s="3458">
        <v>135.24</v>
      </c>
      <c r="F78" s="3458">
        <v>136.78</v>
      </c>
      <c r="G78" s="3458">
        <v>140.52000000000001</v>
      </c>
      <c r="H78" s="3458">
        <v>140.03</v>
      </c>
      <c r="I78" s="3458">
        <v>143.83000000000001</v>
      </c>
      <c r="J78" s="3458">
        <v>147.82</v>
      </c>
      <c r="K78" s="3458">
        <v>147.25</v>
      </c>
      <c r="L78" s="3458">
        <v>133.30000000000001</v>
      </c>
      <c r="M78" s="3458">
        <v>144.38</v>
      </c>
      <c r="N78" s="3458">
        <v>132.36000000000001</v>
      </c>
    </row>
    <row r="79" spans="1:14" s="3458" customFormat="1">
      <c r="A79" s="3458" t="s">
        <v>3506</v>
      </c>
      <c r="B79" s="3451">
        <f t="shared" si="1"/>
        <v>132.19999999999999</v>
      </c>
      <c r="C79" s="3458">
        <v>128.29</v>
      </c>
      <c r="D79" s="3458">
        <v>126.07</v>
      </c>
      <c r="E79" s="3458">
        <v>125.52</v>
      </c>
      <c r="F79" s="3458">
        <v>133.33000000000001</v>
      </c>
      <c r="G79" s="3458">
        <v>138.74</v>
      </c>
      <c r="H79" s="3458">
        <v>136.03</v>
      </c>
      <c r="I79" s="3458">
        <v>137.08000000000001</v>
      </c>
    </row>
    <row r="80" spans="1:14" s="3458" customFormat="1">
      <c r="A80" s="3458" t="s">
        <v>3507</v>
      </c>
      <c r="B80" s="3451">
        <f t="shared" si="1"/>
        <v>130.69999999999999</v>
      </c>
      <c r="C80" s="3458">
        <v>131.96</v>
      </c>
      <c r="D80" s="3458">
        <v>124.22</v>
      </c>
      <c r="E80" s="3458">
        <v>123.82</v>
      </c>
      <c r="F80" s="3458">
        <v>129.22</v>
      </c>
      <c r="G80" s="3458">
        <v>134.76</v>
      </c>
      <c r="H80" s="3458">
        <v>130.01</v>
      </c>
      <c r="I80" s="3458">
        <v>132.1</v>
      </c>
      <c r="J80" s="3458">
        <v>131.9</v>
      </c>
      <c r="K80" s="3458">
        <v>135.88</v>
      </c>
      <c r="L80" s="3458">
        <v>133.05000000000001</v>
      </c>
      <c r="M80" s="3458">
        <v>132.52000000000001</v>
      </c>
    </row>
    <row r="81" spans="1:12" s="3458" customFormat="1">
      <c r="A81" s="3458" t="s">
        <v>3509</v>
      </c>
      <c r="B81" s="3451">
        <f t="shared" si="1"/>
        <v>137.5</v>
      </c>
      <c r="C81" s="3458">
        <v>131.65</v>
      </c>
      <c r="D81" s="3458">
        <v>137.29</v>
      </c>
      <c r="E81" s="3458">
        <v>149.54</v>
      </c>
      <c r="F81" s="3458">
        <v>153.53</v>
      </c>
      <c r="G81" s="3458">
        <v>153.52000000000001</v>
      </c>
      <c r="H81" s="3458">
        <v>123.73</v>
      </c>
      <c r="I81" s="3458">
        <v>130.43</v>
      </c>
      <c r="J81" s="3458">
        <v>150.99</v>
      </c>
      <c r="K81" s="3458">
        <v>121.99</v>
      </c>
      <c r="L81" s="3458">
        <v>121.99</v>
      </c>
    </row>
  </sheetData>
  <mergeCells count="1">
    <mergeCell ref="A1:A2"/>
  </mergeCells>
  <phoneticPr fontId="134" type="noConversion"/>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13" zoomScale="70" zoomScaleNormal="60" zoomScaleSheetLayoutView="70" workbookViewId="0">
      <selection activeCell="K18" sqref="K1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104.2</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3456"/>
      <c r="Y4" s="3690" t="s">
        <v>1672</v>
      </c>
      <c r="Z4" s="3691"/>
      <c r="AA4" s="3685" t="s">
        <v>1668</v>
      </c>
      <c r="AB4" s="3685" t="s">
        <v>1669</v>
      </c>
      <c r="AC4" s="3685" t="s">
        <v>1670</v>
      </c>
    </row>
    <row r="5" spans="1:29">
      <c r="A5" s="358"/>
      <c r="B5" s="359"/>
      <c r="C5" s="3696" t="s">
        <v>1673</v>
      </c>
      <c r="D5" s="3697"/>
      <c r="E5" s="3694" t="s">
        <v>3536</v>
      </c>
      <c r="F5" s="3695"/>
      <c r="G5" s="3696" t="str">
        <f>'2022-2023'!A24</f>
        <v>航天五院小区</v>
      </c>
      <c r="H5" s="3697"/>
      <c r="I5" s="3696" t="str">
        <f>'2022-2023'!A20</f>
        <v>中央社会主义学院宿舍</v>
      </c>
      <c r="J5" s="3697"/>
      <c r="K5" s="1890"/>
      <c r="L5" s="2715"/>
      <c r="M5" s="2716"/>
      <c r="N5" s="2716"/>
      <c r="O5" s="2716"/>
      <c r="P5" s="3709"/>
      <c r="Q5" s="3710"/>
      <c r="R5" s="3692"/>
      <c r="S5" s="3693"/>
      <c r="T5" s="3692"/>
      <c r="U5" s="3693"/>
      <c r="V5" s="3715"/>
      <c r="W5" s="3715"/>
      <c r="X5" s="3456"/>
      <c r="Y5" s="3692"/>
      <c r="Z5" s="3693"/>
      <c r="AA5" s="3686"/>
      <c r="AB5" s="3686"/>
      <c r="AC5" s="3686"/>
    </row>
    <row r="6" spans="1:29" ht="15" thickBot="1">
      <c r="A6" s="360"/>
      <c r="B6" s="361"/>
      <c r="C6" s="3698" t="s">
        <v>1677</v>
      </c>
      <c r="D6" s="3699"/>
      <c r="E6" s="3700" t="str">
        <f>'2022-2023'!A13</f>
        <v>铁道部宿舍</v>
      </c>
      <c r="F6" s="3701"/>
      <c r="G6" s="3698" t="s">
        <v>1677</v>
      </c>
      <c r="H6" s="3699"/>
      <c r="I6" s="3698" t="s">
        <v>1677</v>
      </c>
      <c r="J6" s="3699"/>
      <c r="K6" s="1890" t="s">
        <v>1678</v>
      </c>
      <c r="L6" s="2715"/>
      <c r="M6" s="2716"/>
      <c r="N6" s="2716"/>
      <c r="O6" s="2716"/>
      <c r="P6" s="3711"/>
      <c r="Q6" s="3712"/>
      <c r="R6" s="3692"/>
      <c r="S6" s="3693"/>
      <c r="T6" s="3713"/>
      <c r="U6" s="3714"/>
      <c r="V6" s="3715"/>
      <c r="W6" s="3715"/>
      <c r="X6" s="3456"/>
      <c r="Y6" s="3713"/>
      <c r="Z6" s="3714"/>
      <c r="AA6" s="3687"/>
      <c r="AB6" s="3687"/>
      <c r="AC6" s="3687"/>
    </row>
    <row r="7" spans="1:29" s="108" customFormat="1" ht="15" thickBot="1">
      <c r="A7" s="362" t="s">
        <v>1679</v>
      </c>
      <c r="B7" s="363"/>
      <c r="C7" s="364">
        <v>45108</v>
      </c>
      <c r="D7" s="365">
        <v>100</v>
      </c>
      <c r="E7" s="366">
        <f>C7</f>
        <v>45108</v>
      </c>
      <c r="F7" s="367">
        <f>SUMIF(58:58,YEAR(E7)&amp;"-"&amp;MONTH(E7),59:59)</f>
        <v>100</v>
      </c>
      <c r="G7" s="366">
        <f>C7</f>
        <v>45108</v>
      </c>
      <c r="H7" s="365">
        <f>SUMIF(58:58,YEAR(G7)&amp;"-"&amp;MONTH(G7),59:59)</f>
        <v>100</v>
      </c>
      <c r="I7" s="366">
        <f>C7</f>
        <v>45108</v>
      </c>
      <c r="J7" s="365">
        <f>SUMIF(58:58,YEAR(I7)&amp;"-"&amp;MONTH(I7),59:59)</f>
        <v>100</v>
      </c>
      <c r="K7" s="1891"/>
      <c r="L7" s="2717"/>
      <c r="M7" s="2718"/>
      <c r="N7" s="2718"/>
      <c r="O7" s="2718"/>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3453" t="str">
        <f t="shared" ref="Q9:Q15" si="6">B9</f>
        <v>用途</v>
      </c>
      <c r="R9" s="701" t="s">
        <v>14</v>
      </c>
      <c r="S9" s="702">
        <f t="shared" si="0"/>
        <v>100</v>
      </c>
      <c r="T9" s="701" t="s">
        <v>14</v>
      </c>
      <c r="U9" s="702">
        <f t="shared" si="1"/>
        <v>100</v>
      </c>
      <c r="V9" s="701" t="s">
        <v>14</v>
      </c>
      <c r="W9" s="702">
        <f t="shared" si="2"/>
        <v>100</v>
      </c>
      <c r="X9" s="703"/>
      <c r="Y9" s="3632" t="s">
        <v>1687</v>
      </c>
      <c r="Z9" s="34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3453" t="str">
        <f t="shared" si="6"/>
        <v>土地使用年限（年）</v>
      </c>
      <c r="R10" s="701" t="s">
        <v>14</v>
      </c>
      <c r="S10" s="702">
        <f t="shared" si="0"/>
        <v>100</v>
      </c>
      <c r="T10" s="701" t="s">
        <v>14</v>
      </c>
      <c r="U10" s="702">
        <f t="shared" si="1"/>
        <v>100</v>
      </c>
      <c r="V10" s="701" t="s">
        <v>14</v>
      </c>
      <c r="W10" s="702">
        <f t="shared" si="2"/>
        <v>100</v>
      </c>
      <c r="X10" s="703"/>
      <c r="Y10" s="3632"/>
      <c r="Z10" s="34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3453" t="str">
        <f t="shared" si="6"/>
        <v>容积率</v>
      </c>
      <c r="R11" s="701" t="s">
        <v>18</v>
      </c>
      <c r="S11" s="702">
        <f t="shared" si="0"/>
        <v>100</v>
      </c>
      <c r="T11" s="701" t="s">
        <v>18</v>
      </c>
      <c r="U11" s="702">
        <f t="shared" si="1"/>
        <v>100</v>
      </c>
      <c r="V11" s="701" t="s">
        <v>18</v>
      </c>
      <c r="W11" s="702">
        <f t="shared" si="2"/>
        <v>100</v>
      </c>
      <c r="X11" s="703"/>
      <c r="Y11" s="3632"/>
      <c r="Z11" s="34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3453">
        <f t="shared" si="6"/>
        <v>111</v>
      </c>
      <c r="R12" s="701" t="s">
        <v>18</v>
      </c>
      <c r="S12" s="702">
        <f t="shared" si="0"/>
        <v>100</v>
      </c>
      <c r="T12" s="701" t="s">
        <v>18</v>
      </c>
      <c r="U12" s="702">
        <f t="shared" si="1"/>
        <v>100</v>
      </c>
      <c r="V12" s="701" t="s">
        <v>18</v>
      </c>
      <c r="W12" s="702">
        <f t="shared" si="2"/>
        <v>100</v>
      </c>
      <c r="X12" s="703"/>
      <c r="Y12" s="3632"/>
      <c r="Z12" s="34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3453">
        <f t="shared" si="6"/>
        <v>111</v>
      </c>
      <c r="R13" s="701" t="s">
        <v>18</v>
      </c>
      <c r="S13" s="702">
        <f t="shared" si="0"/>
        <v>100</v>
      </c>
      <c r="T13" s="701" t="s">
        <v>18</v>
      </c>
      <c r="U13" s="702">
        <f t="shared" si="1"/>
        <v>100</v>
      </c>
      <c r="V13" s="701" t="s">
        <v>18</v>
      </c>
      <c r="W13" s="702">
        <f t="shared" si="2"/>
        <v>100</v>
      </c>
      <c r="X13" s="703"/>
      <c r="Y13" s="3632"/>
      <c r="Z13" s="34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3453">
        <f t="shared" si="6"/>
        <v>111</v>
      </c>
      <c r="R14" s="701" t="s">
        <v>18</v>
      </c>
      <c r="S14" s="702">
        <f t="shared" si="0"/>
        <v>100</v>
      </c>
      <c r="T14" s="701" t="s">
        <v>18</v>
      </c>
      <c r="U14" s="702">
        <f t="shared" si="1"/>
        <v>100</v>
      </c>
      <c r="V14" s="701" t="s">
        <v>18</v>
      </c>
      <c r="W14" s="702">
        <f t="shared" si="2"/>
        <v>100</v>
      </c>
      <c r="X14" s="703"/>
      <c r="Y14" s="3632"/>
      <c r="Z14" s="34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3454" t="str">
        <f t="shared" si="6"/>
        <v>居住社区成熟度</v>
      </c>
      <c r="R15" s="705" t="s">
        <v>18</v>
      </c>
      <c r="S15" s="706">
        <f t="shared" si="0"/>
        <v>100</v>
      </c>
      <c r="T15" s="705" t="s">
        <v>18</v>
      </c>
      <c r="U15" s="706">
        <f t="shared" si="1"/>
        <v>100</v>
      </c>
      <c r="V15" s="705" t="s">
        <v>18</v>
      </c>
      <c r="W15" s="706">
        <f t="shared" si="2"/>
        <v>100</v>
      </c>
      <c r="X15" s="3456"/>
      <c r="Y15" s="3722" t="s">
        <v>1691</v>
      </c>
      <c r="Z15" s="3457" t="str">
        <f t="shared" si="7"/>
        <v>居住社区成熟度</v>
      </c>
      <c r="AA15" s="3455">
        <f t="shared" si="3"/>
        <v>1</v>
      </c>
      <c r="AB15" s="3455">
        <f t="shared" si="4"/>
        <v>1</v>
      </c>
      <c r="AC15" s="345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3454"/>
      <c r="R16" s="705"/>
      <c r="S16" s="706"/>
      <c r="T16" s="705"/>
      <c r="U16" s="706"/>
      <c r="V16" s="705"/>
      <c r="W16" s="706"/>
      <c r="X16" s="3456"/>
      <c r="Y16" s="3723"/>
      <c r="Z16" s="3457"/>
      <c r="AA16" s="3455">
        <v>1</v>
      </c>
      <c r="AB16" s="3455">
        <v>1</v>
      </c>
      <c r="AC16" s="345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96</v>
      </c>
      <c r="G17" s="403"/>
      <c r="H17" s="406">
        <f>SUMIF(78:78,G18,79:79)-SUMIF(78:78,C18,79:79)+100</f>
        <v>100</v>
      </c>
      <c r="I17" s="403"/>
      <c r="J17" s="406">
        <f>SUMIF(78:78,I18,79:79)-SUMIF(78:78,C18,79:79)+100</f>
        <v>100</v>
      </c>
      <c r="K17" s="396">
        <v>4</v>
      </c>
      <c r="L17" s="2722"/>
      <c r="M17" s="2716"/>
      <c r="N17" s="2716"/>
      <c r="O17" s="2716"/>
      <c r="P17" s="3730"/>
      <c r="Q17" s="3454" t="str">
        <f>B17</f>
        <v>交通便捷度</v>
      </c>
      <c r="R17" s="705" t="s">
        <v>18</v>
      </c>
      <c r="S17" s="706">
        <f>F17</f>
        <v>96</v>
      </c>
      <c r="T17" s="705" t="s">
        <v>18</v>
      </c>
      <c r="U17" s="706">
        <f>H17</f>
        <v>100</v>
      </c>
      <c r="V17" s="705" t="s">
        <v>18</v>
      </c>
      <c r="W17" s="706">
        <f>J17</f>
        <v>100</v>
      </c>
      <c r="X17" s="3456"/>
      <c r="Y17" s="3723"/>
      <c r="Z17" s="3457" t="str">
        <f>Q17</f>
        <v>交通便捷度</v>
      </c>
      <c r="AA17" s="3455">
        <f t="shared" si="3"/>
        <v>1.0416666666666667</v>
      </c>
      <c r="AB17" s="3455">
        <f t="shared" si="4"/>
        <v>1</v>
      </c>
      <c r="AC17" s="3455">
        <f t="shared" si="5"/>
        <v>1</v>
      </c>
    </row>
    <row r="18" spans="1:29" ht="15">
      <c r="A18" s="379"/>
      <c r="B18" s="407"/>
      <c r="C18" s="1901" t="s">
        <v>3527</v>
      </c>
      <c r="D18" s="401"/>
      <c r="E18" s="1902" t="s">
        <v>3537</v>
      </c>
      <c r="F18" s="401"/>
      <c r="G18" s="1903" t="s">
        <v>3527</v>
      </c>
      <c r="H18" s="399"/>
      <c r="I18" s="1903" t="s">
        <v>3527</v>
      </c>
      <c r="J18" s="399"/>
      <c r="K18" s="1899"/>
      <c r="L18" s="2722"/>
      <c r="M18" s="2716"/>
      <c r="N18" s="2716"/>
      <c r="O18" s="2716"/>
      <c r="P18" s="3730"/>
      <c r="Q18" s="3454"/>
      <c r="R18" s="705"/>
      <c r="S18" s="706"/>
      <c r="T18" s="705"/>
      <c r="U18" s="706"/>
      <c r="V18" s="705"/>
      <c r="W18" s="706"/>
      <c r="X18" s="3456"/>
      <c r="Y18" s="3723"/>
      <c r="Z18" s="3457"/>
      <c r="AA18" s="3455">
        <v>1</v>
      </c>
      <c r="AB18" s="3455">
        <v>1</v>
      </c>
      <c r="AC18" s="345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3454" t="str">
        <f>B19</f>
        <v>公共配套设施</v>
      </c>
      <c r="R19" s="705" t="s">
        <v>18</v>
      </c>
      <c r="S19" s="706">
        <f>F19</f>
        <v>100</v>
      </c>
      <c r="T19" s="705" t="s">
        <v>18</v>
      </c>
      <c r="U19" s="706">
        <f>H19</f>
        <v>100</v>
      </c>
      <c r="V19" s="705" t="s">
        <v>18</v>
      </c>
      <c r="W19" s="706">
        <f>J19</f>
        <v>100</v>
      </c>
      <c r="X19" s="3456"/>
      <c r="Y19" s="3723"/>
      <c r="Z19" s="3457" t="str">
        <f>Q19</f>
        <v>公共配套设施</v>
      </c>
      <c r="AA19" s="3455">
        <f t="shared" si="3"/>
        <v>1</v>
      </c>
      <c r="AB19" s="3455">
        <f t="shared" si="4"/>
        <v>1</v>
      </c>
      <c r="AC19" s="345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3454"/>
      <c r="R20" s="705"/>
      <c r="S20" s="706"/>
      <c r="T20" s="705"/>
      <c r="U20" s="706"/>
      <c r="V20" s="705"/>
      <c r="W20" s="706"/>
      <c r="X20" s="3456"/>
      <c r="Y20" s="3723"/>
      <c r="Z20" s="3457"/>
      <c r="AA20" s="3455">
        <v>1</v>
      </c>
      <c r="AB20" s="3455">
        <v>1</v>
      </c>
      <c r="AC20" s="345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3454" t="str">
        <f>B21</f>
        <v>基础设施水平</v>
      </c>
      <c r="R21" s="705" t="s">
        <v>14</v>
      </c>
      <c r="S21" s="706">
        <f>F21</f>
        <v>100</v>
      </c>
      <c r="T21" s="705" t="s">
        <v>14</v>
      </c>
      <c r="U21" s="706">
        <f>H21</f>
        <v>100</v>
      </c>
      <c r="V21" s="705" t="s">
        <v>14</v>
      </c>
      <c r="W21" s="706">
        <f>J21</f>
        <v>100</v>
      </c>
      <c r="X21" s="3456"/>
      <c r="Y21" s="3723"/>
      <c r="Z21" s="3457" t="str">
        <f>Q21</f>
        <v>基础设施水平</v>
      </c>
      <c r="AA21" s="3455">
        <f t="shared" ref="AA21" si="8">D21/F21</f>
        <v>1</v>
      </c>
      <c r="AB21" s="3455">
        <f t="shared" ref="AB21" si="9">D21/H21</f>
        <v>1</v>
      </c>
      <c r="AC21" s="345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3454"/>
      <c r="R22" s="705"/>
      <c r="S22" s="706"/>
      <c r="T22" s="705"/>
      <c r="U22" s="706"/>
      <c r="V22" s="705"/>
      <c r="W22" s="706"/>
      <c r="X22" s="3456"/>
      <c r="Y22" s="3723"/>
      <c r="Z22" s="3457"/>
      <c r="AA22" s="3455">
        <v>1</v>
      </c>
      <c r="AB22" s="3455">
        <v>1</v>
      </c>
      <c r="AC22" s="345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3454" t="str">
        <f>B23</f>
        <v>自然及人文环境</v>
      </c>
      <c r="R23" s="705" t="s">
        <v>18</v>
      </c>
      <c r="S23" s="706">
        <f>F23</f>
        <v>100</v>
      </c>
      <c r="T23" s="705" t="s">
        <v>18</v>
      </c>
      <c r="U23" s="706">
        <f>H23</f>
        <v>100</v>
      </c>
      <c r="V23" s="705" t="s">
        <v>18</v>
      </c>
      <c r="W23" s="706">
        <f>J23</f>
        <v>100</v>
      </c>
      <c r="X23" s="3456"/>
      <c r="Y23" s="3723"/>
      <c r="Z23" s="3457" t="str">
        <f>Q23</f>
        <v>自然及人文环境</v>
      </c>
      <c r="AA23" s="3455">
        <f>D23/F23</f>
        <v>1</v>
      </c>
      <c r="AB23" s="3455">
        <f>D23/H23</f>
        <v>1</v>
      </c>
      <c r="AC23" s="345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3454"/>
      <c r="R24" s="705"/>
      <c r="S24" s="706"/>
      <c r="T24" s="705"/>
      <c r="U24" s="706"/>
      <c r="V24" s="705"/>
      <c r="W24" s="706"/>
      <c r="X24" s="3456"/>
      <c r="Y24" s="3723"/>
      <c r="Z24" s="3457"/>
      <c r="AA24" s="3455">
        <v>1</v>
      </c>
      <c r="AB24" s="3455">
        <v>1</v>
      </c>
      <c r="AC24" s="345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3454" t="str">
        <f t="shared" ref="Q25:Q46" si="11">B25</f>
        <v>楼层-1</v>
      </c>
      <c r="R25" s="705" t="s">
        <v>18</v>
      </c>
      <c r="S25" s="706">
        <f t="shared" ref="S25:S46" si="12">F25</f>
        <v>100</v>
      </c>
      <c r="T25" s="705" t="s">
        <v>18</v>
      </c>
      <c r="U25" s="706">
        <f t="shared" ref="U25:U46" si="13">H25</f>
        <v>100</v>
      </c>
      <c r="V25" s="705" t="s">
        <v>18</v>
      </c>
      <c r="W25" s="706">
        <f t="shared" ref="W25:W46" si="14">J25</f>
        <v>100</v>
      </c>
      <c r="X25" s="3456"/>
      <c r="Y25" s="3723"/>
      <c r="Z25" s="3457" t="str">
        <f>Q25</f>
        <v>楼层-1</v>
      </c>
      <c r="AA25" s="3455">
        <f t="shared" ref="AA25:AA46" si="15">D25/F25</f>
        <v>1</v>
      </c>
      <c r="AB25" s="3455">
        <f t="shared" ref="AB25:AB46" si="16">D25/H25</f>
        <v>1</v>
      </c>
      <c r="AC25" s="345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3454" t="str">
        <f t="shared" si="11"/>
        <v>朝向</v>
      </c>
      <c r="R26" s="705" t="s">
        <v>18</v>
      </c>
      <c r="S26" s="706">
        <f t="shared" si="12"/>
        <v>100</v>
      </c>
      <c r="T26" s="705" t="s">
        <v>18</v>
      </c>
      <c r="U26" s="706">
        <f t="shared" si="13"/>
        <v>100</v>
      </c>
      <c r="V26" s="705" t="s">
        <v>18</v>
      </c>
      <c r="W26" s="706">
        <f t="shared" si="14"/>
        <v>100</v>
      </c>
      <c r="X26" s="3456"/>
      <c r="Y26" s="3723"/>
      <c r="Z26" s="3457" t="str">
        <f>Q26</f>
        <v>朝向</v>
      </c>
      <c r="AA26" s="3455">
        <f t="shared" si="15"/>
        <v>1</v>
      </c>
      <c r="AB26" s="3455">
        <f t="shared" si="16"/>
        <v>1</v>
      </c>
      <c r="AC26" s="345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3453">
        <f t="shared" si="11"/>
        <v>111</v>
      </c>
      <c r="R27" s="701" t="s">
        <v>18</v>
      </c>
      <c r="S27" s="702">
        <f t="shared" si="12"/>
        <v>100</v>
      </c>
      <c r="T27" s="701" t="s">
        <v>18</v>
      </c>
      <c r="U27" s="702">
        <f t="shared" si="13"/>
        <v>100</v>
      </c>
      <c r="V27" s="701" t="s">
        <v>18</v>
      </c>
      <c r="W27" s="702">
        <f t="shared" si="14"/>
        <v>100</v>
      </c>
      <c r="X27" s="703"/>
      <c r="Y27" s="3723"/>
      <c r="Z27" s="3452">
        <f>Q27</f>
        <v>111</v>
      </c>
      <c r="AA27" s="3455">
        <f t="shared" si="15"/>
        <v>1</v>
      </c>
      <c r="AB27" s="3455">
        <f t="shared" si="16"/>
        <v>1</v>
      </c>
      <c r="AC27" s="345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3454">
        <f t="shared" si="11"/>
        <v>111</v>
      </c>
      <c r="R28" s="705" t="s">
        <v>18</v>
      </c>
      <c r="S28" s="706">
        <f t="shared" si="12"/>
        <v>100</v>
      </c>
      <c r="T28" s="705" t="s">
        <v>18</v>
      </c>
      <c r="U28" s="706">
        <f t="shared" si="13"/>
        <v>100</v>
      </c>
      <c r="V28" s="705" t="s">
        <v>18</v>
      </c>
      <c r="W28" s="706">
        <f t="shared" si="14"/>
        <v>100</v>
      </c>
      <c r="X28" s="3456"/>
      <c r="Y28" s="3723"/>
      <c r="Z28" s="3457">
        <f t="shared" ref="Z28:Z46" si="18">Q28</f>
        <v>111</v>
      </c>
      <c r="AA28" s="3455">
        <f t="shared" si="15"/>
        <v>1</v>
      </c>
      <c r="AB28" s="3455">
        <f t="shared" si="16"/>
        <v>1</v>
      </c>
      <c r="AC28" s="345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3454">
        <f t="shared" si="11"/>
        <v>111</v>
      </c>
      <c r="R29" s="705" t="s">
        <v>18</v>
      </c>
      <c r="S29" s="706">
        <f t="shared" si="12"/>
        <v>100</v>
      </c>
      <c r="T29" s="705" t="s">
        <v>18</v>
      </c>
      <c r="U29" s="706">
        <f t="shared" si="13"/>
        <v>100</v>
      </c>
      <c r="V29" s="705" t="s">
        <v>18</v>
      </c>
      <c r="W29" s="706">
        <f t="shared" si="14"/>
        <v>100</v>
      </c>
      <c r="X29" s="3456"/>
      <c r="Y29" s="3723"/>
      <c r="Z29" s="3457">
        <f t="shared" si="18"/>
        <v>111</v>
      </c>
      <c r="AA29" s="3455">
        <f t="shared" si="15"/>
        <v>1</v>
      </c>
      <c r="AB29" s="3455">
        <f t="shared" si="16"/>
        <v>1</v>
      </c>
      <c r="AC29" s="345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3454">
        <f t="shared" si="11"/>
        <v>111</v>
      </c>
      <c r="R30" s="705" t="s">
        <v>18</v>
      </c>
      <c r="S30" s="706">
        <f t="shared" si="12"/>
        <v>100</v>
      </c>
      <c r="T30" s="705" t="s">
        <v>18</v>
      </c>
      <c r="U30" s="706">
        <f t="shared" si="13"/>
        <v>100</v>
      </c>
      <c r="V30" s="705" t="s">
        <v>18</v>
      </c>
      <c r="W30" s="706">
        <f t="shared" si="14"/>
        <v>100</v>
      </c>
      <c r="X30" s="3456"/>
      <c r="Y30" s="3723"/>
      <c r="Z30" s="3457">
        <f t="shared" si="18"/>
        <v>111</v>
      </c>
      <c r="AA30" s="3455">
        <f t="shared" si="15"/>
        <v>1</v>
      </c>
      <c r="AB30" s="3455">
        <f t="shared" si="16"/>
        <v>1</v>
      </c>
      <c r="AC30" s="345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3454">
        <f t="shared" si="11"/>
        <v>111</v>
      </c>
      <c r="R31" s="705" t="s">
        <v>18</v>
      </c>
      <c r="S31" s="706">
        <f t="shared" si="12"/>
        <v>100</v>
      </c>
      <c r="T31" s="705" t="s">
        <v>18</v>
      </c>
      <c r="U31" s="706">
        <f t="shared" si="13"/>
        <v>100</v>
      </c>
      <c r="V31" s="705" t="s">
        <v>18</v>
      </c>
      <c r="W31" s="706">
        <f t="shared" si="14"/>
        <v>100</v>
      </c>
      <c r="X31" s="3456"/>
      <c r="Y31" s="3723"/>
      <c r="Z31" s="3457">
        <f t="shared" si="18"/>
        <v>111</v>
      </c>
      <c r="AA31" s="3455">
        <f t="shared" si="15"/>
        <v>1</v>
      </c>
      <c r="AB31" s="3455">
        <f t="shared" si="16"/>
        <v>1</v>
      </c>
      <c r="AC31" s="345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3454" t="str">
        <f t="shared" si="11"/>
        <v>建筑类型</v>
      </c>
      <c r="R32" s="705" t="s">
        <v>18</v>
      </c>
      <c r="S32" s="706">
        <f t="shared" si="12"/>
        <v>100</v>
      </c>
      <c r="T32" s="705" t="s">
        <v>18</v>
      </c>
      <c r="U32" s="706">
        <f t="shared" si="13"/>
        <v>100</v>
      </c>
      <c r="V32" s="705" t="s">
        <v>18</v>
      </c>
      <c r="W32" s="706">
        <f t="shared" si="14"/>
        <v>100</v>
      </c>
      <c r="X32" s="3456"/>
      <c r="Y32" s="3727" t="s">
        <v>1696</v>
      </c>
      <c r="Z32" s="3457" t="str">
        <f t="shared" si="18"/>
        <v>建筑类型</v>
      </c>
      <c r="AA32" s="3455">
        <f t="shared" si="15"/>
        <v>1</v>
      </c>
      <c r="AB32" s="3455">
        <f t="shared" si="16"/>
        <v>1</v>
      </c>
      <c r="AC32" s="345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3455">
        <f t="shared" si="15"/>
        <v>1</v>
      </c>
      <c r="AB33" s="3455">
        <f t="shared" si="16"/>
        <v>1</v>
      </c>
      <c r="AC33" s="345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3454" t="str">
        <f t="shared" si="11"/>
        <v>建筑结构</v>
      </c>
      <c r="R34" s="705" t="s">
        <v>18</v>
      </c>
      <c r="S34" s="706">
        <f t="shared" si="12"/>
        <v>100</v>
      </c>
      <c r="T34" s="705" t="s">
        <v>18</v>
      </c>
      <c r="U34" s="706">
        <f t="shared" si="13"/>
        <v>100</v>
      </c>
      <c r="V34" s="705" t="s">
        <v>18</v>
      </c>
      <c r="W34" s="706">
        <f t="shared" si="14"/>
        <v>100</v>
      </c>
      <c r="X34" s="3456"/>
      <c r="Y34" s="3727"/>
      <c r="Z34" s="3457" t="str">
        <f t="shared" si="18"/>
        <v>建筑结构</v>
      </c>
      <c r="AA34" s="3455">
        <f t="shared" si="15"/>
        <v>1</v>
      </c>
      <c r="AB34" s="3455">
        <f t="shared" si="16"/>
        <v>1</v>
      </c>
      <c r="AC34" s="345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3454" t="str">
        <f t="shared" si="11"/>
        <v>建筑品质</v>
      </c>
      <c r="R35" s="705" t="s">
        <v>18</v>
      </c>
      <c r="S35" s="706">
        <f t="shared" si="12"/>
        <v>100</v>
      </c>
      <c r="T35" s="705" t="s">
        <v>18</v>
      </c>
      <c r="U35" s="706">
        <f t="shared" si="13"/>
        <v>100</v>
      </c>
      <c r="V35" s="705" t="s">
        <v>18</v>
      </c>
      <c r="W35" s="706">
        <f t="shared" si="14"/>
        <v>100</v>
      </c>
      <c r="X35" s="3456"/>
      <c r="Y35" s="3727"/>
      <c r="Z35" s="3457" t="str">
        <f t="shared" si="18"/>
        <v>建筑品质</v>
      </c>
      <c r="AA35" s="3455">
        <f t="shared" si="15"/>
        <v>1</v>
      </c>
      <c r="AB35" s="3455">
        <f t="shared" si="16"/>
        <v>1</v>
      </c>
      <c r="AC35" s="345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3454" t="str">
        <f t="shared" si="11"/>
        <v>公共部分装修</v>
      </c>
      <c r="R36" s="705" t="s">
        <v>18</v>
      </c>
      <c r="S36" s="706">
        <f t="shared" si="12"/>
        <v>100</v>
      </c>
      <c r="T36" s="705" t="s">
        <v>18</v>
      </c>
      <c r="U36" s="706">
        <f t="shared" si="13"/>
        <v>100</v>
      </c>
      <c r="V36" s="705" t="s">
        <v>18</v>
      </c>
      <c r="W36" s="706">
        <f t="shared" si="14"/>
        <v>100</v>
      </c>
      <c r="X36" s="3456"/>
      <c r="Y36" s="3727"/>
      <c r="Z36" s="3457" t="str">
        <f t="shared" si="18"/>
        <v>公共部分装修</v>
      </c>
      <c r="AA36" s="3455">
        <f t="shared" si="15"/>
        <v>1</v>
      </c>
      <c r="AB36" s="3455">
        <f t="shared" si="16"/>
        <v>1</v>
      </c>
      <c r="AC36" s="3455">
        <f t="shared" si="17"/>
        <v>1</v>
      </c>
    </row>
    <row r="37" spans="1:29" s="108" customFormat="1" ht="15">
      <c r="A37" s="424"/>
      <c r="B37" s="375" t="s">
        <v>1701</v>
      </c>
      <c r="C37" s="425">
        <v>0.6</v>
      </c>
      <c r="D37" s="127">
        <v>100</v>
      </c>
      <c r="E37" s="425">
        <v>0.75</v>
      </c>
      <c r="F37" s="376">
        <f>LOOKUP(E37,112:112,113:113)-LOOKUP(C37,112:112,113:113)+100</f>
        <v>102.5</v>
      </c>
      <c r="G37" s="427">
        <v>0.75</v>
      </c>
      <c r="H37" s="127">
        <f>LOOKUP(G37,112:112,113:113)-LOOKUP(C37,112:112,113:113)+100</f>
        <v>102.5</v>
      </c>
      <c r="I37" s="426">
        <v>0.65</v>
      </c>
      <c r="J37" s="127">
        <f>LOOKUP(I37,112:112,113:113)-LOOKUP(C37,112:112,113:113)+100</f>
        <v>100</v>
      </c>
      <c r="K37" s="377">
        <v>2.5</v>
      </c>
      <c r="L37" s="2717"/>
      <c r="M37" s="2718"/>
      <c r="N37" s="2718"/>
      <c r="O37" s="2718"/>
      <c r="P37" s="3725"/>
      <c r="Q37" s="3453" t="str">
        <f t="shared" si="11"/>
        <v>成新度</v>
      </c>
      <c r="R37" s="701" t="s">
        <v>18</v>
      </c>
      <c r="S37" s="702">
        <f t="shared" si="12"/>
        <v>102.5</v>
      </c>
      <c r="T37" s="701" t="s">
        <v>18</v>
      </c>
      <c r="U37" s="702">
        <f t="shared" si="13"/>
        <v>102.5</v>
      </c>
      <c r="V37" s="701" t="s">
        <v>18</v>
      </c>
      <c r="W37" s="702">
        <f t="shared" si="14"/>
        <v>100</v>
      </c>
      <c r="X37" s="703"/>
      <c r="Y37" s="3727"/>
      <c r="Z37" s="3452" t="str">
        <f t="shared" si="18"/>
        <v>成新度</v>
      </c>
      <c r="AA37" s="704">
        <f t="shared" si="15"/>
        <v>0.97560975609756095</v>
      </c>
      <c r="AB37" s="704">
        <f t="shared" si="16"/>
        <v>0.97560975609756095</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3454" t="str">
        <f t="shared" si="11"/>
        <v>物业管理</v>
      </c>
      <c r="R38" s="705" t="s">
        <v>18</v>
      </c>
      <c r="S38" s="706">
        <f t="shared" si="12"/>
        <v>100</v>
      </c>
      <c r="T38" s="705" t="s">
        <v>18</v>
      </c>
      <c r="U38" s="706">
        <f t="shared" si="13"/>
        <v>100</v>
      </c>
      <c r="V38" s="705" t="s">
        <v>18</v>
      </c>
      <c r="W38" s="706">
        <f t="shared" si="14"/>
        <v>100</v>
      </c>
      <c r="X38" s="3456"/>
      <c r="Y38" s="3727" t="s">
        <v>1696</v>
      </c>
      <c r="Z38" s="3457" t="str">
        <f t="shared" si="18"/>
        <v>物业管理</v>
      </c>
      <c r="AA38" s="3455">
        <f t="shared" si="15"/>
        <v>1</v>
      </c>
      <c r="AB38" s="3455">
        <f t="shared" si="16"/>
        <v>1</v>
      </c>
      <c r="AC38" s="345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3454" t="str">
        <f t="shared" si="11"/>
        <v>市政基础设施</v>
      </c>
      <c r="R39" s="705" t="s">
        <v>18</v>
      </c>
      <c r="S39" s="706">
        <f t="shared" si="12"/>
        <v>110</v>
      </c>
      <c r="T39" s="705" t="s">
        <v>18</v>
      </c>
      <c r="U39" s="706">
        <f t="shared" si="13"/>
        <v>110</v>
      </c>
      <c r="V39" s="705" t="s">
        <v>18</v>
      </c>
      <c r="W39" s="706">
        <f t="shared" si="14"/>
        <v>110</v>
      </c>
      <c r="X39" s="3456"/>
      <c r="Y39" s="3727"/>
      <c r="Z39" s="3457" t="str">
        <f t="shared" si="18"/>
        <v>市政基础设施</v>
      </c>
      <c r="AA39" s="3455">
        <f t="shared" si="15"/>
        <v>0.90909090909090906</v>
      </c>
      <c r="AB39" s="3455">
        <f t="shared" si="16"/>
        <v>0.90909090909090906</v>
      </c>
      <c r="AC39" s="3455">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3454" t="str">
        <f t="shared" si="11"/>
        <v>房型</v>
      </c>
      <c r="R40" s="705" t="s">
        <v>18</v>
      </c>
      <c r="S40" s="706">
        <f t="shared" si="12"/>
        <v>112</v>
      </c>
      <c r="T40" s="705" t="s">
        <v>18</v>
      </c>
      <c r="U40" s="706">
        <f t="shared" si="13"/>
        <v>112</v>
      </c>
      <c r="V40" s="705" t="s">
        <v>18</v>
      </c>
      <c r="W40" s="706">
        <f t="shared" si="14"/>
        <v>112</v>
      </c>
      <c r="X40" s="3456"/>
      <c r="Y40" s="3727"/>
      <c r="Z40" s="3457" t="str">
        <f t="shared" si="18"/>
        <v>房型</v>
      </c>
      <c r="AA40" s="3455">
        <f t="shared" si="15"/>
        <v>0.8928571428571429</v>
      </c>
      <c r="AB40" s="3455">
        <f t="shared" si="16"/>
        <v>0.8928571428571429</v>
      </c>
      <c r="AC40" s="3455">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3455">
        <f t="shared" si="15"/>
        <v>1</v>
      </c>
      <c r="AB41" s="3455">
        <f t="shared" si="16"/>
        <v>1</v>
      </c>
      <c r="AC41" s="345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3454" t="str">
        <f t="shared" si="11"/>
        <v>内部装修</v>
      </c>
      <c r="R42" s="705" t="s">
        <v>18</v>
      </c>
      <c r="S42" s="706">
        <f t="shared" si="12"/>
        <v>100</v>
      </c>
      <c r="T42" s="705" t="s">
        <v>18</v>
      </c>
      <c r="U42" s="706">
        <f t="shared" si="13"/>
        <v>100</v>
      </c>
      <c r="V42" s="705" t="s">
        <v>18</v>
      </c>
      <c r="W42" s="706">
        <f t="shared" si="14"/>
        <v>100</v>
      </c>
      <c r="X42" s="3456"/>
      <c r="Y42" s="3727"/>
      <c r="Z42" s="3457" t="str">
        <f t="shared" si="18"/>
        <v>内部装修</v>
      </c>
      <c r="AA42" s="3455">
        <f t="shared" si="15"/>
        <v>1</v>
      </c>
      <c r="AB42" s="3455">
        <f t="shared" si="16"/>
        <v>1</v>
      </c>
      <c r="AC42" s="345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3454" t="str">
        <f t="shared" si="11"/>
        <v>内部装修维护情况</v>
      </c>
      <c r="R43" s="705" t="s">
        <v>18</v>
      </c>
      <c r="S43" s="706">
        <f t="shared" si="12"/>
        <v>100</v>
      </c>
      <c r="T43" s="705" t="s">
        <v>18</v>
      </c>
      <c r="U43" s="706">
        <f t="shared" si="13"/>
        <v>100</v>
      </c>
      <c r="V43" s="705" t="s">
        <v>18</v>
      </c>
      <c r="W43" s="706">
        <f t="shared" si="14"/>
        <v>100</v>
      </c>
      <c r="X43" s="3456"/>
      <c r="Y43" s="3727"/>
      <c r="Z43" s="3457" t="str">
        <f t="shared" si="18"/>
        <v>内部装修维护情况</v>
      </c>
      <c r="AA43" s="3455">
        <f t="shared" si="15"/>
        <v>1</v>
      </c>
      <c r="AB43" s="3455">
        <f t="shared" si="16"/>
        <v>1</v>
      </c>
      <c r="AC43" s="3455">
        <f t="shared" si="17"/>
        <v>1</v>
      </c>
    </row>
    <row r="44" spans="1:29" s="108" customFormat="1" ht="15" hidden="1">
      <c r="A44" s="424"/>
      <c r="B44" s="3470" t="s">
        <v>3522</v>
      </c>
      <c r="C44" s="3471" t="s">
        <v>3542</v>
      </c>
      <c r="D44" s="127">
        <v>100</v>
      </c>
      <c r="E44" s="3471" t="s">
        <v>3524</v>
      </c>
      <c r="F44" s="376">
        <f>SUMIF(126:126,E44,127:127)-SUMIF(126:126,C44,127:127)+100</f>
        <v>100</v>
      </c>
      <c r="G44" s="3471" t="s">
        <v>3525</v>
      </c>
      <c r="H44" s="127">
        <f>SUMIF(126:126,G44,127:127)-SUMIF(126:126,C44,127:127)+100</f>
        <v>100</v>
      </c>
      <c r="I44" s="3471" t="s">
        <v>3526</v>
      </c>
      <c r="J44" s="127">
        <f>SUMIF(126:126,I44,127:127)-SUMIF(126:126,C44,127:127)+100</f>
        <v>100</v>
      </c>
      <c r="K44" s="1894"/>
      <c r="L44" s="2717"/>
      <c r="M44" s="2718"/>
      <c r="N44" s="2718"/>
      <c r="O44" s="2718"/>
      <c r="P44" s="3725"/>
      <c r="Q44" s="3453" t="str">
        <f t="shared" si="11"/>
        <v>独立卫生间</v>
      </c>
      <c r="R44" s="701" t="s">
        <v>18</v>
      </c>
      <c r="S44" s="702">
        <f t="shared" si="12"/>
        <v>100</v>
      </c>
      <c r="T44" s="701" t="s">
        <v>18</v>
      </c>
      <c r="U44" s="702">
        <f t="shared" si="13"/>
        <v>100</v>
      </c>
      <c r="V44" s="701" t="s">
        <v>18</v>
      </c>
      <c r="W44" s="702">
        <f t="shared" si="14"/>
        <v>100</v>
      </c>
      <c r="X44" s="703"/>
      <c r="Y44" s="3727"/>
      <c r="Z44" s="3452" t="str">
        <f t="shared" si="18"/>
        <v>独立卫生间</v>
      </c>
      <c r="AA44" s="704">
        <f t="shared" si="15"/>
        <v>1</v>
      </c>
      <c r="AB44" s="704">
        <f t="shared" si="16"/>
        <v>1</v>
      </c>
      <c r="AC44" s="704">
        <f t="shared" si="17"/>
        <v>1</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3523</v>
      </c>
      <c r="J45" s="386">
        <f>SUMIF(128:128,I45,129:129)-SUMIF(128:128,C45,129:129)+100</f>
        <v>100</v>
      </c>
      <c r="K45" s="1894"/>
      <c r="L45" s="2722"/>
      <c r="M45" s="2716"/>
      <c r="N45" s="2716"/>
      <c r="O45" s="2716"/>
      <c r="P45" s="3725"/>
      <c r="Q45" s="3454" t="str">
        <f t="shared" si="11"/>
        <v>电梯</v>
      </c>
      <c r="R45" s="705" t="s">
        <v>18</v>
      </c>
      <c r="S45" s="706">
        <f t="shared" si="12"/>
        <v>102</v>
      </c>
      <c r="T45" s="705" t="s">
        <v>18</v>
      </c>
      <c r="U45" s="706">
        <f t="shared" si="13"/>
        <v>102</v>
      </c>
      <c r="V45" s="705" t="s">
        <v>18</v>
      </c>
      <c r="W45" s="706">
        <f t="shared" si="14"/>
        <v>100</v>
      </c>
      <c r="X45" s="3456"/>
      <c r="Y45" s="3727"/>
      <c r="Z45" s="3457" t="str">
        <f t="shared" si="18"/>
        <v>电梯</v>
      </c>
      <c r="AA45" s="3455">
        <f t="shared" si="15"/>
        <v>0.98039215686274506</v>
      </c>
      <c r="AB45" s="3455">
        <f t="shared" si="16"/>
        <v>0.98039215686274506</v>
      </c>
      <c r="AC45" s="3455">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3454">
        <f t="shared" si="11"/>
        <v>111</v>
      </c>
      <c r="R46" s="705" t="s">
        <v>17</v>
      </c>
      <c r="S46" s="706">
        <f t="shared" si="12"/>
        <v>100</v>
      </c>
      <c r="T46" s="705" t="s">
        <v>17</v>
      </c>
      <c r="U46" s="706">
        <f t="shared" si="13"/>
        <v>100</v>
      </c>
      <c r="V46" s="705" t="s">
        <v>17</v>
      </c>
      <c r="W46" s="706">
        <f t="shared" si="14"/>
        <v>100</v>
      </c>
      <c r="X46" s="3456"/>
      <c r="Y46" s="3728"/>
      <c r="Z46" s="3457">
        <f t="shared" si="18"/>
        <v>111</v>
      </c>
      <c r="AA46" s="3455">
        <f t="shared" si="15"/>
        <v>1</v>
      </c>
      <c r="AB46" s="3455">
        <f t="shared" si="16"/>
        <v>1</v>
      </c>
      <c r="AC46" s="3455">
        <f t="shared" si="17"/>
        <v>1</v>
      </c>
    </row>
    <row r="47" spans="1:29" ht="14.4">
      <c r="A47" s="430" t="s">
        <v>1708</v>
      </c>
      <c r="B47" s="431"/>
      <c r="C47" s="1154" t="s">
        <v>16</v>
      </c>
      <c r="D47" s="1155"/>
      <c r="E47" s="1156">
        <f>'2022-2023'!B13</f>
        <v>122.1</v>
      </c>
      <c r="F47" s="1157"/>
      <c r="G47" s="1158">
        <f>'2022-2023'!B24</f>
        <v>139.6</v>
      </c>
      <c r="H47" s="1159"/>
      <c r="I47" s="1156">
        <f>'2022-2023'!B20</f>
        <v>130</v>
      </c>
      <c r="J47" s="1159"/>
      <c r="K47" s="1914"/>
      <c r="L47" s="2724"/>
      <c r="M47" s="2725"/>
      <c r="N47" s="2716"/>
      <c r="O47" s="2725"/>
      <c r="P47" s="3720" t="str">
        <f>A47</f>
        <v>成交单价（元/平方米）</v>
      </c>
      <c r="Q47" s="3720"/>
      <c r="R47" s="3721">
        <f>E47</f>
        <v>122.1</v>
      </c>
      <c r="S47" s="3721"/>
      <c r="T47" s="3721">
        <f>G47</f>
        <v>139.6</v>
      </c>
      <c r="U47" s="3721"/>
      <c r="V47" s="3721">
        <f>I47</f>
        <v>130</v>
      </c>
      <c r="W47" s="3721"/>
      <c r="X47" s="690"/>
      <c r="Y47" s="712"/>
      <c r="Z47" s="690"/>
      <c r="AA47" s="690"/>
      <c r="AB47" s="690"/>
      <c r="AC47" s="690"/>
    </row>
    <row r="48" spans="1:29" ht="15" thickBot="1">
      <c r="A48" s="437" t="s">
        <v>1709</v>
      </c>
      <c r="B48" s="438"/>
      <c r="C48" s="1160">
        <f>R49</f>
        <v>104.2</v>
      </c>
      <c r="D48" s="2317" t="s">
        <v>2138</v>
      </c>
      <c r="E48" s="1161">
        <f>R48</f>
        <v>98.7</v>
      </c>
      <c r="F48" s="2318"/>
      <c r="G48" s="1160">
        <f>T48</f>
        <v>108.4</v>
      </c>
      <c r="H48" s="2318"/>
      <c r="I48" s="1161">
        <f>V48</f>
        <v>105.5</v>
      </c>
      <c r="J48" s="2318"/>
      <c r="K48" s="2319">
        <f>F48+H48+J48</f>
        <v>0</v>
      </c>
      <c r="L48" s="2724"/>
      <c r="M48" s="2725"/>
      <c r="N48" s="2725"/>
      <c r="O48" s="2725"/>
      <c r="P48" s="3720" t="str">
        <f>A48</f>
        <v>比较价值（元/平方米）</v>
      </c>
      <c r="Q48" s="3720"/>
      <c r="R48" s="3721">
        <f>IF(F1="售价",ROUND(PRODUCT(R47,AA7:AA46),0),ROUND(PRODUCT(R47,AA7:AA46),1))</f>
        <v>98.7</v>
      </c>
      <c r="S48" s="3721"/>
      <c r="T48" s="3721">
        <f>IF(F1="售价",ROUND(PRODUCT(T47,AB7:AB46),0),ROUND(PRODUCT(T47,AB7:AB46),1))</f>
        <v>108.4</v>
      </c>
      <c r="U48" s="3721"/>
      <c r="V48" s="3721">
        <f>IF(F1="售价",ROUND(PRODUCT(V47,AC7:AC46),0),ROUND(PRODUCT(V47,AC7:AC46),1))</f>
        <v>105.5</v>
      </c>
      <c r="W48" s="3721"/>
      <c r="X48" s="690"/>
      <c r="Y48" s="690"/>
      <c r="Z48" s="690"/>
      <c r="AA48" s="690"/>
      <c r="AB48" s="690"/>
      <c r="AC48" s="690"/>
    </row>
    <row r="49" spans="1:29" ht="15" thickBot="1">
      <c r="A49" s="441" t="s">
        <v>1710</v>
      </c>
      <c r="B49" s="442"/>
      <c r="C49" s="1162">
        <f>R49</f>
        <v>104.2</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104.2</v>
      </c>
      <c r="S49" s="3719"/>
      <c r="T49" s="3719"/>
      <c r="U49" s="3719"/>
      <c r="V49" s="3719"/>
      <c r="W49" s="3719"/>
      <c r="X49" s="690"/>
      <c r="Y49" s="690"/>
      <c r="Z49" s="690"/>
      <c r="AA49" s="690"/>
      <c r="AB49" s="690"/>
      <c r="AC49" s="690"/>
    </row>
    <row r="50" spans="1:29">
      <c r="A50" s="2725"/>
      <c r="B50" s="2725">
        <f>C49*0.9</f>
        <v>93.78</v>
      </c>
      <c r="C50" s="2725">
        <f>C49*1.1</f>
        <v>114.62000000000002</v>
      </c>
      <c r="D50" s="2725"/>
      <c r="E50" s="2725">
        <v>2000</v>
      </c>
      <c r="F50" s="2725"/>
      <c r="G50" s="2729"/>
      <c r="H50" s="2725"/>
      <c r="I50" s="2725">
        <v>1996</v>
      </c>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0.23708206686930078</v>
      </c>
      <c r="F52" s="449" t="str">
        <f>IF(OR(E52&gt;=0.3,E52&lt;=-0.3),"超过30%","")</f>
        <v/>
      </c>
      <c r="G52" s="448">
        <f>IF(G47&lt;G48,G48/G47-1,G47/G48-1)</f>
        <v>0.28782287822878216</v>
      </c>
      <c r="H52" s="449" t="str">
        <f>IF(OR(G52&gt;=0.3,G52&lt;=-0.3),"超过30%","")</f>
        <v/>
      </c>
      <c r="I52" s="448">
        <f>IF(I47&lt;I48,I48/I47-1,I47/I48-1)</f>
        <v>0.23222748815165883</v>
      </c>
      <c r="J52" s="449" t="str">
        <f>IF(OR(I52&gt;=0.3,I52&lt;=-0.3),"超过30%","")</f>
        <v/>
      </c>
      <c r="K52" s="2730"/>
      <c r="L52" s="2726"/>
      <c r="M52" s="2725"/>
      <c r="N52" s="2725"/>
      <c r="O52" s="2725"/>
    </row>
    <row r="53" spans="1:29" ht="13.5" customHeight="1">
      <c r="A53" s="2725"/>
      <c r="B53" s="2725"/>
      <c r="C53" s="446" t="s">
        <v>1712</v>
      </c>
      <c r="D53" s="450"/>
      <c r="E53" s="448">
        <f>IF(E48&lt;G48,G48/E48-1,E48/G48-1)</f>
        <v>9.8277608915906756E-2</v>
      </c>
      <c r="F53" s="449" t="str">
        <f>IF(OR(E53&gt;=0.2,E53&lt;=-0.2),"超过20%","")</f>
        <v/>
      </c>
      <c r="G53" s="448">
        <f>IF(G48&lt;I48,I48/G48-1,G48/I48-1)</f>
        <v>2.7488151658767723E-2</v>
      </c>
      <c r="H53" s="449" t="str">
        <f>IF(OR(G53&gt;=0.2,G53&lt;=-0.2),"超过20%","")</f>
        <v/>
      </c>
      <c r="I53" s="448">
        <f>IF(I48&lt;E48,E48/I48-1,I48/E48-1)</f>
        <v>6.8895643363728443E-2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0.14332514332514323</v>
      </c>
      <c r="F54" s="449" t="str">
        <f>IF(OR(E54&gt;=0.3,E54&lt;=-0.3),"超过30%","")</f>
        <v/>
      </c>
      <c r="G54" s="448">
        <f>IF(G47&lt;I47,I47/G47-1,G47/I47-1)</f>
        <v>7.3846153846153895E-2</v>
      </c>
      <c r="H54" s="449" t="str">
        <f>IF(OR(G54&gt;=0.3,G54&lt;=-0.3),"超过30%","")</f>
        <v/>
      </c>
      <c r="I54" s="448">
        <f>IF(I47&lt;E47,E47/I47-1,I47/E47-1)</f>
        <v>6.4701064701064848E-2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96</v>
      </c>
      <c r="E79" s="493">
        <f>D79-$K17</f>
        <v>92</v>
      </c>
      <c r="F79" s="493">
        <f>E79-$K17</f>
        <v>88</v>
      </c>
      <c r="G79" s="493">
        <f>F79-$K17</f>
        <v>84</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102.5</v>
      </c>
      <c r="E113" s="493">
        <f>D113+$K37</f>
        <v>105</v>
      </c>
      <c r="F113" s="493">
        <f>E113+$K37</f>
        <v>107.5</v>
      </c>
      <c r="G113" s="493">
        <f>F113+$K37</f>
        <v>110</v>
      </c>
      <c r="H113" s="493">
        <f>G113+$K37</f>
        <v>112.5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election activeCell="E17" sqref="E17"/>
    </sheetView>
  </sheetViews>
  <sheetFormatPr defaultRowHeight="15.6"/>
  <cols>
    <col min="1" max="1" width="25.77734375" style="3450" customWidth="1"/>
    <col min="2" max="2" width="11.33203125" style="3451" customWidth="1"/>
    <col min="3" max="14" width="12.44140625" style="3450" customWidth="1"/>
    <col min="15" max="16384" width="8.88671875" style="3450"/>
  </cols>
  <sheetData>
    <row r="1" spans="1:14">
      <c r="A1" s="3731" t="s">
        <v>3390</v>
      </c>
      <c r="C1" s="3449">
        <v>45078.333831018521</v>
      </c>
      <c r="D1" s="3449">
        <v>45047.333831018521</v>
      </c>
      <c r="E1" s="3449">
        <v>45017.333831018521</v>
      </c>
      <c r="F1" s="3449">
        <v>44986.333831018521</v>
      </c>
      <c r="G1" s="3449">
        <v>44958.333831018521</v>
      </c>
      <c r="H1" s="3449">
        <v>44927.333831018521</v>
      </c>
      <c r="I1" s="3449">
        <v>44896.333831018521</v>
      </c>
      <c r="J1" s="3449">
        <v>44866.333831018521</v>
      </c>
      <c r="K1" s="3449">
        <v>44835.333831018521</v>
      </c>
      <c r="L1" s="3449">
        <v>44805.333831018521</v>
      </c>
      <c r="M1" s="3449">
        <v>44774.333831018521</v>
      </c>
      <c r="N1" s="3449">
        <v>44743.333831018521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156.1</v>
      </c>
      <c r="C3" s="3450">
        <v>164.09</v>
      </c>
      <c r="D3" s="3450">
        <v>167.11</v>
      </c>
      <c r="E3" s="3450">
        <v>171.03</v>
      </c>
      <c r="F3" s="3450">
        <v>162.65</v>
      </c>
      <c r="G3" s="3450">
        <v>126.92</v>
      </c>
      <c r="H3" s="3450">
        <v>132.74</v>
      </c>
      <c r="I3" s="3450">
        <v>132.74</v>
      </c>
      <c r="J3" s="3450">
        <v>131.78</v>
      </c>
      <c r="K3" s="3450">
        <v>141.78</v>
      </c>
      <c r="L3" s="3450">
        <v>149.1</v>
      </c>
      <c r="M3" s="3450">
        <v>170</v>
      </c>
      <c r="N3" s="3450">
        <v>223.1</v>
      </c>
    </row>
    <row r="4" spans="1:14">
      <c r="A4" s="3450" t="s">
        <v>3403</v>
      </c>
      <c r="B4" s="3451">
        <f t="shared" ref="B4:B67" si="0">ROUND(AVERAGE(C4:N4),1)</f>
        <v>158</v>
      </c>
      <c r="C4" s="3450">
        <v>155.03</v>
      </c>
      <c r="D4" s="3450">
        <v>169.89</v>
      </c>
      <c r="E4" s="3450">
        <v>162.55000000000001</v>
      </c>
      <c r="F4" s="3450">
        <v>160.03</v>
      </c>
      <c r="G4" s="3450">
        <v>171.53</v>
      </c>
      <c r="H4" s="3450">
        <v>149.31</v>
      </c>
      <c r="I4" s="3450">
        <v>149.83000000000001</v>
      </c>
      <c r="J4" s="3450">
        <v>150.77000000000001</v>
      </c>
      <c r="K4" s="3450">
        <v>148.79</v>
      </c>
      <c r="L4" s="3450">
        <v>145.13999999999999</v>
      </c>
      <c r="M4" s="3450">
        <v>163.13999999999999</v>
      </c>
      <c r="N4" s="3450">
        <v>169.71</v>
      </c>
    </row>
    <row r="5" spans="1:14">
      <c r="A5" s="3450" t="s">
        <v>3548</v>
      </c>
      <c r="B5" s="3451">
        <f t="shared" si="0"/>
        <v>133</v>
      </c>
      <c r="C5" s="3450">
        <v>131.66999999999999</v>
      </c>
      <c r="D5" s="3450">
        <v>135.47</v>
      </c>
      <c r="E5" s="3450">
        <v>136.76</v>
      </c>
      <c r="F5" s="3450">
        <v>134.25</v>
      </c>
      <c r="G5" s="3450">
        <v>126.12</v>
      </c>
      <c r="H5" s="3450">
        <v>131.72</v>
      </c>
      <c r="I5" s="3450">
        <v>135.55000000000001</v>
      </c>
      <c r="J5" s="3450">
        <v>133.77000000000001</v>
      </c>
      <c r="K5" s="3450">
        <v>131.21</v>
      </c>
      <c r="L5" s="3450">
        <v>133.33000000000001</v>
      </c>
      <c r="M5" s="3450">
        <v>131.18</v>
      </c>
      <c r="N5" s="3450">
        <v>134.83000000000001</v>
      </c>
    </row>
    <row r="6" spans="1:14">
      <c r="A6" s="3450" t="s">
        <v>3405</v>
      </c>
      <c r="B6" s="3451">
        <f t="shared" si="0"/>
        <v>142.9</v>
      </c>
      <c r="C6" s="3450">
        <v>158.15</v>
      </c>
      <c r="D6" s="3450">
        <v>162.43</v>
      </c>
      <c r="E6" s="3450">
        <v>170.12</v>
      </c>
      <c r="F6" s="3450">
        <v>151.38999999999999</v>
      </c>
      <c r="G6" s="3450">
        <v>141.35</v>
      </c>
      <c r="H6" s="3450">
        <v>135.25</v>
      </c>
      <c r="I6" s="3450">
        <v>135.57</v>
      </c>
      <c r="J6" s="3450">
        <v>136.27000000000001</v>
      </c>
      <c r="K6" s="3450">
        <v>136.77000000000001</v>
      </c>
      <c r="L6" s="3450">
        <v>125.63</v>
      </c>
      <c r="M6" s="3450">
        <v>125.86</v>
      </c>
      <c r="N6" s="3450">
        <v>135.52000000000001</v>
      </c>
    </row>
    <row r="7" spans="1:14">
      <c r="A7" s="3450" t="s">
        <v>3406</v>
      </c>
      <c r="B7" s="3451">
        <f t="shared" si="0"/>
        <v>153.6</v>
      </c>
      <c r="C7" s="3450">
        <v>151.61000000000001</v>
      </c>
      <c r="D7" s="3450">
        <v>150.69</v>
      </c>
      <c r="E7" s="3450">
        <v>149.69</v>
      </c>
      <c r="F7" s="3450">
        <v>148.6</v>
      </c>
      <c r="G7" s="3450">
        <v>151.21</v>
      </c>
      <c r="H7" s="3450">
        <v>154.66999999999999</v>
      </c>
      <c r="I7" s="3450">
        <v>154.72999999999999</v>
      </c>
      <c r="J7" s="3450">
        <v>158.26</v>
      </c>
      <c r="K7" s="3450">
        <v>157.57</v>
      </c>
      <c r="L7" s="3450">
        <v>157.22999999999999</v>
      </c>
      <c r="M7" s="3450">
        <v>155.33000000000001</v>
      </c>
      <c r="N7" s="3450">
        <v>154.16</v>
      </c>
    </row>
    <row r="8" spans="1:14">
      <c r="A8" s="3450" t="s">
        <v>3407</v>
      </c>
      <c r="B8" s="3451">
        <f t="shared" si="0"/>
        <v>142.9</v>
      </c>
      <c r="C8" s="3450">
        <v>138.11000000000001</v>
      </c>
      <c r="D8" s="3450">
        <v>135.52000000000001</v>
      </c>
      <c r="E8" s="3450">
        <v>139.03</v>
      </c>
      <c r="F8" s="3450">
        <v>138.01</v>
      </c>
      <c r="G8" s="3450">
        <v>141.63999999999999</v>
      </c>
      <c r="H8" s="3450">
        <v>138.63999999999999</v>
      </c>
      <c r="I8" s="3450">
        <v>138.25</v>
      </c>
      <c r="J8" s="3450">
        <v>146.02000000000001</v>
      </c>
      <c r="K8" s="3450">
        <v>152.04</v>
      </c>
      <c r="L8" s="3450">
        <v>145.02000000000001</v>
      </c>
      <c r="M8" s="3450">
        <v>150.43</v>
      </c>
      <c r="N8" s="3450">
        <v>151.63</v>
      </c>
    </row>
    <row r="9" spans="1:14">
      <c r="A9" s="3450" t="s">
        <v>3408</v>
      </c>
      <c r="B9" s="3451">
        <f t="shared" si="0"/>
        <v>222.3</v>
      </c>
      <c r="C9" s="3450">
        <v>223.81</v>
      </c>
      <c r="D9" s="3450">
        <v>220.81</v>
      </c>
    </row>
    <row r="10" spans="1:14">
      <c r="A10" s="3450" t="s">
        <v>3409</v>
      </c>
      <c r="B10" s="3451">
        <f t="shared" si="0"/>
        <v>143.19999999999999</v>
      </c>
      <c r="C10" s="3450">
        <v>156.9</v>
      </c>
      <c r="D10" s="3450">
        <v>141.91</v>
      </c>
      <c r="E10" s="3450">
        <v>140.18</v>
      </c>
      <c r="F10" s="3450">
        <v>140.77000000000001</v>
      </c>
      <c r="G10" s="3450">
        <v>143.21</v>
      </c>
      <c r="H10" s="3450">
        <v>143.21</v>
      </c>
      <c r="I10" s="3450">
        <v>143.21</v>
      </c>
      <c r="J10" s="3450">
        <v>139.22</v>
      </c>
      <c r="K10" s="3450">
        <v>134.97</v>
      </c>
      <c r="L10" s="3450">
        <v>134.38</v>
      </c>
      <c r="M10" s="3450">
        <v>142.31</v>
      </c>
      <c r="N10" s="3450">
        <v>158.28</v>
      </c>
    </row>
    <row r="11" spans="1:14">
      <c r="A11" s="3450" t="s">
        <v>3410</v>
      </c>
      <c r="B11" s="3466">
        <f t="shared" si="0"/>
        <v>149.19999999999999</v>
      </c>
      <c r="C11" s="3450">
        <v>141.03</v>
      </c>
      <c r="D11" s="3450">
        <v>139.29</v>
      </c>
      <c r="E11" s="3450">
        <v>135.82</v>
      </c>
      <c r="F11" s="3450">
        <v>136.32</v>
      </c>
      <c r="N11" s="3450">
        <v>193.33</v>
      </c>
    </row>
    <row r="12" spans="1:14">
      <c r="A12" s="3450" t="s">
        <v>3411</v>
      </c>
      <c r="B12" s="3451">
        <f t="shared" si="0"/>
        <v>144.69999999999999</v>
      </c>
      <c r="C12" s="3450">
        <v>157.93</v>
      </c>
      <c r="D12" s="3450">
        <v>156.85</v>
      </c>
      <c r="E12" s="3450">
        <v>162.02000000000001</v>
      </c>
      <c r="F12" s="3450">
        <v>152.71</v>
      </c>
      <c r="G12" s="3450">
        <v>157.94999999999999</v>
      </c>
      <c r="H12" s="3450">
        <v>147.97</v>
      </c>
      <c r="I12" s="3450">
        <v>147.97</v>
      </c>
      <c r="J12" s="3450">
        <v>129.30000000000001</v>
      </c>
      <c r="K12" s="3450">
        <v>113.28</v>
      </c>
      <c r="L12" s="3450">
        <v>114.44</v>
      </c>
      <c r="M12" s="3450">
        <v>138.18</v>
      </c>
      <c r="N12" s="3450">
        <v>158.30000000000001</v>
      </c>
    </row>
    <row r="13" spans="1:14">
      <c r="A13" s="3450" t="s">
        <v>3535</v>
      </c>
      <c r="B13" s="3466">
        <f t="shared" si="0"/>
        <v>122.1</v>
      </c>
      <c r="C13" s="3450">
        <v>125.58</v>
      </c>
      <c r="D13" s="3450">
        <v>116.04</v>
      </c>
      <c r="E13" s="3450">
        <v>120.55</v>
      </c>
      <c r="F13" s="3450">
        <v>124.54</v>
      </c>
      <c r="G13" s="3450">
        <v>121.78</v>
      </c>
      <c r="H13" s="3450">
        <v>113.03</v>
      </c>
      <c r="I13" s="3450">
        <v>112.36</v>
      </c>
      <c r="J13" s="3450">
        <v>117.25</v>
      </c>
      <c r="K13" s="3450">
        <v>125.86</v>
      </c>
      <c r="L13" s="3450">
        <v>129.05000000000001</v>
      </c>
      <c r="M13" s="3450">
        <v>133.74</v>
      </c>
      <c r="N13" s="3450">
        <v>125.22</v>
      </c>
    </row>
    <row r="14" spans="1:14">
      <c r="A14" s="3450" t="s">
        <v>3413</v>
      </c>
      <c r="B14" s="3451">
        <f t="shared" si="0"/>
        <v>118.8</v>
      </c>
      <c r="C14" s="3450">
        <v>117.45</v>
      </c>
      <c r="D14" s="3450">
        <v>120</v>
      </c>
      <c r="E14" s="3450">
        <v>119.08</v>
      </c>
      <c r="F14" s="3450">
        <v>116.12</v>
      </c>
      <c r="G14" s="3450">
        <v>120.91</v>
      </c>
      <c r="H14" s="3450">
        <v>118.28</v>
      </c>
      <c r="I14" s="3450">
        <v>114.55</v>
      </c>
      <c r="J14" s="3450">
        <v>114.94</v>
      </c>
      <c r="K14" s="3450">
        <v>117.16</v>
      </c>
      <c r="L14" s="3450">
        <v>124.95</v>
      </c>
      <c r="M14" s="3450">
        <v>123.68</v>
      </c>
      <c r="N14" s="3450">
        <v>119.03</v>
      </c>
    </row>
    <row r="15" spans="1:14">
      <c r="A15" s="3450" t="s">
        <v>3414</v>
      </c>
      <c r="B15" s="3451">
        <f t="shared" si="0"/>
        <v>146.30000000000001</v>
      </c>
      <c r="C15" s="3450">
        <v>166.22</v>
      </c>
      <c r="D15" s="3450">
        <v>146.34</v>
      </c>
      <c r="E15" s="3450">
        <v>142.56</v>
      </c>
      <c r="F15" s="3450">
        <v>144.36000000000001</v>
      </c>
      <c r="G15" s="3450">
        <v>147.41999999999999</v>
      </c>
      <c r="H15" s="3450">
        <v>146.55000000000001</v>
      </c>
      <c r="I15" s="3450">
        <v>143.08000000000001</v>
      </c>
      <c r="J15" s="3450">
        <v>146.6</v>
      </c>
      <c r="K15" s="3450">
        <v>143.94999999999999</v>
      </c>
      <c r="L15" s="3450">
        <v>149.21</v>
      </c>
      <c r="M15" s="3450">
        <v>140.32</v>
      </c>
      <c r="N15" s="3450">
        <v>138.47</v>
      </c>
    </row>
    <row r="16" spans="1:14">
      <c r="A16" s="3450" t="s">
        <v>3392</v>
      </c>
      <c r="B16" s="3451">
        <f t="shared" si="0"/>
        <v>160.6</v>
      </c>
      <c r="C16" s="3450">
        <v>156.68</v>
      </c>
      <c r="D16" s="3450">
        <v>158.18</v>
      </c>
      <c r="E16" s="3450">
        <v>162</v>
      </c>
      <c r="F16" s="3450">
        <v>169.36</v>
      </c>
      <c r="G16" s="3450">
        <v>175.84</v>
      </c>
      <c r="H16" s="3450">
        <v>175.62</v>
      </c>
      <c r="I16" s="3450">
        <v>177.86</v>
      </c>
      <c r="J16" s="3450">
        <v>164.31</v>
      </c>
      <c r="K16" s="3450">
        <v>143.07</v>
      </c>
      <c r="L16" s="3450">
        <v>123.53</v>
      </c>
    </row>
    <row r="17" spans="1:14">
      <c r="A17" s="3450" t="s">
        <v>3534</v>
      </c>
      <c r="B17" s="3467">
        <f t="shared" si="0"/>
        <v>120.4</v>
      </c>
      <c r="D17" s="3450">
        <v>130.55000000000001</v>
      </c>
      <c r="E17" s="3450">
        <v>130.55000000000001</v>
      </c>
      <c r="F17" s="3450">
        <v>118.28</v>
      </c>
      <c r="G17" s="3450">
        <v>112.15</v>
      </c>
      <c r="H17" s="3450">
        <v>112.5</v>
      </c>
      <c r="I17" s="3450">
        <v>117.81</v>
      </c>
      <c r="J17" s="3450">
        <v>119.58</v>
      </c>
      <c r="K17" s="3450">
        <v>121.88</v>
      </c>
    </row>
    <row r="18" spans="1:14">
      <c r="A18" s="3450" t="s">
        <v>3393</v>
      </c>
      <c r="B18" s="3451">
        <f t="shared" si="0"/>
        <v>164.3</v>
      </c>
      <c r="C18" s="3450">
        <v>163.63</v>
      </c>
      <c r="D18" s="3450">
        <v>166.53</v>
      </c>
      <c r="E18" s="3450">
        <v>174.19</v>
      </c>
      <c r="F18" s="3450">
        <v>175.99</v>
      </c>
      <c r="G18" s="3450">
        <v>174.84</v>
      </c>
      <c r="H18" s="3450">
        <v>162.9</v>
      </c>
      <c r="I18" s="3450">
        <v>161.34</v>
      </c>
      <c r="J18" s="3450">
        <v>164.12</v>
      </c>
      <c r="K18" s="3450">
        <v>158.66999999999999</v>
      </c>
      <c r="L18" s="3450">
        <v>156.75</v>
      </c>
      <c r="M18" s="3450">
        <v>157.76</v>
      </c>
      <c r="N18" s="3450">
        <v>154.86000000000001</v>
      </c>
    </row>
    <row r="19" spans="1:14">
      <c r="A19" s="3450" t="s">
        <v>3395</v>
      </c>
      <c r="B19" s="3451">
        <f t="shared" si="0"/>
        <v>231.7</v>
      </c>
      <c r="E19" s="3450">
        <v>235.98</v>
      </c>
      <c r="F19" s="3450">
        <v>235.98</v>
      </c>
      <c r="G19" s="3450">
        <v>223.05</v>
      </c>
    </row>
    <row r="20" spans="1:14">
      <c r="A20" s="3450" t="s">
        <v>3549</v>
      </c>
      <c r="B20" s="3814">
        <f t="shared" si="0"/>
        <v>130</v>
      </c>
      <c r="F20" s="3450">
        <v>128.82</v>
      </c>
      <c r="G20" s="3450">
        <v>128.82</v>
      </c>
      <c r="H20" s="3450">
        <v>128.82</v>
      </c>
      <c r="I20" s="3450">
        <v>128.82</v>
      </c>
      <c r="L20" s="3450">
        <v>128.13</v>
      </c>
      <c r="M20" s="3450">
        <v>133.33000000000001</v>
      </c>
      <c r="N20" s="3450">
        <v>133.33000000000001</v>
      </c>
    </row>
    <row r="21" spans="1:14">
      <c r="A21" s="3450" t="s">
        <v>3397</v>
      </c>
      <c r="B21" s="3451">
        <f t="shared" si="0"/>
        <v>150.5</v>
      </c>
      <c r="C21" s="3450">
        <v>166.91</v>
      </c>
      <c r="D21" s="3450">
        <v>159.57</v>
      </c>
      <c r="E21" s="3450">
        <v>152</v>
      </c>
      <c r="F21" s="3450">
        <v>148.78</v>
      </c>
      <c r="G21" s="3450">
        <v>135.35</v>
      </c>
      <c r="H21" s="3450">
        <v>136.11000000000001</v>
      </c>
      <c r="I21" s="3450">
        <v>141.13</v>
      </c>
      <c r="J21" s="3450">
        <v>143.03</v>
      </c>
      <c r="K21" s="3450">
        <v>150.88999999999999</v>
      </c>
      <c r="L21" s="3450">
        <v>156.85</v>
      </c>
      <c r="M21" s="3450">
        <v>160.4</v>
      </c>
      <c r="N21" s="3450">
        <v>155.03</v>
      </c>
    </row>
    <row r="22" spans="1:14">
      <c r="A22" s="3450" t="s">
        <v>3398</v>
      </c>
      <c r="B22" s="3451">
        <f t="shared" si="0"/>
        <v>256.7</v>
      </c>
      <c r="C22" s="3450">
        <v>256.67</v>
      </c>
      <c r="E22" s="3450">
        <v>256.67</v>
      </c>
      <c r="F22" s="3450">
        <v>256.67</v>
      </c>
    </row>
    <row r="23" spans="1:14">
      <c r="A23" s="3450" t="s">
        <v>3399</v>
      </c>
      <c r="B23" s="3451">
        <f t="shared" si="0"/>
        <v>149.30000000000001</v>
      </c>
      <c r="C23" s="3450">
        <v>145.88</v>
      </c>
      <c r="D23" s="3450">
        <v>141.63999999999999</v>
      </c>
      <c r="E23" s="3450">
        <v>143.44999999999999</v>
      </c>
      <c r="F23" s="3450">
        <v>152.93</v>
      </c>
      <c r="G23" s="3450">
        <v>143.21</v>
      </c>
      <c r="H23" s="3450">
        <v>136.82</v>
      </c>
      <c r="I23" s="3450">
        <v>160</v>
      </c>
      <c r="J23" s="3450">
        <v>160</v>
      </c>
      <c r="K23" s="3450">
        <v>160</v>
      </c>
    </row>
    <row r="24" spans="1:14">
      <c r="A24" s="3450" t="s">
        <v>3416</v>
      </c>
      <c r="B24" s="3466">
        <f t="shared" si="0"/>
        <v>139.6</v>
      </c>
      <c r="C24" s="3450">
        <v>141.47</v>
      </c>
      <c r="D24" s="3450">
        <v>136.68</v>
      </c>
      <c r="E24" s="3450">
        <v>134.36000000000001</v>
      </c>
      <c r="F24" s="3450">
        <v>135.78</v>
      </c>
      <c r="G24" s="3450">
        <v>138.97</v>
      </c>
      <c r="H24" s="3450">
        <v>135.81</v>
      </c>
      <c r="I24" s="3450">
        <v>135.72</v>
      </c>
      <c r="J24" s="3450">
        <v>146.54</v>
      </c>
      <c r="K24" s="3450">
        <v>147.35</v>
      </c>
      <c r="L24" s="3450">
        <v>141.85</v>
      </c>
      <c r="M24" s="3450">
        <v>138.29</v>
      </c>
      <c r="N24" s="3450">
        <v>142.57</v>
      </c>
    </row>
    <row r="25" spans="1:14">
      <c r="A25" s="3450" t="s">
        <v>3417</v>
      </c>
      <c r="B25" s="3451">
        <f t="shared" si="0"/>
        <v>170.5</v>
      </c>
      <c r="C25" s="3450">
        <v>172.76</v>
      </c>
      <c r="D25" s="3450">
        <v>172.59</v>
      </c>
      <c r="E25" s="3450">
        <v>178.05</v>
      </c>
      <c r="F25" s="3450">
        <v>178.45</v>
      </c>
      <c r="G25" s="3450">
        <v>178.04</v>
      </c>
      <c r="H25" s="3450">
        <v>177.09</v>
      </c>
      <c r="I25" s="3450">
        <v>168.19</v>
      </c>
      <c r="J25" s="3450">
        <v>161.21</v>
      </c>
      <c r="K25" s="3450">
        <v>161.85</v>
      </c>
      <c r="L25" s="3450">
        <v>161.02000000000001</v>
      </c>
      <c r="M25" s="3450">
        <v>161.91</v>
      </c>
      <c r="N25" s="3450">
        <v>174.57</v>
      </c>
    </row>
    <row r="26" spans="1:14">
      <c r="A26" s="3450" t="s">
        <v>3400</v>
      </c>
      <c r="B26" s="3451">
        <f t="shared" si="0"/>
        <v>145.4</v>
      </c>
      <c r="C26" s="3450">
        <v>151.01</v>
      </c>
      <c r="D26" s="3450">
        <v>144.72999999999999</v>
      </c>
      <c r="E26" s="3450">
        <v>147.53</v>
      </c>
      <c r="F26" s="3450">
        <v>148.19999999999999</v>
      </c>
      <c r="G26" s="3450">
        <v>147.87</v>
      </c>
      <c r="H26" s="3450">
        <v>151.97</v>
      </c>
      <c r="I26" s="3450">
        <v>141.06</v>
      </c>
      <c r="J26" s="3450">
        <v>131.04</v>
      </c>
    </row>
    <row r="27" spans="1:14">
      <c r="A27" s="3450" t="s">
        <v>3401</v>
      </c>
      <c r="B27" s="3451">
        <f t="shared" si="0"/>
        <v>10.4</v>
      </c>
      <c r="E27" s="3450">
        <v>10.35</v>
      </c>
      <c r="F27" s="3450">
        <v>10.35</v>
      </c>
    </row>
    <row r="28" spans="1:14">
      <c r="A28" s="3450" t="s">
        <v>3418</v>
      </c>
      <c r="B28" s="3451">
        <f t="shared" si="0"/>
        <v>158.80000000000001</v>
      </c>
      <c r="C28" s="3450">
        <v>168.04</v>
      </c>
      <c r="D28" s="3450">
        <v>158.16</v>
      </c>
      <c r="E28" s="3450">
        <v>152.5</v>
      </c>
      <c r="F28" s="3450">
        <v>150.01</v>
      </c>
      <c r="G28" s="3450">
        <v>164.57</v>
      </c>
      <c r="H28" s="3450">
        <v>176.11</v>
      </c>
      <c r="I28" s="3450">
        <v>181.4</v>
      </c>
      <c r="J28" s="3450">
        <v>189.1</v>
      </c>
      <c r="K28" s="3450">
        <v>124.79</v>
      </c>
      <c r="L28" s="3450">
        <v>149.72999999999999</v>
      </c>
      <c r="M28" s="3450">
        <v>158.43</v>
      </c>
      <c r="N28" s="3450">
        <v>132.77000000000001</v>
      </c>
    </row>
    <row r="29" spans="1:14">
      <c r="A29" s="3450" t="s">
        <v>3419</v>
      </c>
      <c r="B29" s="3466">
        <f t="shared" si="0"/>
        <v>148.5</v>
      </c>
      <c r="C29" s="3450">
        <v>153.38999999999999</v>
      </c>
      <c r="D29" s="3450">
        <v>150.08000000000001</v>
      </c>
      <c r="E29" s="3450">
        <v>143.01</v>
      </c>
      <c r="F29" s="3450">
        <v>143.5</v>
      </c>
      <c r="G29" s="3450">
        <v>137.18</v>
      </c>
      <c r="H29" s="3450">
        <v>138.32</v>
      </c>
      <c r="I29" s="3450">
        <v>139.54</v>
      </c>
      <c r="J29" s="3450">
        <v>141.44999999999999</v>
      </c>
      <c r="K29" s="3450">
        <v>161.31</v>
      </c>
      <c r="L29" s="3450">
        <v>162.59</v>
      </c>
      <c r="M29" s="3450">
        <v>159.36000000000001</v>
      </c>
      <c r="N29" s="3450">
        <v>151.84</v>
      </c>
    </row>
    <row r="30" spans="1:14">
      <c r="A30" s="3459" t="s">
        <v>3510</v>
      </c>
      <c r="B30" s="3451">
        <f t="shared" si="0"/>
        <v>57.5</v>
      </c>
      <c r="C30" s="3459">
        <v>49.71</v>
      </c>
      <c r="D30" s="3459">
        <v>68.23</v>
      </c>
      <c r="E30" s="3459">
        <v>79.739999999999995</v>
      </c>
      <c r="F30" s="3459">
        <v>81.38</v>
      </c>
      <c r="G30" s="3459">
        <v>45.33</v>
      </c>
      <c r="H30" s="3459">
        <v>45.33</v>
      </c>
      <c r="I30" s="3459">
        <v>45.33</v>
      </c>
      <c r="J30" s="3459">
        <v>45.33</v>
      </c>
      <c r="K30" s="3459"/>
      <c r="L30" s="3459"/>
      <c r="M30" s="3459"/>
      <c r="N30" s="3459"/>
    </row>
    <row r="31" spans="1:14">
      <c r="A31" s="3459" t="s">
        <v>3420</v>
      </c>
      <c r="B31" s="3451">
        <f t="shared" si="0"/>
        <v>145.4</v>
      </c>
      <c r="C31" s="3459">
        <v>175.26</v>
      </c>
      <c r="D31" s="3459">
        <v>164.63</v>
      </c>
      <c r="E31" s="3459">
        <v>146.28</v>
      </c>
      <c r="F31" s="3459">
        <v>143.19999999999999</v>
      </c>
      <c r="G31" s="3459">
        <v>143.4</v>
      </c>
      <c r="H31" s="3459">
        <v>134.75</v>
      </c>
      <c r="I31" s="3459">
        <v>138</v>
      </c>
      <c r="J31" s="3459">
        <v>139.29</v>
      </c>
      <c r="K31" s="3459">
        <v>136.49</v>
      </c>
      <c r="L31" s="3459">
        <v>137.29</v>
      </c>
      <c r="M31" s="3459">
        <v>142.36000000000001</v>
      </c>
      <c r="N31" s="3459">
        <v>143.47999999999999</v>
      </c>
    </row>
    <row r="32" spans="1:14">
      <c r="A32" s="3459" t="s">
        <v>3421</v>
      </c>
      <c r="B32" s="3451">
        <f t="shared" si="0"/>
        <v>184.8</v>
      </c>
      <c r="C32" s="3459">
        <v>181.1</v>
      </c>
      <c r="D32" s="3459">
        <v>180.07</v>
      </c>
      <c r="E32" s="3459">
        <v>174.51</v>
      </c>
      <c r="F32" s="3459">
        <v>178.4</v>
      </c>
      <c r="G32" s="3459">
        <v>188.46</v>
      </c>
      <c r="H32" s="3459">
        <v>194.68</v>
      </c>
      <c r="I32" s="3459">
        <v>194.09</v>
      </c>
      <c r="J32" s="3459">
        <v>191.14</v>
      </c>
      <c r="K32" s="3459">
        <v>190.88</v>
      </c>
      <c r="L32" s="3459">
        <v>185.08</v>
      </c>
      <c r="M32" s="3459">
        <v>185.96</v>
      </c>
      <c r="N32" s="3459">
        <v>173.55</v>
      </c>
    </row>
    <row r="33" spans="1:14">
      <c r="A33" s="3459" t="s">
        <v>3422</v>
      </c>
      <c r="B33" s="3451">
        <f t="shared" si="0"/>
        <v>139.4</v>
      </c>
      <c r="C33" s="3459">
        <v>153.91999999999999</v>
      </c>
      <c r="D33" s="3459">
        <v>152.85</v>
      </c>
      <c r="E33" s="3459">
        <v>142.66999999999999</v>
      </c>
      <c r="F33" s="3459">
        <v>135.86000000000001</v>
      </c>
      <c r="G33" s="3459">
        <v>126.29</v>
      </c>
      <c r="H33" s="3459">
        <v>127.51</v>
      </c>
      <c r="I33" s="3459">
        <v>131.91</v>
      </c>
      <c r="J33" s="3459">
        <v>138.47</v>
      </c>
      <c r="K33" s="3459">
        <v>143.68</v>
      </c>
      <c r="L33" s="3459">
        <v>141.41999999999999</v>
      </c>
      <c r="M33" s="3459">
        <v>140.28</v>
      </c>
      <c r="N33" s="3459">
        <v>137.35</v>
      </c>
    </row>
    <row r="34" spans="1:14">
      <c r="A34" s="3459" t="s">
        <v>3423</v>
      </c>
      <c r="B34" s="3451">
        <f t="shared" si="0"/>
        <v>155.80000000000001</v>
      </c>
      <c r="C34" s="3459">
        <v>170.37</v>
      </c>
      <c r="D34" s="3459">
        <v>175.62</v>
      </c>
      <c r="E34" s="3459">
        <v>161.06</v>
      </c>
      <c r="F34" s="3459">
        <v>142.02000000000001</v>
      </c>
      <c r="G34" s="3459">
        <v>139.82</v>
      </c>
      <c r="H34" s="3459">
        <v>131.59</v>
      </c>
      <c r="I34" s="3459">
        <v>117.06</v>
      </c>
      <c r="J34" s="3459">
        <v>144.81</v>
      </c>
      <c r="K34" s="3459">
        <v>177.44</v>
      </c>
      <c r="L34" s="3459">
        <v>168.48</v>
      </c>
      <c r="M34" s="3459">
        <v>168.78</v>
      </c>
      <c r="N34" s="3459">
        <v>172.46</v>
      </c>
    </row>
    <row r="35" spans="1:14">
      <c r="A35" s="3459" t="s">
        <v>3424</v>
      </c>
      <c r="B35" s="3451">
        <f t="shared" si="0"/>
        <v>152.6</v>
      </c>
      <c r="C35" s="3459">
        <v>144.63</v>
      </c>
      <c r="D35" s="3459">
        <v>151.97999999999999</v>
      </c>
      <c r="E35" s="3459">
        <v>152.22999999999999</v>
      </c>
      <c r="F35" s="3459">
        <v>152.33000000000001</v>
      </c>
      <c r="G35" s="3459">
        <v>151.76</v>
      </c>
      <c r="H35" s="3459">
        <v>152.09</v>
      </c>
      <c r="I35" s="3459">
        <v>152.72999999999999</v>
      </c>
      <c r="J35" s="3459">
        <v>152.6</v>
      </c>
      <c r="K35" s="3459">
        <v>155.30000000000001</v>
      </c>
      <c r="L35" s="3459">
        <v>154.31</v>
      </c>
      <c r="M35" s="3459">
        <v>156.32</v>
      </c>
      <c r="N35" s="3459">
        <v>155.03</v>
      </c>
    </row>
    <row r="36" spans="1:14">
      <c r="A36" s="3459" t="s">
        <v>3425</v>
      </c>
      <c r="B36" s="3451" t="e">
        <f t="shared" si="0"/>
        <v>#DIV/0!</v>
      </c>
      <c r="C36" s="3459"/>
      <c r="D36" s="3459"/>
      <c r="E36" s="3459"/>
      <c r="F36" s="3459"/>
      <c r="G36" s="3459"/>
      <c r="H36" s="3459"/>
      <c r="I36" s="3459"/>
      <c r="J36" s="3459"/>
      <c r="K36" s="3459"/>
      <c r="L36" s="3459"/>
      <c r="M36" s="3459"/>
      <c r="N36" s="3459"/>
    </row>
    <row r="37" spans="1:14">
      <c r="A37" s="3459" t="s">
        <v>3426</v>
      </c>
      <c r="B37" s="3451">
        <f t="shared" si="0"/>
        <v>140.6</v>
      </c>
      <c r="C37" s="3459"/>
      <c r="D37" s="3459">
        <v>140.6</v>
      </c>
      <c r="E37" s="3459">
        <v>140.6</v>
      </c>
      <c r="F37" s="3459"/>
      <c r="G37" s="3459"/>
      <c r="H37" s="3459"/>
      <c r="I37" s="3459"/>
      <c r="J37" s="3459"/>
      <c r="K37" s="3459"/>
      <c r="L37" s="3459"/>
      <c r="M37" s="3459"/>
      <c r="N37" s="3459"/>
    </row>
    <row r="38" spans="1:14">
      <c r="A38" s="3459" t="s">
        <v>3427</v>
      </c>
      <c r="B38" s="3451">
        <f t="shared" si="0"/>
        <v>141.6</v>
      </c>
      <c r="C38" s="3459">
        <v>141.33000000000001</v>
      </c>
      <c r="D38" s="3459">
        <v>145.85</v>
      </c>
      <c r="E38" s="3459">
        <v>139.61000000000001</v>
      </c>
      <c r="F38" s="3459">
        <v>135.77000000000001</v>
      </c>
      <c r="G38" s="3459">
        <v>129.36000000000001</v>
      </c>
      <c r="H38" s="3459">
        <v>130.94</v>
      </c>
      <c r="I38" s="3459">
        <v>131.15</v>
      </c>
      <c r="J38" s="3459">
        <v>152.26</v>
      </c>
      <c r="K38" s="3459">
        <v>153.97</v>
      </c>
      <c r="L38" s="3459">
        <v>153.34</v>
      </c>
      <c r="M38" s="3459">
        <v>142.08000000000001</v>
      </c>
      <c r="N38" s="3459">
        <v>144.1</v>
      </c>
    </row>
    <row r="39" spans="1:14">
      <c r="A39" s="3459" t="s">
        <v>3544</v>
      </c>
      <c r="B39" s="3451">
        <f t="shared" si="0"/>
        <v>138.69999999999999</v>
      </c>
      <c r="C39" s="3459">
        <v>145.08000000000001</v>
      </c>
      <c r="D39" s="3459">
        <v>142.54</v>
      </c>
      <c r="E39" s="3459">
        <v>141.76</v>
      </c>
      <c r="F39" s="3459">
        <v>141.08000000000001</v>
      </c>
      <c r="G39" s="3459">
        <v>137.47999999999999</v>
      </c>
      <c r="H39" s="3459">
        <v>134.38999999999999</v>
      </c>
      <c r="I39" s="3459">
        <v>133.88999999999999</v>
      </c>
      <c r="J39" s="3459">
        <v>133.94999999999999</v>
      </c>
      <c r="K39" s="3459">
        <v>135.5</v>
      </c>
      <c r="L39" s="3459">
        <v>138.84</v>
      </c>
      <c r="M39" s="3459">
        <v>139.07</v>
      </c>
      <c r="N39" s="3459">
        <v>140.94</v>
      </c>
    </row>
    <row r="40" spans="1:14">
      <c r="A40" s="3459" t="s">
        <v>3429</v>
      </c>
      <c r="B40" s="3451">
        <f t="shared" si="0"/>
        <v>146.80000000000001</v>
      </c>
      <c r="C40" s="3459">
        <v>161.69</v>
      </c>
      <c r="D40" s="3459">
        <v>152.97999999999999</v>
      </c>
      <c r="E40" s="3459">
        <v>149.80000000000001</v>
      </c>
      <c r="F40" s="3459">
        <v>143.83000000000001</v>
      </c>
      <c r="G40" s="3459">
        <v>126.56</v>
      </c>
      <c r="H40" s="3459">
        <v>133.51</v>
      </c>
      <c r="I40" s="3459">
        <v>147.9</v>
      </c>
      <c r="J40" s="3459">
        <v>142.54</v>
      </c>
      <c r="K40" s="3459">
        <v>141.28</v>
      </c>
      <c r="L40" s="3459">
        <v>150.06</v>
      </c>
      <c r="M40" s="3459">
        <v>155.54</v>
      </c>
      <c r="N40" s="3459">
        <v>155.44</v>
      </c>
    </row>
    <row r="41" spans="1:14">
      <c r="A41" s="3459" t="s">
        <v>3430</v>
      </c>
      <c r="B41" s="3451">
        <f t="shared" si="0"/>
        <v>156.1</v>
      </c>
      <c r="C41" s="3459">
        <v>126.21</v>
      </c>
      <c r="D41" s="3459">
        <v>160.16999999999999</v>
      </c>
      <c r="E41" s="3459">
        <v>154.18</v>
      </c>
      <c r="F41" s="3459">
        <v>134.27000000000001</v>
      </c>
      <c r="G41" s="3459">
        <v>139.24</v>
      </c>
      <c r="H41" s="3459">
        <v>147.24</v>
      </c>
      <c r="I41" s="3459">
        <v>148.66</v>
      </c>
      <c r="J41" s="3459">
        <v>149.03</v>
      </c>
      <c r="K41" s="3459">
        <v>176.99</v>
      </c>
      <c r="L41" s="3459">
        <v>183.2</v>
      </c>
      <c r="M41" s="3459">
        <v>183.31</v>
      </c>
      <c r="N41" s="3459">
        <v>171.03</v>
      </c>
    </row>
    <row r="42" spans="1:14">
      <c r="A42" s="3459" t="s">
        <v>3431</v>
      </c>
      <c r="B42" s="3451">
        <f t="shared" si="0"/>
        <v>132.69999999999999</v>
      </c>
      <c r="C42" s="3459">
        <v>144.08000000000001</v>
      </c>
      <c r="D42" s="3459">
        <v>148.19999999999999</v>
      </c>
      <c r="E42" s="3459">
        <v>141.68</v>
      </c>
      <c r="F42" s="3459">
        <v>125.7</v>
      </c>
      <c r="G42" s="3459">
        <v>123.06</v>
      </c>
      <c r="H42" s="3459">
        <v>127.77</v>
      </c>
      <c r="I42" s="3459">
        <v>127.57</v>
      </c>
      <c r="J42" s="3459">
        <v>128.84</v>
      </c>
      <c r="K42" s="3459">
        <v>133.47</v>
      </c>
      <c r="L42" s="3459">
        <v>129.47999999999999</v>
      </c>
      <c r="M42" s="3459">
        <v>130.88</v>
      </c>
      <c r="N42" s="3459">
        <v>131.76</v>
      </c>
    </row>
    <row r="43" spans="1:14">
      <c r="A43" s="3459" t="s">
        <v>3432</v>
      </c>
      <c r="B43" s="3451">
        <f t="shared" si="0"/>
        <v>176.7</v>
      </c>
      <c r="C43" s="3459"/>
      <c r="D43" s="3459"/>
      <c r="E43" s="3459"/>
      <c r="F43" s="3459"/>
      <c r="G43" s="3459"/>
      <c r="H43" s="3459"/>
      <c r="I43" s="3459"/>
      <c r="J43" s="3459"/>
      <c r="K43" s="3459"/>
      <c r="L43" s="3459">
        <v>176.67</v>
      </c>
      <c r="M43" s="3459">
        <v>176.67</v>
      </c>
      <c r="N43" s="3459">
        <v>176.67</v>
      </c>
    </row>
    <row r="44" spans="1:14">
      <c r="A44" s="3459" t="s">
        <v>3433</v>
      </c>
      <c r="B44" s="3451" t="e">
        <f t="shared" si="0"/>
        <v>#DIV/0!</v>
      </c>
      <c r="C44" s="3459"/>
      <c r="D44" s="3459"/>
      <c r="E44" s="3459"/>
      <c r="F44" s="3459"/>
      <c r="G44" s="3459"/>
      <c r="H44" s="3459"/>
      <c r="I44" s="3459"/>
      <c r="J44" s="3459"/>
      <c r="K44" s="3459"/>
      <c r="L44" s="3459"/>
      <c r="M44" s="3459"/>
      <c r="N44" s="3459"/>
    </row>
    <row r="45" spans="1:14">
      <c r="A45" s="3459" t="s">
        <v>3434</v>
      </c>
      <c r="B45" s="3451">
        <f t="shared" si="0"/>
        <v>140.4</v>
      </c>
      <c r="C45" s="3459">
        <v>140.43</v>
      </c>
      <c r="D45" s="3459">
        <v>140.43</v>
      </c>
      <c r="E45" s="3459"/>
      <c r="F45" s="3459"/>
      <c r="G45" s="3459"/>
      <c r="H45" s="3459"/>
      <c r="I45" s="3459"/>
      <c r="J45" s="3459"/>
      <c r="K45" s="3459"/>
      <c r="L45" s="3459"/>
      <c r="M45" s="3459"/>
      <c r="N45" s="3459"/>
    </row>
    <row r="46" spans="1:14">
      <c r="A46" s="3459" t="s">
        <v>3435</v>
      </c>
      <c r="B46" s="3451">
        <f t="shared" si="0"/>
        <v>161.69999999999999</v>
      </c>
      <c r="C46" s="3459">
        <v>160.63999999999999</v>
      </c>
      <c r="D46" s="3459">
        <v>152.01</v>
      </c>
      <c r="E46" s="3459">
        <v>145.72</v>
      </c>
      <c r="F46" s="3459">
        <v>146.46</v>
      </c>
      <c r="G46" s="3459">
        <v>167.58</v>
      </c>
      <c r="H46" s="3459">
        <v>163.87</v>
      </c>
      <c r="I46" s="3459">
        <v>159.34</v>
      </c>
      <c r="J46" s="3459">
        <v>150.19999999999999</v>
      </c>
      <c r="K46" s="3459">
        <v>158.26</v>
      </c>
      <c r="L46" s="3459">
        <v>170.8</v>
      </c>
      <c r="M46" s="3459">
        <v>184.63</v>
      </c>
      <c r="N46" s="3459">
        <v>180.73</v>
      </c>
    </row>
    <row r="47" spans="1:14">
      <c r="A47" s="3459" t="s">
        <v>3436</v>
      </c>
      <c r="B47" s="3451">
        <f t="shared" si="0"/>
        <v>63.8</v>
      </c>
      <c r="C47" s="3459">
        <v>63.06</v>
      </c>
      <c r="D47" s="3459">
        <v>64.95</v>
      </c>
      <c r="E47" s="3459">
        <v>66.42</v>
      </c>
      <c r="F47" s="3459">
        <v>65.83</v>
      </c>
      <c r="G47" s="3459">
        <v>63.06</v>
      </c>
      <c r="H47" s="3459">
        <v>63.06</v>
      </c>
      <c r="I47" s="3459">
        <v>63.06</v>
      </c>
      <c r="J47" s="3459">
        <v>61.11</v>
      </c>
      <c r="K47" s="3459"/>
      <c r="L47" s="3459"/>
      <c r="M47" s="3459"/>
      <c r="N47" s="3459"/>
    </row>
    <row r="48" spans="1:14">
      <c r="A48" s="3459" t="s">
        <v>3437</v>
      </c>
      <c r="B48" s="3451">
        <f t="shared" si="0"/>
        <v>101.2</v>
      </c>
      <c r="C48" s="3459">
        <v>110.28</v>
      </c>
      <c r="D48" s="3459">
        <v>109.04</v>
      </c>
      <c r="E48" s="3459">
        <v>109.04</v>
      </c>
      <c r="F48" s="3459"/>
      <c r="G48" s="3459"/>
      <c r="H48" s="3459"/>
      <c r="I48" s="3459">
        <v>100</v>
      </c>
      <c r="J48" s="3459">
        <v>91.25</v>
      </c>
      <c r="K48" s="3459">
        <v>95.07</v>
      </c>
      <c r="L48" s="3459">
        <v>92.61</v>
      </c>
      <c r="M48" s="3459"/>
      <c r="N48" s="3459">
        <v>102.62</v>
      </c>
    </row>
    <row r="49" spans="1:14">
      <c r="A49" s="3459" t="s">
        <v>3438</v>
      </c>
      <c r="B49" s="3451">
        <f t="shared" si="0"/>
        <v>134.6</v>
      </c>
      <c r="C49" s="3459">
        <v>150.30000000000001</v>
      </c>
      <c r="D49" s="3459">
        <v>136.46</v>
      </c>
      <c r="E49" s="3459">
        <v>138.08000000000001</v>
      </c>
      <c r="F49" s="3459">
        <v>134.13</v>
      </c>
      <c r="G49" s="3459">
        <v>126.44</v>
      </c>
      <c r="H49" s="3459">
        <v>125.65</v>
      </c>
      <c r="I49" s="3459">
        <v>125.53</v>
      </c>
      <c r="J49" s="3459">
        <v>127.4</v>
      </c>
      <c r="K49" s="3459">
        <v>129.02000000000001</v>
      </c>
      <c r="L49" s="3459">
        <v>141.30000000000001</v>
      </c>
      <c r="M49" s="3459">
        <v>145.13</v>
      </c>
      <c r="N49" s="3459">
        <v>136.06</v>
      </c>
    </row>
    <row r="50" spans="1:14">
      <c r="A50" s="3459" t="s">
        <v>3439</v>
      </c>
      <c r="B50" s="3451">
        <f t="shared" si="0"/>
        <v>164.3</v>
      </c>
      <c r="C50" s="3459">
        <v>182.97</v>
      </c>
      <c r="D50" s="3459">
        <v>274.83</v>
      </c>
      <c r="E50" s="3459">
        <v>127.14</v>
      </c>
      <c r="F50" s="3459">
        <v>132.74</v>
      </c>
      <c r="G50" s="3459">
        <v>132.74</v>
      </c>
      <c r="H50" s="3459">
        <v>133.53</v>
      </c>
      <c r="I50" s="3459">
        <v>133.53</v>
      </c>
      <c r="J50" s="3459">
        <v>133.53</v>
      </c>
      <c r="K50" s="3459">
        <v>133.97999999999999</v>
      </c>
      <c r="L50" s="3459">
        <v>185.15</v>
      </c>
      <c r="M50" s="3459">
        <v>200.44</v>
      </c>
      <c r="N50" s="3459">
        <v>201.5</v>
      </c>
    </row>
    <row r="51" spans="1:14">
      <c r="A51" s="3459" t="s">
        <v>3440</v>
      </c>
      <c r="B51" s="3451">
        <f t="shared" si="0"/>
        <v>126.1</v>
      </c>
      <c r="C51" s="3459">
        <v>126.96</v>
      </c>
      <c r="D51" s="3459">
        <v>131.49</v>
      </c>
      <c r="E51" s="3459">
        <v>130.30000000000001</v>
      </c>
      <c r="F51" s="3459">
        <v>125.74</v>
      </c>
      <c r="G51" s="3459">
        <v>123.56</v>
      </c>
      <c r="H51" s="3459">
        <v>122.44</v>
      </c>
      <c r="I51" s="3459">
        <v>125.48</v>
      </c>
      <c r="J51" s="3459">
        <v>126.72</v>
      </c>
      <c r="K51" s="3459">
        <v>125.54</v>
      </c>
      <c r="L51" s="3459">
        <v>123.41</v>
      </c>
      <c r="M51" s="3459">
        <v>125.39</v>
      </c>
      <c r="N51" s="3459">
        <v>126.03</v>
      </c>
    </row>
    <row r="52" spans="1:14">
      <c r="A52" s="3459" t="s">
        <v>3441</v>
      </c>
      <c r="B52" s="3451">
        <f t="shared" si="0"/>
        <v>139.6</v>
      </c>
      <c r="C52" s="3459">
        <v>138.94</v>
      </c>
      <c r="D52" s="3459">
        <v>141.43</v>
      </c>
      <c r="E52" s="3459">
        <v>137.04</v>
      </c>
      <c r="F52" s="3459">
        <v>135.85</v>
      </c>
      <c r="G52" s="3459">
        <v>137.21</v>
      </c>
      <c r="H52" s="3459">
        <v>135.33000000000001</v>
      </c>
      <c r="I52" s="3459">
        <v>139.76</v>
      </c>
      <c r="J52" s="3459">
        <v>139.21</v>
      </c>
      <c r="K52" s="3459">
        <v>140.44999999999999</v>
      </c>
      <c r="L52" s="3459">
        <v>143.41</v>
      </c>
      <c r="M52" s="3459">
        <v>141.91</v>
      </c>
      <c r="N52" s="3459">
        <v>145.08000000000001</v>
      </c>
    </row>
    <row r="53" spans="1:14">
      <c r="A53" s="3459" t="s">
        <v>3442</v>
      </c>
      <c r="B53" s="3451">
        <f t="shared" si="0"/>
        <v>41.8</v>
      </c>
      <c r="C53" s="3459">
        <v>41.96</v>
      </c>
      <c r="D53" s="3459">
        <v>41.68</v>
      </c>
      <c r="E53" s="3459">
        <v>41.68</v>
      </c>
      <c r="F53" s="3459"/>
      <c r="G53" s="3459"/>
      <c r="H53" s="3459"/>
      <c r="I53" s="3459"/>
      <c r="J53" s="3459"/>
      <c r="K53" s="3459"/>
      <c r="L53" s="3459"/>
      <c r="M53" s="3459"/>
      <c r="N53" s="3459"/>
    </row>
    <row r="54" spans="1:14">
      <c r="A54" s="3459" t="s">
        <v>3443</v>
      </c>
      <c r="B54" s="3451">
        <f t="shared" si="0"/>
        <v>157.19999999999999</v>
      </c>
      <c r="C54" s="3459">
        <v>169.58</v>
      </c>
      <c r="D54" s="3459">
        <v>169.58</v>
      </c>
      <c r="E54" s="3459">
        <v>167.97</v>
      </c>
      <c r="F54" s="3459">
        <v>156.9</v>
      </c>
      <c r="G54" s="3459">
        <v>149.34</v>
      </c>
      <c r="H54" s="3459">
        <v>151.19999999999999</v>
      </c>
      <c r="I54" s="3459">
        <v>151.19999999999999</v>
      </c>
      <c r="J54" s="3459">
        <v>152.56</v>
      </c>
      <c r="K54" s="3459">
        <v>155.69999999999999</v>
      </c>
      <c r="L54" s="3459">
        <v>156.13999999999999</v>
      </c>
      <c r="M54" s="3459">
        <v>153.19999999999999</v>
      </c>
      <c r="N54" s="3459">
        <v>152.94</v>
      </c>
    </row>
    <row r="55" spans="1:14">
      <c r="A55" s="3459" t="s">
        <v>3444</v>
      </c>
      <c r="B55" s="3451">
        <f t="shared" si="0"/>
        <v>142.80000000000001</v>
      </c>
      <c r="C55" s="3459">
        <v>168.89</v>
      </c>
      <c r="D55" s="3459">
        <v>158.62</v>
      </c>
      <c r="E55" s="3459">
        <v>156.03</v>
      </c>
      <c r="F55" s="3459">
        <v>155.72999999999999</v>
      </c>
      <c r="G55" s="3459">
        <v>141.79</v>
      </c>
      <c r="H55" s="3459">
        <v>133.51</v>
      </c>
      <c r="I55" s="3459">
        <v>127.31</v>
      </c>
      <c r="J55" s="3459">
        <v>131.96</v>
      </c>
      <c r="K55" s="3459">
        <v>136.47999999999999</v>
      </c>
      <c r="L55" s="3459">
        <v>136.35</v>
      </c>
      <c r="M55" s="3459">
        <v>135.06</v>
      </c>
      <c r="N55" s="3459">
        <v>132.08000000000001</v>
      </c>
    </row>
    <row r="56" spans="1:14">
      <c r="A56" s="3459" t="s">
        <v>3445</v>
      </c>
      <c r="B56" s="3451">
        <f t="shared" si="0"/>
        <v>144.9</v>
      </c>
      <c r="C56" s="3459">
        <v>152.1</v>
      </c>
      <c r="D56" s="3459">
        <v>148.43</v>
      </c>
      <c r="E56" s="3459">
        <v>145.65</v>
      </c>
      <c r="F56" s="3459">
        <v>143.82</v>
      </c>
      <c r="G56" s="3459">
        <v>145.68</v>
      </c>
      <c r="H56" s="3459">
        <v>143.1</v>
      </c>
      <c r="I56" s="3459">
        <v>139.29</v>
      </c>
      <c r="J56" s="3459">
        <v>133.76</v>
      </c>
      <c r="K56" s="3459">
        <v>134.55000000000001</v>
      </c>
      <c r="L56" s="3459">
        <v>135.16999999999999</v>
      </c>
      <c r="M56" s="3459">
        <v>155.13</v>
      </c>
      <c r="N56" s="3459">
        <v>162.44</v>
      </c>
    </row>
    <row r="57" spans="1:14">
      <c r="A57" s="3459" t="s">
        <v>3446</v>
      </c>
      <c r="B57" s="3451">
        <f t="shared" si="0"/>
        <v>150.19999999999999</v>
      </c>
      <c r="C57" s="3459">
        <v>151.29</v>
      </c>
      <c r="D57" s="3459">
        <v>154.87</v>
      </c>
      <c r="E57" s="3459">
        <v>152.66999999999999</v>
      </c>
      <c r="F57" s="3459">
        <v>147.56</v>
      </c>
      <c r="G57" s="3459">
        <v>147</v>
      </c>
      <c r="H57" s="3459">
        <v>136.88</v>
      </c>
      <c r="I57" s="3459">
        <v>143.35</v>
      </c>
      <c r="J57" s="3459">
        <v>146.41</v>
      </c>
      <c r="K57" s="3459">
        <v>147.15</v>
      </c>
      <c r="L57" s="3459">
        <v>145.06</v>
      </c>
      <c r="M57" s="3459">
        <v>153.47</v>
      </c>
      <c r="N57" s="3459">
        <v>176.41</v>
      </c>
    </row>
    <row r="58" spans="1:14">
      <c r="A58" s="3459" t="s">
        <v>3447</v>
      </c>
      <c r="B58" s="3451">
        <f t="shared" si="0"/>
        <v>150.30000000000001</v>
      </c>
      <c r="C58" s="3459">
        <v>257</v>
      </c>
      <c r="D58" s="3459">
        <v>135.16</v>
      </c>
      <c r="E58" s="3459">
        <v>137.44999999999999</v>
      </c>
      <c r="F58" s="3459">
        <v>135.57</v>
      </c>
      <c r="G58" s="3459">
        <v>137.22</v>
      </c>
      <c r="H58" s="3459">
        <v>133.69999999999999</v>
      </c>
      <c r="I58" s="3459">
        <v>135.09</v>
      </c>
      <c r="J58" s="3459">
        <v>139.02000000000001</v>
      </c>
      <c r="K58" s="3459">
        <v>152.37</v>
      </c>
      <c r="L58" s="3459">
        <v>149.74</v>
      </c>
      <c r="M58" s="3459">
        <v>151.41</v>
      </c>
      <c r="N58" s="3459">
        <v>139.75</v>
      </c>
    </row>
    <row r="59" spans="1:14">
      <c r="A59" s="3459" t="s">
        <v>3448</v>
      </c>
      <c r="B59" s="3451">
        <f t="shared" si="0"/>
        <v>148.9</v>
      </c>
      <c r="C59" s="3459">
        <v>160.15</v>
      </c>
      <c r="D59" s="3459">
        <v>152.63999999999999</v>
      </c>
      <c r="E59" s="3459">
        <v>159.75</v>
      </c>
      <c r="F59" s="3459">
        <v>154.97</v>
      </c>
      <c r="G59" s="3459">
        <v>151.55000000000001</v>
      </c>
      <c r="H59" s="3459">
        <v>161.84</v>
      </c>
      <c r="I59" s="3459">
        <v>125</v>
      </c>
      <c r="J59" s="3459">
        <v>125</v>
      </c>
      <c r="K59" s="3459"/>
      <c r="L59" s="3459"/>
      <c r="M59" s="3459"/>
      <c r="N59" s="3459"/>
    </row>
    <row r="60" spans="1:14">
      <c r="A60" s="3459" t="s">
        <v>3449</v>
      </c>
      <c r="B60" s="3451">
        <f t="shared" si="0"/>
        <v>138.1</v>
      </c>
      <c r="C60" s="3459">
        <v>141.56</v>
      </c>
      <c r="D60" s="3459">
        <v>143.66</v>
      </c>
      <c r="E60" s="3459">
        <v>140.18</v>
      </c>
      <c r="F60" s="3459">
        <v>140.03</v>
      </c>
      <c r="G60" s="3459">
        <v>135.16999999999999</v>
      </c>
      <c r="H60" s="3459">
        <v>129.43</v>
      </c>
      <c r="I60" s="3459">
        <v>131.72999999999999</v>
      </c>
      <c r="J60" s="3459">
        <v>131.91</v>
      </c>
      <c r="K60" s="3459">
        <v>139.24</v>
      </c>
      <c r="L60" s="3459">
        <v>139.74</v>
      </c>
      <c r="M60" s="3459">
        <v>140.29</v>
      </c>
      <c r="N60" s="3459">
        <v>143.66999999999999</v>
      </c>
    </row>
    <row r="61" spans="1:14">
      <c r="A61" s="3459" t="s">
        <v>3450</v>
      </c>
      <c r="B61" s="3451">
        <f t="shared" si="0"/>
        <v>113.5</v>
      </c>
      <c r="C61" s="3459">
        <v>151.74</v>
      </c>
      <c r="D61" s="3459">
        <v>180.94</v>
      </c>
      <c r="E61" s="3459">
        <v>189.14</v>
      </c>
      <c r="F61" s="3459">
        <v>147.44999999999999</v>
      </c>
      <c r="G61" s="3459">
        <v>127.99</v>
      </c>
      <c r="H61" s="3459">
        <v>56</v>
      </c>
      <c r="I61" s="3459">
        <v>56</v>
      </c>
      <c r="J61" s="3459">
        <v>56</v>
      </c>
      <c r="K61" s="3459">
        <v>56</v>
      </c>
      <c r="L61" s="3459"/>
      <c r="M61" s="3459"/>
      <c r="N61" s="3459"/>
    </row>
    <row r="62" spans="1:14">
      <c r="A62" s="3459" t="s">
        <v>3451</v>
      </c>
      <c r="B62" s="3451">
        <f t="shared" si="0"/>
        <v>47.1</v>
      </c>
      <c r="C62" s="3459"/>
      <c r="D62" s="3459">
        <v>45.33</v>
      </c>
      <c r="E62" s="3459">
        <v>49.83</v>
      </c>
      <c r="F62" s="3459">
        <v>49.83</v>
      </c>
      <c r="G62" s="3459">
        <v>45.33</v>
      </c>
      <c r="H62" s="3459">
        <v>45.33</v>
      </c>
      <c r="I62" s="3459"/>
      <c r="J62" s="3459"/>
      <c r="K62" s="3459"/>
      <c r="L62" s="3459"/>
      <c r="M62" s="3459"/>
      <c r="N62" s="3459"/>
    </row>
    <row r="63" spans="1:14">
      <c r="A63" s="3459" t="s">
        <v>3452</v>
      </c>
      <c r="B63" s="3451">
        <f t="shared" si="0"/>
        <v>176.4</v>
      </c>
      <c r="C63" s="3459">
        <v>173.35</v>
      </c>
      <c r="D63" s="3459">
        <v>177.92</v>
      </c>
      <c r="E63" s="3459">
        <v>180.37</v>
      </c>
      <c r="F63" s="3459">
        <v>181.86</v>
      </c>
      <c r="G63" s="3459">
        <v>168.49</v>
      </c>
      <c r="H63" s="3459"/>
      <c r="I63" s="3459"/>
      <c r="J63" s="3459"/>
      <c r="K63" s="3459"/>
      <c r="L63" s="3459"/>
      <c r="M63" s="3459"/>
      <c r="N63" s="3459"/>
    </row>
    <row r="64" spans="1:14">
      <c r="A64" s="3459" t="s">
        <v>3453</v>
      </c>
      <c r="B64" s="3451">
        <f t="shared" si="0"/>
        <v>145.80000000000001</v>
      </c>
      <c r="C64" s="3459">
        <v>154.35</v>
      </c>
      <c r="D64" s="3459">
        <v>151.87</v>
      </c>
      <c r="E64" s="3459">
        <v>155.25</v>
      </c>
      <c r="F64" s="3459">
        <v>148.01</v>
      </c>
      <c r="G64" s="3459">
        <v>139.68</v>
      </c>
      <c r="H64" s="3459">
        <v>133.97</v>
      </c>
      <c r="I64" s="3459">
        <v>131.38999999999999</v>
      </c>
      <c r="J64" s="3459">
        <v>135.46</v>
      </c>
      <c r="K64" s="3459">
        <v>140.37</v>
      </c>
      <c r="L64" s="3459">
        <v>141.25</v>
      </c>
      <c r="M64" s="3459">
        <v>154.86000000000001</v>
      </c>
      <c r="N64" s="3459">
        <v>163.07</v>
      </c>
    </row>
    <row r="65" spans="1:14">
      <c r="A65" s="3459" t="s">
        <v>3454</v>
      </c>
      <c r="B65" s="3451">
        <f t="shared" si="0"/>
        <v>156.6</v>
      </c>
      <c r="C65" s="3459">
        <v>168.21</v>
      </c>
      <c r="D65" s="3459">
        <v>169.52</v>
      </c>
      <c r="E65" s="3459">
        <v>164.8</v>
      </c>
      <c r="F65" s="3459">
        <v>159.79</v>
      </c>
      <c r="G65" s="3459">
        <v>142.72</v>
      </c>
      <c r="H65" s="3459">
        <v>130.46</v>
      </c>
      <c r="I65" s="3459">
        <v>140.65</v>
      </c>
      <c r="J65" s="3459">
        <v>153.85</v>
      </c>
      <c r="K65" s="3459">
        <v>162.85</v>
      </c>
      <c r="L65" s="3459">
        <v>165.35</v>
      </c>
      <c r="M65" s="3459">
        <v>162.05000000000001</v>
      </c>
      <c r="N65" s="3459">
        <v>158.56</v>
      </c>
    </row>
    <row r="66" spans="1:14">
      <c r="A66" s="3459" t="s">
        <v>3455</v>
      </c>
      <c r="B66" s="3451">
        <f t="shared" si="0"/>
        <v>187.4</v>
      </c>
      <c r="C66" s="3459">
        <v>167.22</v>
      </c>
      <c r="D66" s="3459">
        <v>191.76</v>
      </c>
      <c r="E66" s="3459">
        <v>203.13</v>
      </c>
      <c r="F66" s="3459"/>
      <c r="G66" s="3459"/>
      <c r="H66" s="3459"/>
      <c r="I66" s="3459"/>
      <c r="J66" s="3459"/>
      <c r="K66" s="3459"/>
      <c r="L66" s="3459"/>
      <c r="M66" s="3459"/>
      <c r="N66" s="3459"/>
    </row>
    <row r="67" spans="1:14">
      <c r="A67" s="3459" t="s">
        <v>3456</v>
      </c>
      <c r="B67" s="3451">
        <f t="shared" si="0"/>
        <v>145.30000000000001</v>
      </c>
      <c r="C67" s="3459">
        <v>152.5</v>
      </c>
      <c r="D67" s="3459">
        <v>148.69999999999999</v>
      </c>
      <c r="E67" s="3459">
        <v>144.56</v>
      </c>
      <c r="F67" s="3459">
        <v>143.55000000000001</v>
      </c>
      <c r="G67" s="3459">
        <v>141.47999999999999</v>
      </c>
      <c r="H67" s="3459">
        <v>139.22999999999999</v>
      </c>
      <c r="I67" s="3459">
        <v>139.56</v>
      </c>
      <c r="J67" s="3459">
        <v>141.61000000000001</v>
      </c>
      <c r="K67" s="3459">
        <v>143.04</v>
      </c>
      <c r="L67" s="3459">
        <v>147.74</v>
      </c>
      <c r="M67" s="3459">
        <v>151.02000000000001</v>
      </c>
      <c r="N67" s="3459">
        <v>150.25</v>
      </c>
    </row>
    <row r="68" spans="1:14">
      <c r="A68" s="3459" t="s">
        <v>3457</v>
      </c>
      <c r="B68" s="3451">
        <f t="shared" ref="B68:B122" si="1">ROUND(AVERAGE(C68:N68),1)</f>
        <v>147.9</v>
      </c>
      <c r="C68" s="3459">
        <v>140.69</v>
      </c>
      <c r="D68" s="3459">
        <v>143.93</v>
      </c>
      <c r="E68" s="3459">
        <v>130</v>
      </c>
      <c r="F68" s="3459">
        <v>130</v>
      </c>
      <c r="G68" s="3459"/>
      <c r="H68" s="3459">
        <v>186.67</v>
      </c>
      <c r="I68" s="3459">
        <v>175.15</v>
      </c>
      <c r="J68" s="3459">
        <v>163.63999999999999</v>
      </c>
      <c r="K68" s="3459">
        <v>140.59</v>
      </c>
      <c r="L68" s="3459">
        <v>124.92</v>
      </c>
      <c r="M68" s="3459">
        <v>131.29</v>
      </c>
      <c r="N68" s="3459">
        <v>159.79</v>
      </c>
    </row>
    <row r="69" spans="1:14">
      <c r="A69" s="3459" t="s">
        <v>3458</v>
      </c>
      <c r="B69" s="3451">
        <f t="shared" si="1"/>
        <v>150.69999999999999</v>
      </c>
      <c r="C69" s="3459">
        <v>188.33</v>
      </c>
      <c r="D69" s="3459">
        <v>166.38</v>
      </c>
      <c r="E69" s="3459">
        <v>163.34</v>
      </c>
      <c r="F69" s="3459">
        <v>159.5</v>
      </c>
      <c r="G69" s="3459">
        <v>142.51</v>
      </c>
      <c r="H69" s="3459">
        <v>124.58</v>
      </c>
      <c r="I69" s="3459">
        <v>139.93</v>
      </c>
      <c r="J69" s="3459">
        <v>151.24</v>
      </c>
      <c r="K69" s="3459">
        <v>144.5</v>
      </c>
      <c r="L69" s="3459">
        <v>142.87</v>
      </c>
      <c r="M69" s="3459">
        <v>142.88</v>
      </c>
      <c r="N69" s="3459">
        <v>142.93</v>
      </c>
    </row>
    <row r="70" spans="1:14">
      <c r="A70" s="3459" t="s">
        <v>3459</v>
      </c>
      <c r="B70" s="3451">
        <f t="shared" si="1"/>
        <v>136.9</v>
      </c>
      <c r="C70" s="3459">
        <v>133.55000000000001</v>
      </c>
      <c r="D70" s="3459">
        <v>129.53</v>
      </c>
      <c r="E70" s="3459">
        <v>134.85</v>
      </c>
      <c r="F70" s="3459">
        <v>132.82</v>
      </c>
      <c r="G70" s="3459">
        <v>138.22</v>
      </c>
      <c r="H70" s="3459">
        <v>149.57</v>
      </c>
      <c r="I70" s="3459">
        <v>141.16999999999999</v>
      </c>
      <c r="J70" s="3459">
        <v>133.85</v>
      </c>
      <c r="K70" s="3459">
        <v>143.26</v>
      </c>
      <c r="L70" s="3459">
        <v>137.25</v>
      </c>
      <c r="M70" s="3459">
        <v>132.77000000000001</v>
      </c>
      <c r="N70" s="3459">
        <v>136.31</v>
      </c>
    </row>
    <row r="71" spans="1:14">
      <c r="A71" s="3459" t="s">
        <v>3460</v>
      </c>
      <c r="B71" s="3451">
        <f t="shared" si="1"/>
        <v>143.1</v>
      </c>
      <c r="C71" s="3459">
        <v>164.17</v>
      </c>
      <c r="D71" s="3459">
        <v>175.97</v>
      </c>
      <c r="E71" s="3459">
        <v>171.48</v>
      </c>
      <c r="F71" s="3459">
        <v>143.03</v>
      </c>
      <c r="G71" s="3459">
        <v>131.41999999999999</v>
      </c>
      <c r="H71" s="3459">
        <v>129.43</v>
      </c>
      <c r="I71" s="3459">
        <v>131.57</v>
      </c>
      <c r="J71" s="3459"/>
      <c r="K71" s="3459"/>
      <c r="L71" s="3459">
        <v>128.91</v>
      </c>
      <c r="M71" s="3459">
        <v>128.56</v>
      </c>
      <c r="N71" s="3459">
        <v>126.66</v>
      </c>
    </row>
    <row r="72" spans="1:14">
      <c r="A72" s="3459" t="s">
        <v>3461</v>
      </c>
      <c r="B72" s="3451">
        <f t="shared" si="1"/>
        <v>140.19999999999999</v>
      </c>
      <c r="C72" s="3459">
        <v>146.76</v>
      </c>
      <c r="D72" s="3459">
        <v>151.09</v>
      </c>
      <c r="E72" s="3459">
        <v>149.93</v>
      </c>
      <c r="F72" s="3459">
        <v>145.69</v>
      </c>
      <c r="G72" s="3459">
        <v>142.32</v>
      </c>
      <c r="H72" s="3459">
        <v>130.25</v>
      </c>
      <c r="I72" s="3459">
        <v>134.38</v>
      </c>
      <c r="J72" s="3459">
        <v>140.85</v>
      </c>
      <c r="K72" s="3459">
        <v>137.61000000000001</v>
      </c>
      <c r="L72" s="3459">
        <v>138.09</v>
      </c>
      <c r="M72" s="3459">
        <v>134.47999999999999</v>
      </c>
      <c r="N72" s="3459">
        <v>131.28</v>
      </c>
    </row>
    <row r="73" spans="1:14">
      <c r="A73" s="3459" t="s">
        <v>3462</v>
      </c>
      <c r="B73" s="3451" t="e">
        <f t="shared" si="1"/>
        <v>#DIV/0!</v>
      </c>
      <c r="C73" s="3459"/>
      <c r="D73" s="3459"/>
      <c r="E73" s="3459"/>
      <c r="F73" s="3459"/>
      <c r="G73" s="3459"/>
      <c r="H73" s="3459"/>
      <c r="I73" s="3459"/>
      <c r="J73" s="3459"/>
      <c r="K73" s="3459"/>
      <c r="L73" s="3459"/>
      <c r="M73" s="3459"/>
      <c r="N73" s="3459"/>
    </row>
    <row r="74" spans="1:14">
      <c r="A74" s="3459" t="s">
        <v>3463</v>
      </c>
      <c r="B74" s="3451" t="e">
        <f t="shared" si="1"/>
        <v>#DIV/0!</v>
      </c>
      <c r="C74" s="3459"/>
      <c r="D74" s="3459"/>
      <c r="E74" s="3459"/>
      <c r="F74" s="3459"/>
      <c r="G74" s="3459"/>
      <c r="H74" s="3459"/>
      <c r="I74" s="3459"/>
      <c r="J74" s="3459"/>
      <c r="K74" s="3459"/>
      <c r="L74" s="3459"/>
      <c r="M74" s="3459"/>
      <c r="N74" s="3459"/>
    </row>
    <row r="75" spans="1:14">
      <c r="A75" s="3459" t="s">
        <v>3464</v>
      </c>
      <c r="B75" s="3451">
        <f t="shared" si="1"/>
        <v>154.1</v>
      </c>
      <c r="C75" s="3459"/>
      <c r="D75" s="3459"/>
      <c r="E75" s="3459"/>
      <c r="F75" s="3459"/>
      <c r="G75" s="3459">
        <v>165.13</v>
      </c>
      <c r="H75" s="3459">
        <v>165.13</v>
      </c>
      <c r="I75" s="3459">
        <v>153.88</v>
      </c>
      <c r="J75" s="3459">
        <v>154.55000000000001</v>
      </c>
      <c r="K75" s="3459">
        <v>153.9</v>
      </c>
      <c r="L75" s="3459">
        <v>153.9</v>
      </c>
      <c r="M75" s="3459">
        <v>150.44</v>
      </c>
      <c r="N75" s="3459">
        <v>136.21</v>
      </c>
    </row>
    <row r="76" spans="1:14">
      <c r="A76" s="3459" t="s">
        <v>3465</v>
      </c>
      <c r="B76" s="3451">
        <f t="shared" si="1"/>
        <v>138.4</v>
      </c>
      <c r="C76" s="3459">
        <v>135.25</v>
      </c>
      <c r="D76" s="3459">
        <v>138.59</v>
      </c>
      <c r="E76" s="3459">
        <v>139.54</v>
      </c>
      <c r="F76" s="3459">
        <v>140.24</v>
      </c>
      <c r="G76" s="3459"/>
      <c r="H76" s="3459"/>
      <c r="I76" s="3459"/>
      <c r="J76" s="3459"/>
      <c r="K76" s="3459"/>
      <c r="L76" s="3459"/>
      <c r="M76" s="3459"/>
      <c r="N76" s="3459"/>
    </row>
    <row r="77" spans="1:14">
      <c r="A77" s="3459" t="s">
        <v>3466</v>
      </c>
      <c r="B77" s="3451">
        <f t="shared" si="1"/>
        <v>132.69999999999999</v>
      </c>
      <c r="C77" s="3459">
        <v>144.13999999999999</v>
      </c>
      <c r="D77" s="3459">
        <v>144.04</v>
      </c>
      <c r="E77" s="3459">
        <v>130.03</v>
      </c>
      <c r="F77" s="3459">
        <v>126.38</v>
      </c>
      <c r="G77" s="3459">
        <v>131.82</v>
      </c>
      <c r="H77" s="3459">
        <v>126.57</v>
      </c>
      <c r="I77" s="3459">
        <v>116.05</v>
      </c>
      <c r="J77" s="3459">
        <v>124.88</v>
      </c>
      <c r="K77" s="3459">
        <v>134.09</v>
      </c>
      <c r="L77" s="3459">
        <v>135.6</v>
      </c>
      <c r="M77" s="3459">
        <v>136.22999999999999</v>
      </c>
      <c r="N77" s="3459">
        <v>142.53</v>
      </c>
    </row>
    <row r="78" spans="1:14">
      <c r="A78" s="3459" t="s">
        <v>3467</v>
      </c>
      <c r="B78" s="3451">
        <f t="shared" si="1"/>
        <v>156</v>
      </c>
      <c r="C78" s="3459">
        <v>160.52000000000001</v>
      </c>
      <c r="D78" s="3459">
        <v>167.84</v>
      </c>
      <c r="E78" s="3459">
        <v>165.36</v>
      </c>
      <c r="F78" s="3459">
        <v>158.03</v>
      </c>
      <c r="G78" s="3459">
        <v>159.69</v>
      </c>
      <c r="H78" s="3459">
        <v>153.15</v>
      </c>
      <c r="I78" s="3459">
        <v>150.76</v>
      </c>
      <c r="J78" s="3459">
        <v>153.82</v>
      </c>
      <c r="K78" s="3459">
        <v>153.52000000000001</v>
      </c>
      <c r="L78" s="3459">
        <v>146.76</v>
      </c>
      <c r="M78" s="3459">
        <v>147.9</v>
      </c>
      <c r="N78" s="3459">
        <v>155.06</v>
      </c>
    </row>
    <row r="79" spans="1:14">
      <c r="A79" s="3459" t="s">
        <v>3468</v>
      </c>
      <c r="B79" s="3451">
        <f t="shared" si="1"/>
        <v>38.9</v>
      </c>
      <c r="C79" s="3459">
        <v>38.92</v>
      </c>
      <c r="D79" s="3459">
        <v>38.92</v>
      </c>
      <c r="E79" s="3459"/>
      <c r="F79" s="3459"/>
      <c r="G79" s="3459"/>
      <c r="H79" s="3459"/>
      <c r="I79" s="3459"/>
      <c r="J79" s="3459"/>
      <c r="K79" s="3459"/>
      <c r="L79" s="3459"/>
      <c r="M79" s="3459"/>
      <c r="N79" s="3459"/>
    </row>
    <row r="80" spans="1:14">
      <c r="A80" s="3459" t="s">
        <v>3469</v>
      </c>
      <c r="B80" s="3451">
        <f t="shared" si="1"/>
        <v>161.69999999999999</v>
      </c>
      <c r="C80" s="3459">
        <v>160.9</v>
      </c>
      <c r="D80" s="3459">
        <v>161.74</v>
      </c>
      <c r="E80" s="3459">
        <v>160.26</v>
      </c>
      <c r="F80" s="3459">
        <v>161.49</v>
      </c>
      <c r="G80" s="3459">
        <v>164.45</v>
      </c>
      <c r="H80" s="3459">
        <v>163.07</v>
      </c>
      <c r="I80" s="3459">
        <v>157.71</v>
      </c>
      <c r="J80" s="3459">
        <v>154.13</v>
      </c>
      <c r="K80" s="3459">
        <v>158.41999999999999</v>
      </c>
      <c r="L80" s="3459">
        <v>161.93</v>
      </c>
      <c r="M80" s="3459">
        <v>165.84</v>
      </c>
      <c r="N80" s="3459">
        <v>170.44</v>
      </c>
    </row>
    <row r="81" spans="1:14">
      <c r="A81" s="3459" t="s">
        <v>3470</v>
      </c>
      <c r="B81" s="3451">
        <f t="shared" si="1"/>
        <v>75.8</v>
      </c>
      <c r="C81" s="3459">
        <v>77.83</v>
      </c>
      <c r="D81" s="3459">
        <v>74.67</v>
      </c>
      <c r="E81" s="3459">
        <v>75</v>
      </c>
      <c r="F81" s="3459"/>
      <c r="G81" s="3459"/>
      <c r="H81" s="3459"/>
      <c r="I81" s="3459"/>
      <c r="J81" s="3459"/>
      <c r="K81" s="3459"/>
      <c r="L81" s="3459"/>
      <c r="M81" s="3459"/>
      <c r="N81" s="3459"/>
    </row>
    <row r="82" spans="1:14">
      <c r="A82" s="3459" t="s">
        <v>3471</v>
      </c>
      <c r="B82" s="3451" t="e">
        <f t="shared" si="1"/>
        <v>#DIV/0!</v>
      </c>
      <c r="C82" s="3459"/>
      <c r="D82" s="3459"/>
      <c r="E82" s="3459"/>
      <c r="F82" s="3459"/>
      <c r="G82" s="3459"/>
      <c r="H82" s="3459"/>
      <c r="I82" s="3459"/>
      <c r="J82" s="3459"/>
      <c r="K82" s="3459"/>
      <c r="L82" s="3459"/>
      <c r="M82" s="3459"/>
      <c r="N82" s="3459"/>
    </row>
    <row r="83" spans="1:14">
      <c r="A83" s="3459" t="s">
        <v>3472</v>
      </c>
      <c r="B83" s="3451">
        <f t="shared" si="1"/>
        <v>139.6</v>
      </c>
      <c r="C83" s="3459">
        <v>166.67</v>
      </c>
      <c r="D83" s="3459">
        <v>106.76</v>
      </c>
      <c r="E83" s="3459">
        <v>137.32</v>
      </c>
      <c r="F83" s="3459">
        <v>147.51</v>
      </c>
      <c r="G83" s="3459"/>
      <c r="H83" s="3459"/>
      <c r="I83" s="3459"/>
      <c r="J83" s="3459"/>
      <c r="K83" s="3459"/>
      <c r="L83" s="3459"/>
      <c r="M83" s="3459"/>
      <c r="N83" s="3459"/>
    </row>
    <row r="84" spans="1:14">
      <c r="A84" s="3459" t="s">
        <v>3473</v>
      </c>
      <c r="B84" s="3451">
        <f t="shared" si="1"/>
        <v>154.80000000000001</v>
      </c>
      <c r="C84" s="3459">
        <v>144.59</v>
      </c>
      <c r="D84" s="3459">
        <v>146.96</v>
      </c>
      <c r="E84" s="3459">
        <v>160.93</v>
      </c>
      <c r="F84" s="3459">
        <v>169.7</v>
      </c>
      <c r="G84" s="3459">
        <v>163.11000000000001</v>
      </c>
      <c r="H84" s="3459">
        <v>162.19999999999999</v>
      </c>
      <c r="I84" s="3459">
        <v>140.66999999999999</v>
      </c>
      <c r="J84" s="3459">
        <v>175.37</v>
      </c>
      <c r="K84" s="3459">
        <v>166.46</v>
      </c>
      <c r="L84" s="3459">
        <v>143.47</v>
      </c>
      <c r="M84" s="3459">
        <v>142.44999999999999</v>
      </c>
      <c r="N84" s="3459">
        <v>141.44</v>
      </c>
    </row>
    <row r="85" spans="1:14">
      <c r="A85" s="3459" t="s">
        <v>3474</v>
      </c>
      <c r="B85" s="3451">
        <f t="shared" si="1"/>
        <v>145.19999999999999</v>
      </c>
      <c r="C85" s="3459"/>
      <c r="D85" s="3459"/>
      <c r="E85" s="3459"/>
      <c r="F85" s="3459"/>
      <c r="G85" s="3459">
        <v>139.44</v>
      </c>
      <c r="H85" s="3459">
        <v>129.22</v>
      </c>
      <c r="I85" s="3459">
        <v>136.07</v>
      </c>
      <c r="J85" s="3459">
        <v>144.04</v>
      </c>
      <c r="K85" s="3459">
        <v>177.14</v>
      </c>
      <c r="L85" s="3459"/>
      <c r="M85" s="3459"/>
      <c r="N85" s="3459"/>
    </row>
    <row r="86" spans="1:14">
      <c r="A86" s="3459" t="s">
        <v>3475</v>
      </c>
      <c r="B86" s="3451" t="e">
        <f t="shared" si="1"/>
        <v>#DIV/0!</v>
      </c>
      <c r="C86" s="3459"/>
      <c r="D86" s="3459"/>
      <c r="E86" s="3459"/>
      <c r="F86" s="3459"/>
      <c r="G86" s="3459"/>
      <c r="H86" s="3459"/>
      <c r="I86" s="3459"/>
      <c r="J86" s="3459"/>
      <c r="K86" s="3459"/>
      <c r="L86" s="3459"/>
      <c r="M86" s="3459"/>
      <c r="N86" s="3459"/>
    </row>
    <row r="87" spans="1:14">
      <c r="A87" s="3459" t="s">
        <v>3476</v>
      </c>
      <c r="B87" s="3451">
        <f t="shared" si="1"/>
        <v>150.19999999999999</v>
      </c>
      <c r="C87" s="3459">
        <v>146.11000000000001</v>
      </c>
      <c r="D87" s="3459">
        <v>146.11000000000001</v>
      </c>
      <c r="E87" s="3459">
        <v>161.11000000000001</v>
      </c>
      <c r="F87" s="3459">
        <v>161.11000000000001</v>
      </c>
      <c r="G87" s="3459">
        <v>159.72</v>
      </c>
      <c r="H87" s="3459">
        <v>155.56</v>
      </c>
      <c r="I87" s="3459">
        <v>155.56</v>
      </c>
      <c r="J87" s="3459">
        <v>143.4</v>
      </c>
      <c r="K87" s="3459">
        <v>143.4</v>
      </c>
      <c r="L87" s="3459">
        <v>143.4</v>
      </c>
      <c r="M87" s="3459">
        <v>143.4</v>
      </c>
      <c r="N87" s="3459">
        <v>143.4</v>
      </c>
    </row>
    <row r="88" spans="1:14">
      <c r="A88" s="3459" t="s">
        <v>3477</v>
      </c>
      <c r="B88" s="3451">
        <f t="shared" si="1"/>
        <v>164</v>
      </c>
      <c r="C88" s="3459">
        <v>174.92</v>
      </c>
      <c r="D88" s="3459">
        <v>171.52</v>
      </c>
      <c r="E88" s="3459">
        <v>171.53</v>
      </c>
      <c r="F88" s="3459">
        <v>159.38999999999999</v>
      </c>
      <c r="G88" s="3459">
        <v>145.25</v>
      </c>
      <c r="H88" s="3459">
        <v>153.22999999999999</v>
      </c>
      <c r="I88" s="3459">
        <v>165.91</v>
      </c>
      <c r="J88" s="3459">
        <v>173.28</v>
      </c>
      <c r="K88" s="3459">
        <v>166.76</v>
      </c>
      <c r="L88" s="3459">
        <v>161.02000000000001</v>
      </c>
      <c r="M88" s="3459">
        <v>166.25</v>
      </c>
      <c r="N88" s="3459">
        <v>159.41</v>
      </c>
    </row>
    <row r="89" spans="1:14">
      <c r="A89" s="3459" t="s">
        <v>3478</v>
      </c>
      <c r="B89" s="3451">
        <f t="shared" si="1"/>
        <v>129.9</v>
      </c>
      <c r="C89" s="3459">
        <v>149.22</v>
      </c>
      <c r="D89" s="3459">
        <v>137.72</v>
      </c>
      <c r="E89" s="3459">
        <v>133.49</v>
      </c>
      <c r="F89" s="3459">
        <v>127.79</v>
      </c>
      <c r="G89" s="3459">
        <v>117.78</v>
      </c>
      <c r="H89" s="3459">
        <v>120.17</v>
      </c>
      <c r="I89" s="3459">
        <v>121.58</v>
      </c>
      <c r="J89" s="3459">
        <v>123.95</v>
      </c>
      <c r="K89" s="3459">
        <v>123.73</v>
      </c>
      <c r="L89" s="3459">
        <v>131.4</v>
      </c>
      <c r="M89" s="3459">
        <v>138.05000000000001</v>
      </c>
      <c r="N89" s="3459">
        <v>133.78</v>
      </c>
    </row>
    <row r="90" spans="1:14">
      <c r="A90" s="3459" t="s">
        <v>3479</v>
      </c>
      <c r="B90" s="3451">
        <f t="shared" si="1"/>
        <v>174.1</v>
      </c>
      <c r="C90" s="3459">
        <v>177.91</v>
      </c>
      <c r="D90" s="3459">
        <v>174.44</v>
      </c>
      <c r="E90" s="3459">
        <v>174.93</v>
      </c>
      <c r="F90" s="3459">
        <v>173.82</v>
      </c>
      <c r="G90" s="3459">
        <v>173.25</v>
      </c>
      <c r="H90" s="3459">
        <v>171.73</v>
      </c>
      <c r="I90" s="3459">
        <v>182.17</v>
      </c>
      <c r="J90" s="3459">
        <v>186.02</v>
      </c>
      <c r="K90" s="3459">
        <v>177.26</v>
      </c>
      <c r="L90" s="3459">
        <v>158.47999999999999</v>
      </c>
      <c r="M90" s="3459">
        <v>164.66</v>
      </c>
      <c r="N90" s="3459">
        <v>174.9</v>
      </c>
    </row>
    <row r="91" spans="1:14">
      <c r="A91" s="3459" t="s">
        <v>3480</v>
      </c>
      <c r="B91" s="3451">
        <f t="shared" si="1"/>
        <v>138.19999999999999</v>
      </c>
      <c r="C91" s="3459">
        <v>134.47</v>
      </c>
      <c r="D91" s="3459">
        <v>134.47</v>
      </c>
      <c r="E91" s="3459">
        <v>137.84</v>
      </c>
      <c r="F91" s="3459">
        <v>145.21</v>
      </c>
      <c r="G91" s="3459">
        <v>149.79</v>
      </c>
      <c r="H91" s="3459">
        <v>151.12</v>
      </c>
      <c r="I91" s="3459">
        <v>143.38</v>
      </c>
      <c r="J91" s="3459">
        <v>118.63</v>
      </c>
      <c r="K91" s="3459">
        <v>126.56</v>
      </c>
      <c r="L91" s="3459">
        <v>139.53</v>
      </c>
      <c r="M91" s="3459">
        <v>131.84</v>
      </c>
      <c r="N91" s="3459">
        <v>145.12</v>
      </c>
    </row>
    <row r="92" spans="1:14">
      <c r="A92" s="3459" t="s">
        <v>3481</v>
      </c>
      <c r="B92" s="3451">
        <f t="shared" si="1"/>
        <v>154.30000000000001</v>
      </c>
      <c r="C92" s="3459">
        <v>170.18</v>
      </c>
      <c r="D92" s="3459">
        <v>162.75</v>
      </c>
      <c r="E92" s="3459">
        <v>172.54</v>
      </c>
      <c r="F92" s="3459">
        <v>176.39</v>
      </c>
      <c r="G92" s="3459">
        <v>154.4</v>
      </c>
      <c r="H92" s="3459">
        <v>141.44</v>
      </c>
      <c r="I92" s="3459">
        <v>144.51</v>
      </c>
      <c r="J92" s="3459">
        <v>149.30000000000001</v>
      </c>
      <c r="K92" s="3459">
        <v>150.36000000000001</v>
      </c>
      <c r="L92" s="3459">
        <v>149.96</v>
      </c>
      <c r="M92" s="3459">
        <v>141.94</v>
      </c>
      <c r="N92" s="3459">
        <v>137.33000000000001</v>
      </c>
    </row>
    <row r="93" spans="1:14">
      <c r="A93" s="3459" t="s">
        <v>3482</v>
      </c>
      <c r="B93" s="3451">
        <f t="shared" si="1"/>
        <v>153.4</v>
      </c>
      <c r="C93" s="3459">
        <v>168.25</v>
      </c>
      <c r="D93" s="3459">
        <v>160.36000000000001</v>
      </c>
      <c r="E93" s="3459">
        <v>161.86000000000001</v>
      </c>
      <c r="F93" s="3459">
        <v>158.16999999999999</v>
      </c>
      <c r="G93" s="3459">
        <v>152.96</v>
      </c>
      <c r="H93" s="3459">
        <v>141.99</v>
      </c>
      <c r="I93" s="3459">
        <v>142.08000000000001</v>
      </c>
      <c r="J93" s="3459">
        <v>139.79</v>
      </c>
      <c r="K93" s="3459">
        <v>141.97</v>
      </c>
      <c r="L93" s="3459">
        <v>147.82</v>
      </c>
      <c r="M93" s="3459">
        <v>155.1</v>
      </c>
      <c r="N93" s="3459">
        <v>170.18</v>
      </c>
    </row>
    <row r="94" spans="1:14">
      <c r="A94" s="3459" t="s">
        <v>3545</v>
      </c>
      <c r="B94" s="3451">
        <f t="shared" si="1"/>
        <v>174.3</v>
      </c>
      <c r="C94" s="3459">
        <v>204.86</v>
      </c>
      <c r="D94" s="3459">
        <v>237.5</v>
      </c>
      <c r="E94" s="3459"/>
      <c r="F94" s="3459"/>
      <c r="G94" s="3459"/>
      <c r="H94" s="3459"/>
      <c r="I94" s="3459"/>
      <c r="J94" s="3459">
        <v>177.89</v>
      </c>
      <c r="K94" s="3459">
        <v>177.89</v>
      </c>
      <c r="L94" s="3459">
        <v>124.14</v>
      </c>
      <c r="M94" s="3459">
        <v>150.37</v>
      </c>
      <c r="N94" s="3459">
        <v>147.65</v>
      </c>
    </row>
    <row r="95" spans="1:14">
      <c r="A95" s="3459" t="s">
        <v>3484</v>
      </c>
      <c r="B95" s="3451">
        <f t="shared" si="1"/>
        <v>132.30000000000001</v>
      </c>
      <c r="C95" s="3459">
        <v>127.69</v>
      </c>
      <c r="D95" s="3459">
        <v>128.46</v>
      </c>
      <c r="E95" s="3459">
        <v>134.82</v>
      </c>
      <c r="F95" s="3459">
        <v>138.03</v>
      </c>
      <c r="G95" s="3459"/>
      <c r="H95" s="3459"/>
      <c r="I95" s="3459"/>
      <c r="J95" s="3459"/>
      <c r="K95" s="3459"/>
      <c r="L95" s="3459"/>
      <c r="M95" s="3459"/>
      <c r="N95" s="3459"/>
    </row>
    <row r="96" spans="1:14">
      <c r="A96" s="3459" t="s">
        <v>3485</v>
      </c>
      <c r="B96" s="3451">
        <f t="shared" si="1"/>
        <v>108.4</v>
      </c>
      <c r="C96" s="3459">
        <v>114.61</v>
      </c>
      <c r="D96" s="3459">
        <v>106</v>
      </c>
      <c r="E96" s="3459">
        <v>111.01</v>
      </c>
      <c r="F96" s="3459">
        <v>113.47</v>
      </c>
      <c r="G96" s="3459">
        <v>112.88</v>
      </c>
      <c r="H96" s="3459">
        <v>109.79</v>
      </c>
      <c r="I96" s="3459">
        <v>109.27</v>
      </c>
      <c r="J96" s="3459">
        <v>100.83</v>
      </c>
      <c r="K96" s="3459">
        <v>99.28</v>
      </c>
      <c r="L96" s="3459">
        <v>104.69</v>
      </c>
      <c r="M96" s="3459">
        <v>111.36</v>
      </c>
      <c r="N96" s="3459">
        <v>107.21</v>
      </c>
    </row>
    <row r="97" spans="1:14">
      <c r="A97" s="3459" t="s">
        <v>3486</v>
      </c>
      <c r="B97" s="3451">
        <f t="shared" si="1"/>
        <v>152.30000000000001</v>
      </c>
      <c r="C97" s="3459">
        <v>150.61000000000001</v>
      </c>
      <c r="D97" s="3459">
        <v>146.4</v>
      </c>
      <c r="E97" s="3459">
        <v>146.44999999999999</v>
      </c>
      <c r="F97" s="3459">
        <v>144.75</v>
      </c>
      <c r="G97" s="3459">
        <v>145.26</v>
      </c>
      <c r="H97" s="3459">
        <v>156.22</v>
      </c>
      <c r="I97" s="3459">
        <v>163.74</v>
      </c>
      <c r="J97" s="3459">
        <v>165.9</v>
      </c>
      <c r="K97" s="3459">
        <v>160.59</v>
      </c>
      <c r="L97" s="3459">
        <v>143.72999999999999</v>
      </c>
      <c r="M97" s="3459">
        <v>149.26</v>
      </c>
      <c r="N97" s="3459">
        <v>154.88</v>
      </c>
    </row>
    <row r="98" spans="1:14">
      <c r="A98" s="3459" t="s">
        <v>3487</v>
      </c>
      <c r="B98" s="3451">
        <f t="shared" si="1"/>
        <v>156</v>
      </c>
      <c r="C98" s="3459">
        <v>172.07</v>
      </c>
      <c r="D98" s="3459">
        <v>153.26</v>
      </c>
      <c r="E98" s="3459">
        <v>154.63</v>
      </c>
      <c r="F98" s="3459">
        <v>157.36000000000001</v>
      </c>
      <c r="G98" s="3459">
        <v>158.13999999999999</v>
      </c>
      <c r="H98" s="3459">
        <v>154.13999999999999</v>
      </c>
      <c r="I98" s="3459">
        <v>157.65</v>
      </c>
      <c r="J98" s="3459">
        <v>152.15</v>
      </c>
      <c r="K98" s="3459">
        <v>150.47</v>
      </c>
      <c r="L98" s="3459">
        <v>141.09</v>
      </c>
      <c r="M98" s="3459">
        <v>156.91999999999999</v>
      </c>
      <c r="N98" s="3459">
        <v>164.17</v>
      </c>
    </row>
    <row r="99" spans="1:14">
      <c r="A99" s="3459" t="s">
        <v>3488</v>
      </c>
      <c r="B99" s="3451" t="e">
        <f t="shared" si="1"/>
        <v>#DIV/0!</v>
      </c>
      <c r="C99" s="3459"/>
      <c r="D99" s="3459"/>
      <c r="E99" s="3459"/>
      <c r="F99" s="3459"/>
      <c r="G99" s="3459"/>
      <c r="H99" s="3459"/>
      <c r="I99" s="3459"/>
      <c r="J99" s="3459"/>
      <c r="K99" s="3459"/>
      <c r="L99" s="3459"/>
      <c r="M99" s="3459"/>
      <c r="N99" s="3459"/>
    </row>
    <row r="100" spans="1:14">
      <c r="A100" s="3459" t="s">
        <v>3489</v>
      </c>
      <c r="B100" s="3451">
        <f t="shared" si="1"/>
        <v>69.3</v>
      </c>
      <c r="C100" s="3459">
        <v>64.84</v>
      </c>
      <c r="D100" s="3459">
        <v>63.36</v>
      </c>
      <c r="E100" s="3459">
        <v>64.61</v>
      </c>
      <c r="F100" s="3459">
        <v>64.959999999999994</v>
      </c>
      <c r="G100" s="3459">
        <v>69.569999999999993</v>
      </c>
      <c r="H100" s="3459">
        <v>70.03</v>
      </c>
      <c r="I100" s="3459">
        <v>72.900000000000006</v>
      </c>
      <c r="J100" s="3459">
        <v>76.06</v>
      </c>
      <c r="K100" s="3459">
        <v>77.760000000000005</v>
      </c>
      <c r="L100" s="3459"/>
      <c r="M100" s="3459"/>
      <c r="N100" s="3459"/>
    </row>
    <row r="101" spans="1:14">
      <c r="A101" s="3459" t="s">
        <v>3490</v>
      </c>
      <c r="B101" s="3451">
        <f t="shared" si="1"/>
        <v>125.3</v>
      </c>
      <c r="C101" s="3459">
        <v>132.65</v>
      </c>
      <c r="D101" s="3459">
        <v>125.95</v>
      </c>
      <c r="E101" s="3459">
        <v>124.5</v>
      </c>
      <c r="F101" s="3459">
        <v>125.04</v>
      </c>
      <c r="G101" s="3459">
        <v>125.94</v>
      </c>
      <c r="H101" s="3459">
        <v>126.56</v>
      </c>
      <c r="I101" s="3459">
        <v>129.75</v>
      </c>
      <c r="J101" s="3459">
        <v>129.27000000000001</v>
      </c>
      <c r="K101" s="3459">
        <v>124.35</v>
      </c>
      <c r="L101" s="3459">
        <v>109.38</v>
      </c>
      <c r="M101" s="3459">
        <v>121.42</v>
      </c>
      <c r="N101" s="3459">
        <v>128.65</v>
      </c>
    </row>
    <row r="102" spans="1:14">
      <c r="A102" s="3459" t="s">
        <v>3491</v>
      </c>
      <c r="B102" s="3451">
        <f t="shared" si="1"/>
        <v>181.7</v>
      </c>
      <c r="C102" s="3459">
        <v>191.41</v>
      </c>
      <c r="D102" s="3459">
        <v>183.43</v>
      </c>
      <c r="E102" s="3459">
        <v>175.91</v>
      </c>
      <c r="F102" s="3459">
        <v>175.91</v>
      </c>
      <c r="G102" s="3459"/>
      <c r="H102" s="3459"/>
      <c r="I102" s="3459"/>
      <c r="J102" s="3459"/>
      <c r="K102" s="3459"/>
      <c r="L102" s="3459"/>
      <c r="M102" s="3459"/>
      <c r="N102" s="3459"/>
    </row>
    <row r="103" spans="1:14">
      <c r="A103" s="3459" t="s">
        <v>3492</v>
      </c>
      <c r="B103" s="3451">
        <f t="shared" si="1"/>
        <v>153.9</v>
      </c>
      <c r="C103" s="3459">
        <v>157.61000000000001</v>
      </c>
      <c r="D103" s="3459">
        <v>155.63999999999999</v>
      </c>
      <c r="E103" s="3459">
        <v>153.57</v>
      </c>
      <c r="F103" s="3459">
        <v>155.83000000000001</v>
      </c>
      <c r="G103" s="3459">
        <v>159.33000000000001</v>
      </c>
      <c r="H103" s="3459">
        <v>150.09</v>
      </c>
      <c r="I103" s="3459">
        <v>144.12</v>
      </c>
      <c r="J103" s="3459">
        <v>151.61000000000001</v>
      </c>
      <c r="K103" s="3459">
        <v>154.16</v>
      </c>
      <c r="L103" s="3459">
        <v>151.71</v>
      </c>
      <c r="M103" s="3459">
        <v>154.08000000000001</v>
      </c>
      <c r="N103" s="3459">
        <v>158.72999999999999</v>
      </c>
    </row>
    <row r="104" spans="1:14">
      <c r="A104" s="3459" t="s">
        <v>3493</v>
      </c>
      <c r="B104" s="3451">
        <f t="shared" si="1"/>
        <v>140.30000000000001</v>
      </c>
      <c r="C104" s="3459">
        <v>138.27000000000001</v>
      </c>
      <c r="D104" s="3459">
        <v>140.29</v>
      </c>
      <c r="E104" s="3459">
        <v>143.46</v>
      </c>
      <c r="F104" s="3459">
        <v>143.88999999999999</v>
      </c>
      <c r="G104" s="3459">
        <v>144.21</v>
      </c>
      <c r="H104" s="3459">
        <v>143.19999999999999</v>
      </c>
      <c r="I104" s="3459">
        <v>139.93</v>
      </c>
      <c r="J104" s="3459">
        <v>137.38</v>
      </c>
      <c r="K104" s="3459">
        <v>139.24</v>
      </c>
      <c r="L104" s="3459">
        <v>139.94999999999999</v>
      </c>
      <c r="M104" s="3459">
        <v>134.9</v>
      </c>
      <c r="N104" s="3459">
        <v>138.83000000000001</v>
      </c>
    </row>
    <row r="105" spans="1:14">
      <c r="A105" s="3459" t="s">
        <v>3494</v>
      </c>
      <c r="B105" s="3451">
        <f t="shared" si="1"/>
        <v>21.2</v>
      </c>
      <c r="C105" s="3459"/>
      <c r="D105" s="3459"/>
      <c r="E105" s="3459">
        <v>21.23</v>
      </c>
      <c r="F105" s="3459">
        <v>21.23</v>
      </c>
      <c r="G105" s="3459"/>
      <c r="H105" s="3459"/>
      <c r="I105" s="3459"/>
      <c r="J105" s="3459"/>
      <c r="K105" s="3459"/>
      <c r="L105" s="3459"/>
      <c r="M105" s="3459"/>
      <c r="N105" s="3459"/>
    </row>
    <row r="106" spans="1:14">
      <c r="A106" s="3459" t="s">
        <v>3546</v>
      </c>
      <c r="B106" s="3451">
        <f t="shared" si="1"/>
        <v>143</v>
      </c>
      <c r="C106" s="3459">
        <v>136.49</v>
      </c>
      <c r="D106" s="3459">
        <v>150.69999999999999</v>
      </c>
      <c r="E106" s="3459">
        <v>141.86000000000001</v>
      </c>
      <c r="F106" s="3459"/>
      <c r="G106" s="3459"/>
      <c r="H106" s="3459"/>
      <c r="I106" s="3459"/>
      <c r="J106" s="3459"/>
      <c r="K106" s="3459"/>
      <c r="L106" s="3459"/>
      <c r="M106" s="3459"/>
      <c r="N106" s="3459"/>
    </row>
    <row r="107" spans="1:14">
      <c r="A107" s="3459" t="s">
        <v>3496</v>
      </c>
      <c r="B107" s="3451">
        <f t="shared" si="1"/>
        <v>63.3</v>
      </c>
      <c r="C107" s="3459">
        <v>110</v>
      </c>
      <c r="D107" s="3459">
        <v>110</v>
      </c>
      <c r="E107" s="3459">
        <v>16.670000000000002</v>
      </c>
      <c r="F107" s="3459">
        <v>16.670000000000002</v>
      </c>
      <c r="G107" s="3459"/>
      <c r="H107" s="3459"/>
      <c r="I107" s="3459"/>
      <c r="J107" s="3459"/>
      <c r="K107" s="3459"/>
      <c r="L107" s="3459"/>
      <c r="M107" s="3459"/>
      <c r="N107" s="3459"/>
    </row>
    <row r="108" spans="1:14">
      <c r="A108" s="3459" t="s">
        <v>3497</v>
      </c>
      <c r="B108" s="3451">
        <f t="shared" si="1"/>
        <v>160.19999999999999</v>
      </c>
      <c r="C108" s="3459">
        <v>153.94999999999999</v>
      </c>
      <c r="D108" s="3459">
        <v>153.65</v>
      </c>
      <c r="E108" s="3459">
        <v>152.87</v>
      </c>
      <c r="F108" s="3459">
        <v>152.80000000000001</v>
      </c>
      <c r="G108" s="3459">
        <v>151.52000000000001</v>
      </c>
      <c r="H108" s="3459">
        <v>155.57</v>
      </c>
      <c r="I108" s="3459">
        <v>167.53</v>
      </c>
      <c r="J108" s="3459">
        <v>172.95</v>
      </c>
      <c r="K108" s="3459">
        <v>175.8</v>
      </c>
      <c r="L108" s="3459">
        <v>188.37</v>
      </c>
      <c r="M108" s="3459">
        <v>152.06</v>
      </c>
      <c r="N108" s="3459">
        <v>145.49</v>
      </c>
    </row>
    <row r="109" spans="1:14">
      <c r="A109" s="3459" t="s">
        <v>3498</v>
      </c>
      <c r="B109" s="3451">
        <f t="shared" si="1"/>
        <v>146.69999999999999</v>
      </c>
      <c r="C109" s="3459">
        <v>157.35</v>
      </c>
      <c r="D109" s="3459">
        <v>152.33000000000001</v>
      </c>
      <c r="E109" s="3459">
        <v>155.80000000000001</v>
      </c>
      <c r="F109" s="3459">
        <v>154.80000000000001</v>
      </c>
      <c r="G109" s="3459">
        <v>139.49</v>
      </c>
      <c r="H109" s="3459">
        <v>133.66</v>
      </c>
      <c r="I109" s="3459">
        <v>126.53</v>
      </c>
      <c r="J109" s="3459">
        <v>135.29</v>
      </c>
      <c r="K109" s="3459">
        <v>144.51</v>
      </c>
      <c r="L109" s="3459">
        <v>163.01</v>
      </c>
      <c r="M109" s="3459">
        <v>154.36000000000001</v>
      </c>
      <c r="N109" s="3459">
        <v>143.4</v>
      </c>
    </row>
    <row r="110" spans="1:14">
      <c r="A110" s="3459" t="s">
        <v>3499</v>
      </c>
      <c r="B110" s="3451">
        <f t="shared" si="1"/>
        <v>148.1</v>
      </c>
      <c r="C110" s="3459">
        <v>154.4</v>
      </c>
      <c r="D110" s="3459">
        <v>151.15</v>
      </c>
      <c r="E110" s="3459">
        <v>135.47999999999999</v>
      </c>
      <c r="F110" s="3459"/>
      <c r="G110" s="3459"/>
      <c r="H110" s="3459"/>
      <c r="I110" s="3459"/>
      <c r="J110" s="3459"/>
      <c r="K110" s="3459">
        <v>146</v>
      </c>
      <c r="L110" s="3459">
        <v>146</v>
      </c>
      <c r="M110" s="3459"/>
      <c r="N110" s="3459">
        <v>155.6</v>
      </c>
    </row>
    <row r="111" spans="1:14">
      <c r="A111" s="3459" t="s">
        <v>3500</v>
      </c>
      <c r="B111" s="3451">
        <f t="shared" si="1"/>
        <v>162.4</v>
      </c>
      <c r="C111" s="3459">
        <v>163.58000000000001</v>
      </c>
      <c r="D111" s="3459">
        <v>163.58000000000001</v>
      </c>
      <c r="E111" s="3459">
        <v>163.58000000000001</v>
      </c>
      <c r="F111" s="3459">
        <v>173.52</v>
      </c>
      <c r="G111" s="3459">
        <v>173.52</v>
      </c>
      <c r="H111" s="3459">
        <v>156.13</v>
      </c>
      <c r="I111" s="3459">
        <v>156.13</v>
      </c>
      <c r="J111" s="3459">
        <v>160.77000000000001</v>
      </c>
      <c r="K111" s="3459">
        <v>161.26</v>
      </c>
      <c r="L111" s="3459">
        <v>160.66999999999999</v>
      </c>
      <c r="M111" s="3459">
        <v>158.97</v>
      </c>
      <c r="N111" s="3459">
        <v>157.05000000000001</v>
      </c>
    </row>
    <row r="112" spans="1:14">
      <c r="A112" s="3459" t="s">
        <v>3501</v>
      </c>
      <c r="B112" s="3451">
        <f t="shared" si="1"/>
        <v>140.80000000000001</v>
      </c>
      <c r="C112" s="3459">
        <v>161.16999999999999</v>
      </c>
      <c r="D112" s="3459">
        <v>158.04</v>
      </c>
      <c r="E112" s="3459">
        <v>149.69</v>
      </c>
      <c r="F112" s="3459">
        <v>134.79</v>
      </c>
      <c r="G112" s="3459">
        <v>131.55000000000001</v>
      </c>
      <c r="H112" s="3459">
        <v>127.09</v>
      </c>
      <c r="I112" s="3459">
        <v>131.36000000000001</v>
      </c>
      <c r="J112" s="3459">
        <v>133</v>
      </c>
      <c r="K112" s="3459">
        <v>137.32</v>
      </c>
      <c r="L112" s="3459">
        <v>138.38999999999999</v>
      </c>
      <c r="M112" s="3459">
        <v>142.16</v>
      </c>
      <c r="N112" s="3459">
        <v>145.54</v>
      </c>
    </row>
    <row r="113" spans="1:14">
      <c r="A113" s="3459" t="s">
        <v>3502</v>
      </c>
      <c r="B113" s="3451">
        <f t="shared" si="1"/>
        <v>151.69999999999999</v>
      </c>
      <c r="C113" s="3459">
        <v>147.47999999999999</v>
      </c>
      <c r="D113" s="3459">
        <v>143.37</v>
      </c>
      <c r="E113" s="3459">
        <v>147.94999999999999</v>
      </c>
      <c r="F113" s="3459">
        <v>156.27000000000001</v>
      </c>
      <c r="G113" s="3459">
        <v>159.71</v>
      </c>
      <c r="H113" s="3459">
        <v>139.62</v>
      </c>
      <c r="I113" s="3459">
        <v>139.93</v>
      </c>
      <c r="J113" s="3459">
        <v>152.22999999999999</v>
      </c>
      <c r="K113" s="3459">
        <v>155.81</v>
      </c>
      <c r="L113" s="3459">
        <v>151.05000000000001</v>
      </c>
      <c r="M113" s="3459">
        <v>156.15</v>
      </c>
      <c r="N113" s="3459">
        <v>171.09</v>
      </c>
    </row>
    <row r="114" spans="1:14">
      <c r="A114" s="3459" t="s">
        <v>3503</v>
      </c>
      <c r="B114" s="3451">
        <f t="shared" si="1"/>
        <v>158.69999999999999</v>
      </c>
      <c r="C114" s="3459">
        <v>170.97</v>
      </c>
      <c r="D114" s="3459">
        <v>157.69</v>
      </c>
      <c r="E114" s="3459">
        <v>170.41</v>
      </c>
      <c r="F114" s="3459">
        <v>166.75</v>
      </c>
      <c r="G114" s="3459">
        <v>152.41</v>
      </c>
      <c r="H114" s="3459">
        <v>157.38999999999999</v>
      </c>
      <c r="I114" s="3459">
        <v>150.68</v>
      </c>
      <c r="J114" s="3459">
        <v>150.93</v>
      </c>
      <c r="K114" s="3459">
        <v>153.30000000000001</v>
      </c>
      <c r="L114" s="3459">
        <v>151.02000000000001</v>
      </c>
      <c r="M114" s="3459">
        <v>159.61000000000001</v>
      </c>
      <c r="N114" s="3459">
        <v>162.69999999999999</v>
      </c>
    </row>
    <row r="115" spans="1:14">
      <c r="A115" s="3459" t="s">
        <v>3504</v>
      </c>
      <c r="B115" s="3451">
        <f t="shared" si="1"/>
        <v>141</v>
      </c>
      <c r="C115" s="3459">
        <v>149.19</v>
      </c>
      <c r="D115" s="3459">
        <v>152.53</v>
      </c>
      <c r="E115" s="3459">
        <v>146.21</v>
      </c>
      <c r="F115" s="3459">
        <v>145.47</v>
      </c>
      <c r="G115" s="3459">
        <v>145.84</v>
      </c>
      <c r="H115" s="3459">
        <v>142.76</v>
      </c>
      <c r="I115" s="3459">
        <v>134.02000000000001</v>
      </c>
      <c r="J115" s="3459">
        <v>135.16</v>
      </c>
      <c r="K115" s="3459">
        <v>137.11000000000001</v>
      </c>
      <c r="L115" s="3459">
        <v>130.44999999999999</v>
      </c>
      <c r="M115" s="3459">
        <v>136.25</v>
      </c>
      <c r="N115" s="3459">
        <v>137.47999999999999</v>
      </c>
    </row>
    <row r="116" spans="1:14">
      <c r="A116" s="3459" t="s">
        <v>3505</v>
      </c>
      <c r="B116" s="3451">
        <f t="shared" si="1"/>
        <v>76.3</v>
      </c>
      <c r="C116" s="3459">
        <v>76.91</v>
      </c>
      <c r="D116" s="3459">
        <v>86.38</v>
      </c>
      <c r="E116" s="3459">
        <v>76.14</v>
      </c>
      <c r="F116" s="3459">
        <v>72.989999999999995</v>
      </c>
      <c r="G116" s="3459">
        <v>92.83</v>
      </c>
      <c r="H116" s="3459">
        <v>52.33</v>
      </c>
      <c r="I116" s="3459"/>
      <c r="J116" s="3459"/>
      <c r="K116" s="3459"/>
      <c r="L116" s="3459"/>
      <c r="M116" s="3459"/>
      <c r="N116" s="3459"/>
    </row>
    <row r="117" spans="1:14">
      <c r="A117" s="3459" t="s">
        <v>3506</v>
      </c>
      <c r="B117" s="3451">
        <f t="shared" si="1"/>
        <v>142.1</v>
      </c>
      <c r="C117" s="3459">
        <v>163.71</v>
      </c>
      <c r="D117" s="3459">
        <v>159.49</v>
      </c>
      <c r="E117" s="3459">
        <v>142.02000000000001</v>
      </c>
      <c r="F117" s="3459">
        <v>141.09</v>
      </c>
      <c r="G117" s="3459">
        <v>143.58000000000001</v>
      </c>
      <c r="H117" s="3459">
        <v>127.42</v>
      </c>
      <c r="I117" s="3459">
        <v>129.69999999999999</v>
      </c>
      <c r="J117" s="3459">
        <v>135.93</v>
      </c>
      <c r="K117" s="3459">
        <v>145.51</v>
      </c>
      <c r="L117" s="3459">
        <v>145.66999999999999</v>
      </c>
      <c r="M117" s="3459">
        <v>140.91</v>
      </c>
      <c r="N117" s="3459">
        <v>130.29</v>
      </c>
    </row>
    <row r="118" spans="1:14">
      <c r="A118" s="3459" t="s">
        <v>3507</v>
      </c>
      <c r="B118" s="3451">
        <f t="shared" si="1"/>
        <v>133.9</v>
      </c>
      <c r="C118" s="3459">
        <v>128.75</v>
      </c>
      <c r="D118" s="3459">
        <v>132.63999999999999</v>
      </c>
      <c r="E118" s="3459">
        <v>139.15</v>
      </c>
      <c r="F118" s="3459">
        <v>137.69</v>
      </c>
      <c r="G118" s="3459">
        <v>128.41999999999999</v>
      </c>
      <c r="H118" s="3459">
        <v>127.01</v>
      </c>
      <c r="I118" s="3459">
        <v>131.46</v>
      </c>
      <c r="J118" s="3459">
        <v>131.74</v>
      </c>
      <c r="K118" s="3459">
        <v>136.59</v>
      </c>
      <c r="L118" s="3459">
        <v>138.57</v>
      </c>
      <c r="M118" s="3459">
        <v>136.47</v>
      </c>
      <c r="N118" s="3459">
        <v>138.22</v>
      </c>
    </row>
    <row r="119" spans="1:14">
      <c r="A119" s="3459" t="s">
        <v>3508</v>
      </c>
      <c r="B119" s="3451">
        <f t="shared" si="1"/>
        <v>132.1</v>
      </c>
      <c r="C119" s="3459"/>
      <c r="D119" s="3459">
        <v>132.05000000000001</v>
      </c>
      <c r="E119" s="3459">
        <v>132.05000000000001</v>
      </c>
      <c r="F119" s="3459"/>
      <c r="G119" s="3459"/>
      <c r="H119" s="3459"/>
      <c r="I119" s="3459"/>
      <c r="J119" s="3459"/>
      <c r="K119" s="3459"/>
      <c r="L119" s="3459"/>
      <c r="M119" s="3459"/>
      <c r="N119" s="3459"/>
    </row>
    <row r="120" spans="1:14">
      <c r="A120" s="3459" t="s">
        <v>3547</v>
      </c>
      <c r="B120" s="3451">
        <f t="shared" si="1"/>
        <v>133.4</v>
      </c>
      <c r="C120" s="3459">
        <v>124.42</v>
      </c>
      <c r="D120" s="3459">
        <v>126.48</v>
      </c>
      <c r="E120" s="3459">
        <v>131.55000000000001</v>
      </c>
      <c r="F120" s="3459">
        <v>138.96</v>
      </c>
      <c r="G120" s="3459">
        <v>143.57</v>
      </c>
      <c r="H120" s="3459">
        <v>145.80000000000001</v>
      </c>
      <c r="I120" s="3459">
        <v>127.2</v>
      </c>
      <c r="J120" s="3459">
        <v>124.51</v>
      </c>
      <c r="K120" s="3459">
        <v>131.85</v>
      </c>
      <c r="L120" s="3459">
        <v>128.05000000000001</v>
      </c>
      <c r="M120" s="3459">
        <v>141.26</v>
      </c>
      <c r="N120" s="3459">
        <v>136.80000000000001</v>
      </c>
    </row>
    <row r="121" spans="1:14">
      <c r="A121" s="3459" t="s">
        <v>3511</v>
      </c>
      <c r="B121" s="3451">
        <f t="shared" si="1"/>
        <v>146.1</v>
      </c>
      <c r="C121" s="3459">
        <v>142.53</v>
      </c>
      <c r="D121" s="3459">
        <v>148.58000000000001</v>
      </c>
      <c r="E121" s="3459">
        <v>147.22</v>
      </c>
      <c r="F121" s="3459"/>
      <c r="G121" s="3459"/>
      <c r="H121" s="3459"/>
      <c r="I121" s="3459"/>
      <c r="J121" s="3459"/>
      <c r="K121" s="3459"/>
      <c r="L121" s="3459"/>
      <c r="M121" s="3459"/>
      <c r="N121" s="3459"/>
    </row>
    <row r="122" spans="1:14">
      <c r="A122" s="3459" t="s">
        <v>3512</v>
      </c>
      <c r="B122" s="3451">
        <f t="shared" si="1"/>
        <v>71.2</v>
      </c>
      <c r="C122" s="3459">
        <v>82.71</v>
      </c>
      <c r="D122" s="3459">
        <v>62.56</v>
      </c>
      <c r="E122" s="3459">
        <v>67.2</v>
      </c>
      <c r="F122" s="3459">
        <v>72.48</v>
      </c>
      <c r="G122" s="3459"/>
      <c r="H122" s="3459"/>
      <c r="I122" s="3459"/>
      <c r="J122" s="3459"/>
      <c r="K122" s="3459"/>
      <c r="L122" s="3459"/>
      <c r="M122" s="3459"/>
      <c r="N122" s="3459"/>
    </row>
  </sheetData>
  <mergeCells count="1">
    <mergeCell ref="A1:A2"/>
  </mergeCells>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2022年7月1日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4" zoomScale="70" zoomScaleNormal="60" zoomScaleSheetLayoutView="70" workbookViewId="0">
      <selection activeCell="E48" sqref="E4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103</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3462"/>
      <c r="Y4" s="3690" t="s">
        <v>1672</v>
      </c>
      <c r="Z4" s="3691"/>
      <c r="AA4" s="3685" t="s">
        <v>1668</v>
      </c>
      <c r="AB4" s="3685" t="s">
        <v>1669</v>
      </c>
      <c r="AC4" s="3685" t="s">
        <v>1670</v>
      </c>
    </row>
    <row r="5" spans="1:29">
      <c r="A5" s="358"/>
      <c r="B5" s="359"/>
      <c r="C5" s="3696" t="s">
        <v>1673</v>
      </c>
      <c r="D5" s="3697"/>
      <c r="E5" s="3694" t="str">
        <f>'2023-2024'!A20</f>
        <v>中央社会主义学院宿舍</v>
      </c>
      <c r="F5" s="3695"/>
      <c r="G5" s="3696" t="str">
        <f>'2023-2024'!A24</f>
        <v>航天五院小区</v>
      </c>
      <c r="H5" s="3697"/>
      <c r="I5" s="3696" t="str">
        <f>'2023-2024'!A28</f>
        <v>鑫德嘉园</v>
      </c>
      <c r="J5" s="3697"/>
      <c r="K5" s="1890"/>
      <c r="L5" s="2715"/>
      <c r="M5" s="2716"/>
      <c r="N5" s="2716"/>
      <c r="O5" s="2716"/>
      <c r="P5" s="3709"/>
      <c r="Q5" s="3710"/>
      <c r="R5" s="3692"/>
      <c r="S5" s="3693"/>
      <c r="T5" s="3692"/>
      <c r="U5" s="3693"/>
      <c r="V5" s="3715"/>
      <c r="W5" s="3715"/>
      <c r="X5" s="3462"/>
      <c r="Y5" s="3692"/>
      <c r="Z5" s="3693"/>
      <c r="AA5" s="3686"/>
      <c r="AB5" s="3686"/>
      <c r="AC5" s="3686"/>
    </row>
    <row r="6" spans="1:29" ht="15" thickBot="1">
      <c r="A6" s="360"/>
      <c r="B6" s="361"/>
      <c r="C6" s="3698" t="s">
        <v>1677</v>
      </c>
      <c r="D6" s="3699"/>
      <c r="E6" s="3700" t="s">
        <v>3538</v>
      </c>
      <c r="F6" s="3701"/>
      <c r="G6" s="3698" t="s">
        <v>1677</v>
      </c>
      <c r="H6" s="3699"/>
      <c r="I6" s="3698" t="s">
        <v>1677</v>
      </c>
      <c r="J6" s="3699"/>
      <c r="K6" s="1890" t="s">
        <v>1678</v>
      </c>
      <c r="L6" s="2715"/>
      <c r="M6" s="2716"/>
      <c r="N6" s="2716"/>
      <c r="O6" s="2716"/>
      <c r="P6" s="3711"/>
      <c r="Q6" s="3712"/>
      <c r="R6" s="3692"/>
      <c r="S6" s="3693"/>
      <c r="T6" s="3713"/>
      <c r="U6" s="3714"/>
      <c r="V6" s="3715"/>
      <c r="W6" s="3715"/>
      <c r="X6" s="3462"/>
      <c r="Y6" s="3713"/>
      <c r="Z6" s="3714"/>
      <c r="AA6" s="3687"/>
      <c r="AB6" s="3687"/>
      <c r="AC6" s="3687"/>
    </row>
    <row r="7" spans="1:29" s="108" customFormat="1" ht="15" thickBot="1">
      <c r="A7" s="362" t="s">
        <v>1679</v>
      </c>
      <c r="B7" s="363"/>
      <c r="C7" s="364">
        <v>45474</v>
      </c>
      <c r="D7" s="365">
        <v>100</v>
      </c>
      <c r="E7" s="366">
        <f>C7</f>
        <v>45474</v>
      </c>
      <c r="F7" s="367">
        <f>SUMIF(58:58,YEAR(E7)&amp;"-"&amp;MONTH(E7),59:59)</f>
        <v>100</v>
      </c>
      <c r="G7" s="366">
        <f>C7</f>
        <v>45474</v>
      </c>
      <c r="H7" s="365">
        <f>SUMIF(58:58,YEAR(G7)&amp;"-"&amp;MONTH(G7),59:59)</f>
        <v>100</v>
      </c>
      <c r="I7" s="366">
        <f>C7</f>
        <v>45474</v>
      </c>
      <c r="J7" s="365">
        <f>SUMIF(58:58,YEAR(I7)&amp;"-"&amp;MONTH(I7),59:59)</f>
        <v>100</v>
      </c>
      <c r="K7" s="1891"/>
      <c r="L7" s="2717"/>
      <c r="M7" s="2718"/>
      <c r="N7" s="2718"/>
      <c r="O7" s="2718"/>
      <c r="P7" s="3688" t="s">
        <v>1680</v>
      </c>
      <c r="Q7" s="3716"/>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3461" t="str">
        <f t="shared" ref="Q9:Q15" si="6">B9</f>
        <v>用途</v>
      </c>
      <c r="R9" s="701" t="s">
        <v>14</v>
      </c>
      <c r="S9" s="702">
        <f t="shared" si="0"/>
        <v>100</v>
      </c>
      <c r="T9" s="701" t="s">
        <v>14</v>
      </c>
      <c r="U9" s="702">
        <f t="shared" si="1"/>
        <v>100</v>
      </c>
      <c r="V9" s="701" t="s">
        <v>14</v>
      </c>
      <c r="W9" s="702">
        <f t="shared" si="2"/>
        <v>100</v>
      </c>
      <c r="X9" s="703"/>
      <c r="Y9" s="3632" t="s">
        <v>1687</v>
      </c>
      <c r="Z9" s="3460"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3461" t="str">
        <f t="shared" si="6"/>
        <v>土地使用年限（年）</v>
      </c>
      <c r="R10" s="701" t="s">
        <v>14</v>
      </c>
      <c r="S10" s="702">
        <f t="shared" si="0"/>
        <v>100</v>
      </c>
      <c r="T10" s="701" t="s">
        <v>14</v>
      </c>
      <c r="U10" s="702">
        <f t="shared" si="1"/>
        <v>100</v>
      </c>
      <c r="V10" s="701" t="s">
        <v>14</v>
      </c>
      <c r="W10" s="702">
        <f t="shared" si="2"/>
        <v>100</v>
      </c>
      <c r="X10" s="703"/>
      <c r="Y10" s="3632"/>
      <c r="Z10" s="3460"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3461" t="str">
        <f t="shared" si="6"/>
        <v>容积率</v>
      </c>
      <c r="R11" s="701" t="s">
        <v>14</v>
      </c>
      <c r="S11" s="702">
        <f t="shared" si="0"/>
        <v>100</v>
      </c>
      <c r="T11" s="701" t="s">
        <v>14</v>
      </c>
      <c r="U11" s="702">
        <f t="shared" si="1"/>
        <v>100</v>
      </c>
      <c r="V11" s="701" t="s">
        <v>14</v>
      </c>
      <c r="W11" s="702">
        <f t="shared" si="2"/>
        <v>100</v>
      </c>
      <c r="X11" s="703"/>
      <c r="Y11" s="3632"/>
      <c r="Z11" s="3460"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3461">
        <f t="shared" si="6"/>
        <v>111</v>
      </c>
      <c r="R12" s="701" t="s">
        <v>14</v>
      </c>
      <c r="S12" s="702">
        <f t="shared" si="0"/>
        <v>100</v>
      </c>
      <c r="T12" s="701" t="s">
        <v>14</v>
      </c>
      <c r="U12" s="702">
        <f t="shared" si="1"/>
        <v>100</v>
      </c>
      <c r="V12" s="701" t="s">
        <v>14</v>
      </c>
      <c r="W12" s="702">
        <f t="shared" si="2"/>
        <v>100</v>
      </c>
      <c r="X12" s="703"/>
      <c r="Y12" s="3632"/>
      <c r="Z12" s="346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3461">
        <f t="shared" si="6"/>
        <v>111</v>
      </c>
      <c r="R13" s="701" t="s">
        <v>14</v>
      </c>
      <c r="S13" s="702">
        <f t="shared" si="0"/>
        <v>100</v>
      </c>
      <c r="T13" s="701" t="s">
        <v>14</v>
      </c>
      <c r="U13" s="702">
        <f t="shared" si="1"/>
        <v>100</v>
      </c>
      <c r="V13" s="701" t="s">
        <v>14</v>
      </c>
      <c r="W13" s="702">
        <f t="shared" si="2"/>
        <v>100</v>
      </c>
      <c r="X13" s="703"/>
      <c r="Y13" s="3632"/>
      <c r="Z13" s="3460">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3461">
        <f t="shared" si="6"/>
        <v>111</v>
      </c>
      <c r="R14" s="701" t="s">
        <v>14</v>
      </c>
      <c r="S14" s="702">
        <f t="shared" si="0"/>
        <v>100</v>
      </c>
      <c r="T14" s="701" t="s">
        <v>14</v>
      </c>
      <c r="U14" s="702">
        <f t="shared" si="1"/>
        <v>100</v>
      </c>
      <c r="V14" s="701" t="s">
        <v>14</v>
      </c>
      <c r="W14" s="702">
        <f t="shared" si="2"/>
        <v>100</v>
      </c>
      <c r="X14" s="703"/>
      <c r="Y14" s="3632"/>
      <c r="Z14" s="3460">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3464" t="str">
        <f t="shared" si="6"/>
        <v>居住社区成熟度</v>
      </c>
      <c r="R15" s="705" t="s">
        <v>14</v>
      </c>
      <c r="S15" s="706">
        <f t="shared" si="0"/>
        <v>100</v>
      </c>
      <c r="T15" s="705" t="s">
        <v>14</v>
      </c>
      <c r="U15" s="706">
        <f t="shared" si="1"/>
        <v>100</v>
      </c>
      <c r="V15" s="705" t="s">
        <v>14</v>
      </c>
      <c r="W15" s="706">
        <f t="shared" si="2"/>
        <v>100</v>
      </c>
      <c r="X15" s="3462"/>
      <c r="Y15" s="3722" t="s">
        <v>1691</v>
      </c>
      <c r="Z15" s="3463" t="str">
        <f t="shared" si="7"/>
        <v>居住社区成熟度</v>
      </c>
      <c r="AA15" s="3465">
        <f t="shared" si="3"/>
        <v>1</v>
      </c>
      <c r="AB15" s="3465">
        <f t="shared" si="4"/>
        <v>1</v>
      </c>
      <c r="AC15" s="346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3464"/>
      <c r="R16" s="705"/>
      <c r="S16" s="706"/>
      <c r="T16" s="705"/>
      <c r="U16" s="706"/>
      <c r="V16" s="705"/>
      <c r="W16" s="706"/>
      <c r="X16" s="3462"/>
      <c r="Y16" s="3723"/>
      <c r="Z16" s="3463"/>
      <c r="AA16" s="3465">
        <v>1</v>
      </c>
      <c r="AB16" s="3465">
        <v>1</v>
      </c>
      <c r="AC16" s="346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2"/>
      <c r="M17" s="2716"/>
      <c r="N17" s="2716"/>
      <c r="O17" s="2716"/>
      <c r="P17" s="3730"/>
      <c r="Q17" s="3464" t="str">
        <f>B17</f>
        <v>交通便捷度</v>
      </c>
      <c r="R17" s="705" t="s">
        <v>14</v>
      </c>
      <c r="S17" s="706">
        <f>F17</f>
        <v>100</v>
      </c>
      <c r="T17" s="705" t="s">
        <v>14</v>
      </c>
      <c r="U17" s="706">
        <f>H17</f>
        <v>100</v>
      </c>
      <c r="V17" s="705" t="s">
        <v>14</v>
      </c>
      <c r="W17" s="706">
        <f>J17</f>
        <v>100</v>
      </c>
      <c r="X17" s="3462"/>
      <c r="Y17" s="3723"/>
      <c r="Z17" s="3463" t="str">
        <f>Q17</f>
        <v>交通便捷度</v>
      </c>
      <c r="AA17" s="3465">
        <f t="shared" si="3"/>
        <v>1</v>
      </c>
      <c r="AB17" s="3465">
        <f t="shared" si="4"/>
        <v>1</v>
      </c>
      <c r="AC17" s="3465">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730"/>
      <c r="Q18" s="3464"/>
      <c r="R18" s="705"/>
      <c r="S18" s="706"/>
      <c r="T18" s="705"/>
      <c r="U18" s="706"/>
      <c r="V18" s="705"/>
      <c r="W18" s="706"/>
      <c r="X18" s="3462"/>
      <c r="Y18" s="3723"/>
      <c r="Z18" s="3463"/>
      <c r="AA18" s="3465">
        <v>1</v>
      </c>
      <c r="AB18" s="3465">
        <v>1</v>
      </c>
      <c r="AC18" s="346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3464" t="str">
        <f>B19</f>
        <v>公共配套设施</v>
      </c>
      <c r="R19" s="705" t="s">
        <v>14</v>
      </c>
      <c r="S19" s="706">
        <f>F19</f>
        <v>100</v>
      </c>
      <c r="T19" s="705" t="s">
        <v>14</v>
      </c>
      <c r="U19" s="706">
        <f>H19</f>
        <v>100</v>
      </c>
      <c r="V19" s="705" t="s">
        <v>14</v>
      </c>
      <c r="W19" s="706">
        <f>J19</f>
        <v>100</v>
      </c>
      <c r="X19" s="3462"/>
      <c r="Y19" s="3723"/>
      <c r="Z19" s="3463" t="str">
        <f>Q19</f>
        <v>公共配套设施</v>
      </c>
      <c r="AA19" s="3465">
        <f t="shared" si="3"/>
        <v>1</v>
      </c>
      <c r="AB19" s="3465">
        <f t="shared" si="4"/>
        <v>1</v>
      </c>
      <c r="AC19" s="346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3464"/>
      <c r="R20" s="705"/>
      <c r="S20" s="706"/>
      <c r="T20" s="705"/>
      <c r="U20" s="706"/>
      <c r="V20" s="705"/>
      <c r="W20" s="706"/>
      <c r="X20" s="3462"/>
      <c r="Y20" s="3723"/>
      <c r="Z20" s="3463"/>
      <c r="AA20" s="3465">
        <v>1</v>
      </c>
      <c r="AB20" s="3465">
        <v>1</v>
      </c>
      <c r="AC20" s="346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3464" t="str">
        <f>B21</f>
        <v>基础设施水平</v>
      </c>
      <c r="R21" s="705" t="s">
        <v>14</v>
      </c>
      <c r="S21" s="706">
        <f>F21</f>
        <v>100</v>
      </c>
      <c r="T21" s="705" t="s">
        <v>14</v>
      </c>
      <c r="U21" s="706">
        <f>H21</f>
        <v>100</v>
      </c>
      <c r="V21" s="705" t="s">
        <v>14</v>
      </c>
      <c r="W21" s="706">
        <f>J21</f>
        <v>100</v>
      </c>
      <c r="X21" s="3462"/>
      <c r="Y21" s="3723"/>
      <c r="Z21" s="3463" t="str">
        <f>Q21</f>
        <v>基础设施水平</v>
      </c>
      <c r="AA21" s="3465">
        <f t="shared" ref="AA21" si="8">D21/F21</f>
        <v>1</v>
      </c>
      <c r="AB21" s="3465">
        <f t="shared" ref="AB21" si="9">D21/H21</f>
        <v>1</v>
      </c>
      <c r="AC21" s="346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3464"/>
      <c r="R22" s="705"/>
      <c r="S22" s="706"/>
      <c r="T22" s="705"/>
      <c r="U22" s="706"/>
      <c r="V22" s="705"/>
      <c r="W22" s="706"/>
      <c r="X22" s="3462"/>
      <c r="Y22" s="3723"/>
      <c r="Z22" s="3463"/>
      <c r="AA22" s="3465">
        <v>1</v>
      </c>
      <c r="AB22" s="3465">
        <v>1</v>
      </c>
      <c r="AC22" s="346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3464" t="str">
        <f>B23</f>
        <v>自然及人文环境</v>
      </c>
      <c r="R23" s="705" t="s">
        <v>14</v>
      </c>
      <c r="S23" s="706">
        <f>F23</f>
        <v>100</v>
      </c>
      <c r="T23" s="705" t="s">
        <v>14</v>
      </c>
      <c r="U23" s="706">
        <f>H23</f>
        <v>100</v>
      </c>
      <c r="V23" s="705" t="s">
        <v>14</v>
      </c>
      <c r="W23" s="706">
        <f>J23</f>
        <v>100</v>
      </c>
      <c r="X23" s="3462"/>
      <c r="Y23" s="3723"/>
      <c r="Z23" s="3463" t="str">
        <f>Q23</f>
        <v>自然及人文环境</v>
      </c>
      <c r="AA23" s="3465">
        <f>D23/F23</f>
        <v>1</v>
      </c>
      <c r="AB23" s="3465">
        <f>D23/H23</f>
        <v>1</v>
      </c>
      <c r="AC23" s="346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3464"/>
      <c r="R24" s="705"/>
      <c r="S24" s="706"/>
      <c r="T24" s="705"/>
      <c r="U24" s="706"/>
      <c r="V24" s="705"/>
      <c r="W24" s="706"/>
      <c r="X24" s="3462"/>
      <c r="Y24" s="3723"/>
      <c r="Z24" s="3463"/>
      <c r="AA24" s="3465">
        <v>1</v>
      </c>
      <c r="AB24" s="3465">
        <v>1</v>
      </c>
      <c r="AC24" s="346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3464" t="str">
        <f t="shared" ref="Q25:Q46" si="11">B25</f>
        <v>楼层-1</v>
      </c>
      <c r="R25" s="705" t="s">
        <v>14</v>
      </c>
      <c r="S25" s="706">
        <f t="shared" ref="S25:S46" si="12">F25</f>
        <v>100</v>
      </c>
      <c r="T25" s="705" t="s">
        <v>14</v>
      </c>
      <c r="U25" s="706">
        <f t="shared" ref="U25:U46" si="13">H25</f>
        <v>100</v>
      </c>
      <c r="V25" s="705" t="s">
        <v>14</v>
      </c>
      <c r="W25" s="706">
        <f t="shared" ref="W25:W46" si="14">J25</f>
        <v>100</v>
      </c>
      <c r="X25" s="3462"/>
      <c r="Y25" s="3723"/>
      <c r="Z25" s="3463" t="str">
        <f>Q25</f>
        <v>楼层-1</v>
      </c>
      <c r="AA25" s="3465">
        <f t="shared" ref="AA25:AA46" si="15">D25/F25</f>
        <v>1</v>
      </c>
      <c r="AB25" s="3465">
        <f t="shared" ref="AB25:AB46" si="16">D25/H25</f>
        <v>1</v>
      </c>
      <c r="AC25" s="346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3464" t="str">
        <f t="shared" si="11"/>
        <v>朝向</v>
      </c>
      <c r="R26" s="705" t="s">
        <v>14</v>
      </c>
      <c r="S26" s="706">
        <f t="shared" si="12"/>
        <v>100</v>
      </c>
      <c r="T26" s="705" t="s">
        <v>14</v>
      </c>
      <c r="U26" s="706">
        <f t="shared" si="13"/>
        <v>100</v>
      </c>
      <c r="V26" s="705" t="s">
        <v>14</v>
      </c>
      <c r="W26" s="706">
        <f t="shared" si="14"/>
        <v>100</v>
      </c>
      <c r="X26" s="3462"/>
      <c r="Y26" s="3723"/>
      <c r="Z26" s="3463" t="str">
        <f>Q26</f>
        <v>朝向</v>
      </c>
      <c r="AA26" s="3465">
        <f t="shared" si="15"/>
        <v>1</v>
      </c>
      <c r="AB26" s="3465">
        <f t="shared" si="16"/>
        <v>1</v>
      </c>
      <c r="AC26" s="346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3461">
        <f t="shared" si="11"/>
        <v>111</v>
      </c>
      <c r="R27" s="701" t="s">
        <v>14</v>
      </c>
      <c r="S27" s="702">
        <f t="shared" si="12"/>
        <v>100</v>
      </c>
      <c r="T27" s="701" t="s">
        <v>14</v>
      </c>
      <c r="U27" s="702">
        <f t="shared" si="13"/>
        <v>100</v>
      </c>
      <c r="V27" s="701" t="s">
        <v>14</v>
      </c>
      <c r="W27" s="702">
        <f t="shared" si="14"/>
        <v>100</v>
      </c>
      <c r="X27" s="703"/>
      <c r="Y27" s="3723"/>
      <c r="Z27" s="3460">
        <f>Q27</f>
        <v>111</v>
      </c>
      <c r="AA27" s="3465">
        <f t="shared" si="15"/>
        <v>1</v>
      </c>
      <c r="AB27" s="3465">
        <f t="shared" si="16"/>
        <v>1</v>
      </c>
      <c r="AC27" s="346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3464">
        <f t="shared" si="11"/>
        <v>111</v>
      </c>
      <c r="R28" s="705" t="s">
        <v>14</v>
      </c>
      <c r="S28" s="706">
        <f t="shared" si="12"/>
        <v>100</v>
      </c>
      <c r="T28" s="705" t="s">
        <v>14</v>
      </c>
      <c r="U28" s="706">
        <f t="shared" si="13"/>
        <v>100</v>
      </c>
      <c r="V28" s="705" t="s">
        <v>14</v>
      </c>
      <c r="W28" s="706">
        <f t="shared" si="14"/>
        <v>100</v>
      </c>
      <c r="X28" s="3462"/>
      <c r="Y28" s="3723"/>
      <c r="Z28" s="3463">
        <f t="shared" ref="Z28:Z46" si="18">Q28</f>
        <v>111</v>
      </c>
      <c r="AA28" s="3465">
        <f t="shared" si="15"/>
        <v>1</v>
      </c>
      <c r="AB28" s="3465">
        <f t="shared" si="16"/>
        <v>1</v>
      </c>
      <c r="AC28" s="346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3464">
        <f t="shared" si="11"/>
        <v>111</v>
      </c>
      <c r="R29" s="705" t="s">
        <v>14</v>
      </c>
      <c r="S29" s="706">
        <f t="shared" si="12"/>
        <v>100</v>
      </c>
      <c r="T29" s="705" t="s">
        <v>14</v>
      </c>
      <c r="U29" s="706">
        <f t="shared" si="13"/>
        <v>100</v>
      </c>
      <c r="V29" s="705" t="s">
        <v>14</v>
      </c>
      <c r="W29" s="706">
        <f t="shared" si="14"/>
        <v>100</v>
      </c>
      <c r="X29" s="3462"/>
      <c r="Y29" s="3723"/>
      <c r="Z29" s="3463">
        <f t="shared" si="18"/>
        <v>111</v>
      </c>
      <c r="AA29" s="3465">
        <f t="shared" si="15"/>
        <v>1</v>
      </c>
      <c r="AB29" s="3465">
        <f t="shared" si="16"/>
        <v>1</v>
      </c>
      <c r="AC29" s="346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3464">
        <f t="shared" si="11"/>
        <v>111</v>
      </c>
      <c r="R30" s="705" t="s">
        <v>14</v>
      </c>
      <c r="S30" s="706">
        <f t="shared" si="12"/>
        <v>100</v>
      </c>
      <c r="T30" s="705" t="s">
        <v>14</v>
      </c>
      <c r="U30" s="706">
        <f t="shared" si="13"/>
        <v>100</v>
      </c>
      <c r="V30" s="705" t="s">
        <v>14</v>
      </c>
      <c r="W30" s="706">
        <f t="shared" si="14"/>
        <v>100</v>
      </c>
      <c r="X30" s="3462"/>
      <c r="Y30" s="3723"/>
      <c r="Z30" s="3463">
        <f t="shared" si="18"/>
        <v>111</v>
      </c>
      <c r="AA30" s="3465">
        <f t="shared" si="15"/>
        <v>1</v>
      </c>
      <c r="AB30" s="3465">
        <f t="shared" si="16"/>
        <v>1</v>
      </c>
      <c r="AC30" s="346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3464">
        <f t="shared" si="11"/>
        <v>111</v>
      </c>
      <c r="R31" s="705" t="s">
        <v>14</v>
      </c>
      <c r="S31" s="706">
        <f t="shared" si="12"/>
        <v>100</v>
      </c>
      <c r="T31" s="705" t="s">
        <v>14</v>
      </c>
      <c r="U31" s="706">
        <f t="shared" si="13"/>
        <v>100</v>
      </c>
      <c r="V31" s="705" t="s">
        <v>14</v>
      </c>
      <c r="W31" s="706">
        <f t="shared" si="14"/>
        <v>100</v>
      </c>
      <c r="X31" s="3462"/>
      <c r="Y31" s="3723"/>
      <c r="Z31" s="3463">
        <f t="shared" si="18"/>
        <v>111</v>
      </c>
      <c r="AA31" s="3465">
        <f t="shared" si="15"/>
        <v>1</v>
      </c>
      <c r="AB31" s="3465">
        <f t="shared" si="16"/>
        <v>1</v>
      </c>
      <c r="AC31" s="346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3464" t="str">
        <f t="shared" si="11"/>
        <v>建筑类型</v>
      </c>
      <c r="R32" s="705" t="s">
        <v>14</v>
      </c>
      <c r="S32" s="706">
        <f t="shared" si="12"/>
        <v>100</v>
      </c>
      <c r="T32" s="705" t="s">
        <v>14</v>
      </c>
      <c r="U32" s="706">
        <f t="shared" si="13"/>
        <v>100</v>
      </c>
      <c r="V32" s="705" t="s">
        <v>14</v>
      </c>
      <c r="W32" s="706">
        <f t="shared" si="14"/>
        <v>100</v>
      </c>
      <c r="X32" s="3462"/>
      <c r="Y32" s="3727" t="s">
        <v>1696</v>
      </c>
      <c r="Z32" s="3463" t="str">
        <f t="shared" si="18"/>
        <v>建筑类型</v>
      </c>
      <c r="AA32" s="3465">
        <f t="shared" si="15"/>
        <v>1</v>
      </c>
      <c r="AB32" s="3465">
        <f t="shared" si="16"/>
        <v>1</v>
      </c>
      <c r="AC32" s="346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14</v>
      </c>
      <c r="S33" s="709">
        <f t="shared" si="12"/>
        <v>100</v>
      </c>
      <c r="T33" s="708" t="s">
        <v>14</v>
      </c>
      <c r="U33" s="709">
        <f t="shared" si="13"/>
        <v>100</v>
      </c>
      <c r="V33" s="708" t="s">
        <v>14</v>
      </c>
      <c r="W33" s="709">
        <f t="shared" si="14"/>
        <v>100</v>
      </c>
      <c r="X33" s="710"/>
      <c r="Y33" s="3727"/>
      <c r="Z33" s="711" t="str">
        <f t="shared" si="18"/>
        <v>项目建筑规模</v>
      </c>
      <c r="AA33" s="3465">
        <f t="shared" si="15"/>
        <v>1</v>
      </c>
      <c r="AB33" s="3465">
        <f t="shared" si="16"/>
        <v>1</v>
      </c>
      <c r="AC33" s="346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3464" t="str">
        <f t="shared" si="11"/>
        <v>建筑结构</v>
      </c>
      <c r="R34" s="705" t="s">
        <v>14</v>
      </c>
      <c r="S34" s="706">
        <f t="shared" si="12"/>
        <v>100</v>
      </c>
      <c r="T34" s="705" t="s">
        <v>14</v>
      </c>
      <c r="U34" s="706">
        <f t="shared" si="13"/>
        <v>100</v>
      </c>
      <c r="V34" s="705" t="s">
        <v>14</v>
      </c>
      <c r="W34" s="706">
        <f t="shared" si="14"/>
        <v>100</v>
      </c>
      <c r="X34" s="3462"/>
      <c r="Y34" s="3727"/>
      <c r="Z34" s="3463" t="str">
        <f t="shared" si="18"/>
        <v>建筑结构</v>
      </c>
      <c r="AA34" s="3465">
        <f t="shared" si="15"/>
        <v>1</v>
      </c>
      <c r="AB34" s="3465">
        <f t="shared" si="16"/>
        <v>1</v>
      </c>
      <c r="AC34" s="346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3464" t="str">
        <f t="shared" si="11"/>
        <v>建筑品质</v>
      </c>
      <c r="R35" s="705" t="s">
        <v>14</v>
      </c>
      <c r="S35" s="706">
        <f t="shared" si="12"/>
        <v>100</v>
      </c>
      <c r="T35" s="705" t="s">
        <v>14</v>
      </c>
      <c r="U35" s="706">
        <f t="shared" si="13"/>
        <v>100</v>
      </c>
      <c r="V35" s="705" t="s">
        <v>14</v>
      </c>
      <c r="W35" s="706">
        <f t="shared" si="14"/>
        <v>100</v>
      </c>
      <c r="X35" s="3462"/>
      <c r="Y35" s="3727"/>
      <c r="Z35" s="3463" t="str">
        <f t="shared" si="18"/>
        <v>建筑品质</v>
      </c>
      <c r="AA35" s="3465">
        <f t="shared" si="15"/>
        <v>1</v>
      </c>
      <c r="AB35" s="3465">
        <f t="shared" si="16"/>
        <v>1</v>
      </c>
      <c r="AC35" s="346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3464" t="str">
        <f t="shared" si="11"/>
        <v>公共部分装修</v>
      </c>
      <c r="R36" s="705" t="s">
        <v>14</v>
      </c>
      <c r="S36" s="706">
        <f t="shared" si="12"/>
        <v>100</v>
      </c>
      <c r="T36" s="705" t="s">
        <v>14</v>
      </c>
      <c r="U36" s="706">
        <f t="shared" si="13"/>
        <v>100</v>
      </c>
      <c r="V36" s="705" t="s">
        <v>14</v>
      </c>
      <c r="W36" s="706">
        <f t="shared" si="14"/>
        <v>100</v>
      </c>
      <c r="X36" s="3462"/>
      <c r="Y36" s="3727"/>
      <c r="Z36" s="3463" t="str">
        <f t="shared" si="18"/>
        <v>公共部分装修</v>
      </c>
      <c r="AA36" s="3465">
        <f t="shared" si="15"/>
        <v>1</v>
      </c>
      <c r="AB36" s="3465">
        <f t="shared" si="16"/>
        <v>1</v>
      </c>
      <c r="AC36" s="3465">
        <f t="shared" si="17"/>
        <v>1</v>
      </c>
    </row>
    <row r="37" spans="1:29" s="108" customFormat="1" ht="15">
      <c r="A37" s="424"/>
      <c r="B37" s="375" t="s">
        <v>1701</v>
      </c>
      <c r="C37" s="425">
        <v>0.6</v>
      </c>
      <c r="D37" s="127">
        <v>100</v>
      </c>
      <c r="E37" s="425">
        <v>0.65</v>
      </c>
      <c r="F37" s="376">
        <f>LOOKUP(E37,112:112,113:113)-LOOKUP(C37,112:112,113:113)+100</f>
        <v>100</v>
      </c>
      <c r="G37" s="427">
        <v>0.75</v>
      </c>
      <c r="H37" s="127">
        <f>LOOKUP(G37,112:112,113:113)-LOOKUP(C37,112:112,113:113)+100</f>
        <v>102.5</v>
      </c>
      <c r="I37" s="426">
        <v>0.75</v>
      </c>
      <c r="J37" s="127">
        <f>LOOKUP(I37,112:112,113:113)-LOOKUP(C37,112:112,113:113)+100</f>
        <v>102.5</v>
      </c>
      <c r="K37" s="377">
        <v>2.5</v>
      </c>
      <c r="L37" s="2717"/>
      <c r="M37" s="2718"/>
      <c r="N37" s="2718"/>
      <c r="O37" s="2718"/>
      <c r="P37" s="3725"/>
      <c r="Q37" s="3461" t="str">
        <f t="shared" si="11"/>
        <v>成新度</v>
      </c>
      <c r="R37" s="701" t="s">
        <v>14</v>
      </c>
      <c r="S37" s="702">
        <f t="shared" si="12"/>
        <v>100</v>
      </c>
      <c r="T37" s="701" t="s">
        <v>14</v>
      </c>
      <c r="U37" s="702">
        <f t="shared" si="13"/>
        <v>102.5</v>
      </c>
      <c r="V37" s="701" t="s">
        <v>14</v>
      </c>
      <c r="W37" s="702">
        <f t="shared" si="14"/>
        <v>102.5</v>
      </c>
      <c r="X37" s="703"/>
      <c r="Y37" s="3727"/>
      <c r="Z37" s="3460" t="str">
        <f t="shared" si="18"/>
        <v>成新度</v>
      </c>
      <c r="AA37" s="704">
        <f t="shared" si="15"/>
        <v>1</v>
      </c>
      <c r="AB37" s="704">
        <f t="shared" si="16"/>
        <v>0.97560975609756095</v>
      </c>
      <c r="AC37" s="704">
        <f t="shared" si="17"/>
        <v>0.97560975609756095</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3464" t="str">
        <f t="shared" si="11"/>
        <v>物业管理</v>
      </c>
      <c r="R38" s="705" t="s">
        <v>14</v>
      </c>
      <c r="S38" s="706">
        <f t="shared" si="12"/>
        <v>100</v>
      </c>
      <c r="T38" s="705" t="s">
        <v>14</v>
      </c>
      <c r="U38" s="706">
        <f t="shared" si="13"/>
        <v>100</v>
      </c>
      <c r="V38" s="705" t="s">
        <v>14</v>
      </c>
      <c r="W38" s="706">
        <f t="shared" si="14"/>
        <v>100</v>
      </c>
      <c r="X38" s="3462"/>
      <c r="Y38" s="3727" t="s">
        <v>1696</v>
      </c>
      <c r="Z38" s="3463" t="str">
        <f t="shared" si="18"/>
        <v>物业管理</v>
      </c>
      <c r="AA38" s="3465">
        <f t="shared" si="15"/>
        <v>1</v>
      </c>
      <c r="AB38" s="3465">
        <f t="shared" si="16"/>
        <v>1</v>
      </c>
      <c r="AC38" s="346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3464" t="str">
        <f t="shared" si="11"/>
        <v>市政基础设施</v>
      </c>
      <c r="R39" s="705" t="s">
        <v>14</v>
      </c>
      <c r="S39" s="706">
        <f t="shared" si="12"/>
        <v>110</v>
      </c>
      <c r="T39" s="705" t="s">
        <v>14</v>
      </c>
      <c r="U39" s="706">
        <f t="shared" si="13"/>
        <v>110</v>
      </c>
      <c r="V39" s="705" t="s">
        <v>14</v>
      </c>
      <c r="W39" s="706">
        <f t="shared" si="14"/>
        <v>110</v>
      </c>
      <c r="X39" s="3462"/>
      <c r="Y39" s="3727"/>
      <c r="Z39" s="3463" t="str">
        <f t="shared" si="18"/>
        <v>市政基础设施</v>
      </c>
      <c r="AA39" s="3465">
        <f t="shared" si="15"/>
        <v>0.90909090909090906</v>
      </c>
      <c r="AB39" s="3465">
        <f t="shared" si="16"/>
        <v>0.90909090909090906</v>
      </c>
      <c r="AC39" s="3465">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3464" t="str">
        <f t="shared" si="11"/>
        <v>房型</v>
      </c>
      <c r="R40" s="705" t="s">
        <v>14</v>
      </c>
      <c r="S40" s="706">
        <f t="shared" si="12"/>
        <v>112</v>
      </c>
      <c r="T40" s="705" t="s">
        <v>14</v>
      </c>
      <c r="U40" s="706">
        <f t="shared" si="13"/>
        <v>112</v>
      </c>
      <c r="V40" s="705" t="s">
        <v>14</v>
      </c>
      <c r="W40" s="706">
        <f t="shared" si="14"/>
        <v>112</v>
      </c>
      <c r="X40" s="3462"/>
      <c r="Y40" s="3727"/>
      <c r="Z40" s="3463" t="str">
        <f t="shared" si="18"/>
        <v>房型</v>
      </c>
      <c r="AA40" s="3465">
        <f t="shared" si="15"/>
        <v>0.8928571428571429</v>
      </c>
      <c r="AB40" s="3465">
        <f t="shared" si="16"/>
        <v>0.8928571428571429</v>
      </c>
      <c r="AC40" s="3465">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14</v>
      </c>
      <c r="S41" s="709">
        <f t="shared" si="12"/>
        <v>100</v>
      </c>
      <c r="T41" s="708" t="s">
        <v>14</v>
      </c>
      <c r="U41" s="709">
        <f t="shared" si="13"/>
        <v>100</v>
      </c>
      <c r="V41" s="708" t="s">
        <v>14</v>
      </c>
      <c r="W41" s="709">
        <f t="shared" si="14"/>
        <v>100</v>
      </c>
      <c r="X41" s="710"/>
      <c r="Y41" s="3727"/>
      <c r="Z41" s="711" t="str">
        <f t="shared" si="18"/>
        <v>单套/主力户型建筑面积</v>
      </c>
      <c r="AA41" s="3465">
        <f t="shared" si="15"/>
        <v>1</v>
      </c>
      <c r="AB41" s="3465">
        <f t="shared" si="16"/>
        <v>1</v>
      </c>
      <c r="AC41" s="346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3464" t="str">
        <f t="shared" si="11"/>
        <v>内部装修</v>
      </c>
      <c r="R42" s="705" t="s">
        <v>14</v>
      </c>
      <c r="S42" s="706">
        <f t="shared" si="12"/>
        <v>100</v>
      </c>
      <c r="T42" s="705" t="s">
        <v>14</v>
      </c>
      <c r="U42" s="706">
        <f t="shared" si="13"/>
        <v>100</v>
      </c>
      <c r="V42" s="705" t="s">
        <v>14</v>
      </c>
      <c r="W42" s="706">
        <f t="shared" si="14"/>
        <v>100</v>
      </c>
      <c r="X42" s="3462"/>
      <c r="Y42" s="3727"/>
      <c r="Z42" s="3463" t="str">
        <f t="shared" si="18"/>
        <v>内部装修</v>
      </c>
      <c r="AA42" s="3465">
        <f t="shared" si="15"/>
        <v>1</v>
      </c>
      <c r="AB42" s="3465">
        <f t="shared" si="16"/>
        <v>1</v>
      </c>
      <c r="AC42" s="346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3464" t="str">
        <f t="shared" si="11"/>
        <v>内部装修维护情况</v>
      </c>
      <c r="R43" s="705" t="s">
        <v>14</v>
      </c>
      <c r="S43" s="706">
        <f t="shared" si="12"/>
        <v>100</v>
      </c>
      <c r="T43" s="705" t="s">
        <v>14</v>
      </c>
      <c r="U43" s="706">
        <f t="shared" si="13"/>
        <v>100</v>
      </c>
      <c r="V43" s="705" t="s">
        <v>14</v>
      </c>
      <c r="W43" s="706">
        <f t="shared" si="14"/>
        <v>100</v>
      </c>
      <c r="X43" s="3462"/>
      <c r="Y43" s="3727"/>
      <c r="Z43" s="3463" t="str">
        <f t="shared" si="18"/>
        <v>内部装修维护情况</v>
      </c>
      <c r="AA43" s="3465">
        <f t="shared" si="15"/>
        <v>1</v>
      </c>
      <c r="AB43" s="3465">
        <f t="shared" si="16"/>
        <v>1</v>
      </c>
      <c r="AC43" s="3465">
        <f t="shared" si="17"/>
        <v>1</v>
      </c>
    </row>
    <row r="44" spans="1:29" s="108" customFormat="1" ht="15" hidden="1">
      <c r="A44" s="424"/>
      <c r="B44" s="3470" t="s">
        <v>3522</v>
      </c>
      <c r="C44" s="3471" t="s">
        <v>3543</v>
      </c>
      <c r="D44" s="127">
        <v>100</v>
      </c>
      <c r="E44" s="3471" t="s">
        <v>3524</v>
      </c>
      <c r="F44" s="376">
        <f>SUMIF(126:126,E44,127:127)-SUMIF(126:126,C44,127:127)+100</f>
        <v>100</v>
      </c>
      <c r="G44" s="3471" t="s">
        <v>3524</v>
      </c>
      <c r="H44" s="127">
        <f>SUMIF(126:126,G44,127:127)-SUMIF(126:126,C44,127:127)+100</f>
        <v>100</v>
      </c>
      <c r="I44" s="3471" t="s">
        <v>3524</v>
      </c>
      <c r="J44" s="127">
        <f>SUMIF(126:126,I44,127:127)-SUMIF(126:126,C44,127:127)+100</f>
        <v>100</v>
      </c>
      <c r="K44" s="1894"/>
      <c r="L44" s="2717"/>
      <c r="M44" s="2718"/>
      <c r="N44" s="2718"/>
      <c r="O44" s="2718"/>
      <c r="P44" s="3725"/>
      <c r="Q44" s="3461" t="str">
        <f t="shared" si="11"/>
        <v>独立卫生间</v>
      </c>
      <c r="R44" s="701" t="s">
        <v>14</v>
      </c>
      <c r="S44" s="702">
        <f t="shared" si="12"/>
        <v>100</v>
      </c>
      <c r="T44" s="701" t="s">
        <v>14</v>
      </c>
      <c r="U44" s="702">
        <f t="shared" si="13"/>
        <v>100</v>
      </c>
      <c r="V44" s="701" t="s">
        <v>14</v>
      </c>
      <c r="W44" s="702">
        <f t="shared" si="14"/>
        <v>100</v>
      </c>
      <c r="X44" s="703"/>
      <c r="Y44" s="3727"/>
      <c r="Z44" s="3460" t="str">
        <f t="shared" si="18"/>
        <v>独立卫生间</v>
      </c>
      <c r="AA44" s="704">
        <f t="shared" si="15"/>
        <v>1</v>
      </c>
      <c r="AB44" s="704">
        <f t="shared" si="16"/>
        <v>1</v>
      </c>
      <c r="AC44" s="704">
        <f t="shared" si="17"/>
        <v>1</v>
      </c>
    </row>
    <row r="45" spans="1:29" ht="15">
      <c r="A45" s="423"/>
      <c r="B45" s="3470" t="s">
        <v>3528</v>
      </c>
      <c r="C45" s="3472" t="s">
        <v>3523</v>
      </c>
      <c r="D45" s="386">
        <v>100</v>
      </c>
      <c r="E45" s="3472" t="s">
        <v>3523</v>
      </c>
      <c r="F45" s="412">
        <f>SUMIF(128:128,E45,129:129)-SUMIF(128:128,C45,129:129)+100</f>
        <v>100</v>
      </c>
      <c r="G45" s="3472" t="s">
        <v>3524</v>
      </c>
      <c r="H45" s="386">
        <f>SUMIF(128:128,G45,129:129)-SUMIF(128:128,C45,129:129)+100</f>
        <v>102</v>
      </c>
      <c r="I45" s="3472" t="s">
        <v>3524</v>
      </c>
      <c r="J45" s="386">
        <f>SUMIF(128:128,I45,129:129)-SUMIF(128:128,C45,129:129)+100</f>
        <v>102</v>
      </c>
      <c r="K45" s="1894"/>
      <c r="L45" s="2722"/>
      <c r="M45" s="2716"/>
      <c r="N45" s="2716"/>
      <c r="O45" s="2716"/>
      <c r="P45" s="3725"/>
      <c r="Q45" s="3464" t="str">
        <f t="shared" si="11"/>
        <v>电梯</v>
      </c>
      <c r="R45" s="705" t="s">
        <v>14</v>
      </c>
      <c r="S45" s="706">
        <f t="shared" si="12"/>
        <v>100</v>
      </c>
      <c r="T45" s="705" t="s">
        <v>14</v>
      </c>
      <c r="U45" s="706">
        <f t="shared" si="13"/>
        <v>102</v>
      </c>
      <c r="V45" s="705" t="s">
        <v>14</v>
      </c>
      <c r="W45" s="706">
        <f t="shared" si="14"/>
        <v>102</v>
      </c>
      <c r="X45" s="3462"/>
      <c r="Y45" s="3727"/>
      <c r="Z45" s="3463" t="str">
        <f t="shared" si="18"/>
        <v>电梯</v>
      </c>
      <c r="AA45" s="3465">
        <f t="shared" si="15"/>
        <v>1</v>
      </c>
      <c r="AB45" s="3465">
        <f t="shared" si="16"/>
        <v>0.98039215686274506</v>
      </c>
      <c r="AC45" s="3465">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3464">
        <f t="shared" si="11"/>
        <v>111</v>
      </c>
      <c r="R46" s="705" t="s">
        <v>14</v>
      </c>
      <c r="S46" s="706">
        <f t="shared" si="12"/>
        <v>100</v>
      </c>
      <c r="T46" s="705" t="s">
        <v>14</v>
      </c>
      <c r="U46" s="706">
        <f t="shared" si="13"/>
        <v>100</v>
      </c>
      <c r="V46" s="705" t="s">
        <v>14</v>
      </c>
      <c r="W46" s="706">
        <f t="shared" si="14"/>
        <v>100</v>
      </c>
      <c r="X46" s="3462"/>
      <c r="Y46" s="3728"/>
      <c r="Z46" s="3463">
        <f t="shared" si="18"/>
        <v>111</v>
      </c>
      <c r="AA46" s="3465">
        <f t="shared" si="15"/>
        <v>1</v>
      </c>
      <c r="AB46" s="3465">
        <f t="shared" si="16"/>
        <v>1</v>
      </c>
      <c r="AC46" s="3465">
        <f t="shared" si="17"/>
        <v>1</v>
      </c>
    </row>
    <row r="47" spans="1:29" ht="14.4">
      <c r="A47" s="430" t="s">
        <v>1708</v>
      </c>
      <c r="B47" s="431"/>
      <c r="C47" s="1154" t="s">
        <v>16</v>
      </c>
      <c r="D47" s="1155"/>
      <c r="E47" s="1156">
        <f>'2023-2024'!B20</f>
        <v>125.8</v>
      </c>
      <c r="F47" s="1157"/>
      <c r="G47" s="1158">
        <f>'2023-2024'!B24</f>
        <v>131.6</v>
      </c>
      <c r="H47" s="1159"/>
      <c r="I47" s="1156">
        <f>'2023-2024'!B28</f>
        <v>134.69999999999999</v>
      </c>
      <c r="J47" s="1159"/>
      <c r="K47" s="1914"/>
      <c r="L47" s="2724"/>
      <c r="M47" s="2725"/>
      <c r="N47" s="2716"/>
      <c r="O47" s="2725"/>
      <c r="P47" s="3720" t="str">
        <f>A47</f>
        <v>成交单价（元/平方米）</v>
      </c>
      <c r="Q47" s="3720"/>
      <c r="R47" s="3721">
        <f>E47</f>
        <v>125.8</v>
      </c>
      <c r="S47" s="3721"/>
      <c r="T47" s="3721">
        <f>G47</f>
        <v>131.6</v>
      </c>
      <c r="U47" s="3721"/>
      <c r="V47" s="3721">
        <f>I47</f>
        <v>134.69999999999999</v>
      </c>
      <c r="W47" s="3721"/>
      <c r="X47" s="690"/>
      <c r="Y47" s="712"/>
      <c r="Z47" s="690"/>
      <c r="AA47" s="690"/>
      <c r="AB47" s="690"/>
      <c r="AC47" s="690"/>
    </row>
    <row r="48" spans="1:29" ht="15" thickBot="1">
      <c r="A48" s="437" t="s">
        <v>1709</v>
      </c>
      <c r="B48" s="438"/>
      <c r="C48" s="1160">
        <f>R49</f>
        <v>103</v>
      </c>
      <c r="D48" s="2317" t="s">
        <v>2138</v>
      </c>
      <c r="E48" s="1161">
        <f>R48</f>
        <v>102.1</v>
      </c>
      <c r="F48" s="2318"/>
      <c r="G48" s="1160">
        <f>T48</f>
        <v>102.2</v>
      </c>
      <c r="H48" s="2318"/>
      <c r="I48" s="1161">
        <f>V48</f>
        <v>104.6</v>
      </c>
      <c r="J48" s="2318"/>
      <c r="K48" s="2319">
        <f>F48+H48+J48</f>
        <v>0</v>
      </c>
      <c r="L48" s="2724"/>
      <c r="M48" s="2725"/>
      <c r="N48" s="2725"/>
      <c r="O48" s="2725"/>
      <c r="P48" s="3720" t="str">
        <f>A48</f>
        <v>比较价值（元/平方米）</v>
      </c>
      <c r="Q48" s="3720"/>
      <c r="R48" s="3721">
        <f>IF(F1="售价",ROUND(PRODUCT(R47,AA7:AA46),0),ROUND(PRODUCT(R47,AA7:AA46),1))</f>
        <v>102.1</v>
      </c>
      <c r="S48" s="3721"/>
      <c r="T48" s="3721">
        <f>IF(F1="售价",ROUND(PRODUCT(T47,AB7:AB46),0),ROUND(PRODUCT(T47,AB7:AB46),1))</f>
        <v>102.2</v>
      </c>
      <c r="U48" s="3721"/>
      <c r="V48" s="3721">
        <f>IF(F1="售价",ROUND(PRODUCT(V47,AC7:AC46),0),ROUND(PRODUCT(V47,AC7:AC46),1))</f>
        <v>104.6</v>
      </c>
      <c r="W48" s="3721"/>
      <c r="X48" s="690"/>
      <c r="Y48" s="690"/>
      <c r="Z48" s="690"/>
      <c r="AA48" s="690"/>
      <c r="AB48" s="690"/>
      <c r="AC48" s="690"/>
    </row>
    <row r="49" spans="1:29" ht="15" thickBot="1">
      <c r="A49" s="441" t="s">
        <v>1710</v>
      </c>
      <c r="B49" s="442"/>
      <c r="C49" s="1162">
        <f>R49</f>
        <v>103</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103</v>
      </c>
      <c r="S49" s="3719"/>
      <c r="T49" s="3719"/>
      <c r="U49" s="3719"/>
      <c r="V49" s="3719"/>
      <c r="W49" s="3719"/>
      <c r="X49" s="690"/>
      <c r="Y49" s="690"/>
      <c r="Z49" s="690"/>
      <c r="AA49" s="690"/>
      <c r="AB49" s="690"/>
      <c r="AC49" s="690"/>
    </row>
    <row r="50" spans="1:29">
      <c r="A50" s="2725"/>
      <c r="B50" s="2725">
        <f>C49*0.9</f>
        <v>92.7</v>
      </c>
      <c r="C50" s="2725">
        <f>C49*1.1</f>
        <v>113.30000000000001</v>
      </c>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0.23212536728697364</v>
      </c>
      <c r="F52" s="449" t="str">
        <f>IF(OR(E52&gt;=0.3,E52&lt;=-0.3),"超过30%","")</f>
        <v/>
      </c>
      <c r="G52" s="448">
        <f>IF(G47&lt;G48,G48/G47-1,G47/G48-1)</f>
        <v>0.28767123287671215</v>
      </c>
      <c r="H52" s="449" t="str">
        <f>IF(OR(G52&gt;=0.3,G52&lt;=-0.3),"超过30%","")</f>
        <v/>
      </c>
      <c r="I52" s="448">
        <f>IF(I47&lt;I48,I48/I47-1,I47/I48-1)</f>
        <v>0.28776290630975132</v>
      </c>
      <c r="J52" s="449" t="str">
        <f>IF(OR(I52&gt;=0.3,I52&lt;=-0.3),"超过30%","")</f>
        <v/>
      </c>
      <c r="K52" s="2730"/>
      <c r="L52" s="2726"/>
      <c r="M52" s="2725"/>
      <c r="N52" s="2725"/>
      <c r="O52" s="2725"/>
    </row>
    <row r="53" spans="1:29" ht="13.5" customHeight="1">
      <c r="A53" s="2725"/>
      <c r="B53" s="2725"/>
      <c r="C53" s="446" t="s">
        <v>1712</v>
      </c>
      <c r="D53" s="450"/>
      <c r="E53" s="448">
        <f>IF(E48&lt;G48,G48/E48-1,E48/G48-1)</f>
        <v>9.7943192948091173E-4</v>
      </c>
      <c r="F53" s="449" t="str">
        <f>IF(OR(E53&gt;=0.2,E53&lt;=-0.2),"超过20%","")</f>
        <v/>
      </c>
      <c r="G53" s="448">
        <f>IF(G48&lt;I48,I48/G48-1,G48/I48-1)</f>
        <v>2.3483365949119372E-2</v>
      </c>
      <c r="H53" s="449" t="str">
        <f>IF(OR(G53&gt;=0.2,G53&lt;=-0.2),"超过20%","")</f>
        <v/>
      </c>
      <c r="I53" s="448">
        <f>IF(I48&lt;E48,E48/I48-1,I48/E48-1)</f>
        <v>2.4485798237022571E-2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4.6104928457869621E-2</v>
      </c>
      <c r="F54" s="449" t="str">
        <f>IF(OR(E54&gt;=0.3,E54&lt;=-0.3),"超过30%","")</f>
        <v/>
      </c>
      <c r="G54" s="448">
        <f>IF(G47&lt;I47,I47/G47-1,G47/I47-1)</f>
        <v>2.3556231003039496E-2</v>
      </c>
      <c r="H54" s="449" t="str">
        <f>IF(OR(G54&gt;=0.3,G54&lt;=-0.3),"超过30%","")</f>
        <v/>
      </c>
      <c r="I54" s="448">
        <f>IF(I47&lt;E47,E47/I47-1,I47/E47-1)</f>
        <v>7.0747217806041318E-2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1679</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102.5</v>
      </c>
      <c r="E113" s="493">
        <f>D113+$K37</f>
        <v>105</v>
      </c>
      <c r="F113" s="493">
        <f>E113+$K37</f>
        <v>107.5</v>
      </c>
      <c r="G113" s="493">
        <f>F113+$K37</f>
        <v>110</v>
      </c>
      <c r="H113" s="493">
        <f>G113+$K37</f>
        <v>112.5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E19" sqref="E19"/>
    </sheetView>
  </sheetViews>
  <sheetFormatPr defaultRowHeight="15.6"/>
  <cols>
    <col min="1" max="1" width="24.109375" style="3450" customWidth="1"/>
    <col min="2" max="2" width="12.21875" style="3451" customWidth="1"/>
    <col min="3" max="14" width="13.109375" style="3450" customWidth="1"/>
    <col min="15" max="16384" width="8.88671875" style="3450"/>
  </cols>
  <sheetData>
    <row r="1" spans="1:14">
      <c r="A1" s="3731" t="s">
        <v>3390</v>
      </c>
      <c r="C1" s="3449">
        <v>45444.333831018521</v>
      </c>
      <c r="D1" s="3449">
        <v>45413.333831018521</v>
      </c>
      <c r="E1" s="3449">
        <v>45383.333831018521</v>
      </c>
      <c r="F1" s="3449">
        <v>45352.333831018521</v>
      </c>
      <c r="G1" s="3449">
        <v>45323.333831018521</v>
      </c>
      <c r="H1" s="3449">
        <v>45292.333831018521</v>
      </c>
      <c r="I1" s="3449">
        <v>45261.333831018521</v>
      </c>
      <c r="J1" s="3449">
        <v>45231.333831018521</v>
      </c>
      <c r="K1" s="3449">
        <v>45200.333831018521</v>
      </c>
      <c r="L1" s="3449">
        <v>45170.333831018521</v>
      </c>
      <c r="M1" s="3449">
        <v>45139.333831018521</v>
      </c>
      <c r="N1" s="3449">
        <v>45108.333831018521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156.4</v>
      </c>
      <c r="C3" s="3450">
        <v>133.94</v>
      </c>
      <c r="D3" s="3450">
        <v>129.54</v>
      </c>
      <c r="E3" s="3450">
        <v>132.46</v>
      </c>
      <c r="F3" s="3450">
        <v>144.94</v>
      </c>
      <c r="G3" s="3450">
        <v>153.08000000000001</v>
      </c>
      <c r="H3" s="3450">
        <v>157.91999999999999</v>
      </c>
      <c r="I3" s="3450">
        <v>157.59</v>
      </c>
      <c r="J3" s="3450">
        <v>157.33000000000001</v>
      </c>
      <c r="K3" s="3450">
        <v>165.24</v>
      </c>
      <c r="L3" s="3450">
        <v>173.13</v>
      </c>
      <c r="M3" s="3450">
        <v>192.52</v>
      </c>
      <c r="N3" s="3450">
        <v>178.87</v>
      </c>
    </row>
    <row r="4" spans="1:14">
      <c r="A4" s="3450" t="s">
        <v>3403</v>
      </c>
      <c r="B4" s="3451">
        <f t="shared" ref="B4:B67" si="0">ROUND(AVERAGE(C4:N4),1)</f>
        <v>148.1</v>
      </c>
      <c r="C4" s="3450">
        <v>145.09</v>
      </c>
      <c r="D4" s="3450">
        <v>150.91</v>
      </c>
      <c r="H4" s="3450">
        <v>143.68</v>
      </c>
      <c r="I4" s="3450">
        <v>139.78</v>
      </c>
      <c r="J4" s="3450">
        <v>141.44</v>
      </c>
      <c r="K4" s="3450">
        <v>137.09</v>
      </c>
      <c r="L4" s="3450">
        <v>147.56</v>
      </c>
      <c r="M4" s="3450">
        <v>165.26</v>
      </c>
      <c r="N4" s="3450">
        <v>162.36000000000001</v>
      </c>
    </row>
    <row r="5" spans="1:14">
      <c r="A5" s="3450" t="s">
        <v>3404</v>
      </c>
      <c r="B5" s="3451">
        <f t="shared" si="0"/>
        <v>141.5</v>
      </c>
      <c r="C5" s="3450">
        <v>145.47999999999999</v>
      </c>
      <c r="D5" s="3450">
        <v>146.85</v>
      </c>
      <c r="E5" s="3450">
        <v>140.31</v>
      </c>
      <c r="F5" s="3450">
        <v>137.52000000000001</v>
      </c>
      <c r="G5" s="3450">
        <v>137.97</v>
      </c>
      <c r="H5" s="3450">
        <v>143.99</v>
      </c>
      <c r="I5" s="3450">
        <v>143.66</v>
      </c>
      <c r="J5" s="3450">
        <v>141.77000000000001</v>
      </c>
      <c r="K5" s="3450">
        <v>133.75</v>
      </c>
      <c r="L5" s="3450">
        <v>142.91</v>
      </c>
      <c r="M5" s="3450">
        <v>144.44999999999999</v>
      </c>
      <c r="N5" s="3450">
        <v>138.96</v>
      </c>
    </row>
    <row r="6" spans="1:14">
      <c r="A6" s="3450" t="s">
        <v>3405</v>
      </c>
      <c r="B6" s="3451">
        <f t="shared" si="0"/>
        <v>141.4</v>
      </c>
      <c r="C6" s="3450">
        <v>148.4</v>
      </c>
      <c r="D6" s="3450">
        <v>151.09</v>
      </c>
      <c r="E6" s="3450">
        <v>145.31</v>
      </c>
      <c r="F6" s="3450">
        <v>136.41999999999999</v>
      </c>
      <c r="G6" s="3450">
        <v>134.59</v>
      </c>
      <c r="H6" s="3450">
        <v>135.86000000000001</v>
      </c>
      <c r="I6" s="3450">
        <v>135.35</v>
      </c>
      <c r="J6" s="3450">
        <v>133.22999999999999</v>
      </c>
      <c r="K6" s="3450">
        <v>133.12</v>
      </c>
      <c r="L6" s="3450">
        <v>140.31</v>
      </c>
      <c r="M6" s="3450">
        <v>147.87</v>
      </c>
      <c r="N6" s="3450">
        <v>154.75</v>
      </c>
    </row>
    <row r="7" spans="1:14">
      <c r="A7" s="3450" t="s">
        <v>3406</v>
      </c>
      <c r="B7" s="3451">
        <f t="shared" si="0"/>
        <v>149.80000000000001</v>
      </c>
      <c r="C7" s="3450">
        <v>146.22</v>
      </c>
      <c r="D7" s="3450">
        <v>143.29</v>
      </c>
      <c r="E7" s="3450">
        <v>144.75</v>
      </c>
      <c r="F7" s="3450">
        <v>147.29</v>
      </c>
      <c r="G7" s="3450">
        <v>150.38</v>
      </c>
      <c r="H7" s="3450">
        <v>154.27000000000001</v>
      </c>
      <c r="I7" s="3450">
        <v>155.88999999999999</v>
      </c>
      <c r="J7" s="3450">
        <v>153.68</v>
      </c>
      <c r="K7" s="3450">
        <v>149.83000000000001</v>
      </c>
      <c r="L7" s="3450">
        <v>147.88</v>
      </c>
      <c r="M7" s="3450">
        <v>150.46</v>
      </c>
      <c r="N7" s="3450">
        <v>153.81</v>
      </c>
    </row>
    <row r="8" spans="1:14">
      <c r="A8" s="3450" t="s">
        <v>3407</v>
      </c>
      <c r="B8" s="3451">
        <f t="shared" si="0"/>
        <v>149.30000000000001</v>
      </c>
      <c r="C8" s="3450">
        <v>149.44999999999999</v>
      </c>
      <c r="D8" s="3450">
        <v>148.72999999999999</v>
      </c>
      <c r="E8" s="3450">
        <v>150.28</v>
      </c>
      <c r="F8" s="3450">
        <v>150.63</v>
      </c>
      <c r="G8" s="3450">
        <v>149.53</v>
      </c>
      <c r="H8" s="3450">
        <v>143.83000000000001</v>
      </c>
      <c r="I8" s="3450">
        <v>149.33000000000001</v>
      </c>
      <c r="J8" s="3450">
        <v>152.71</v>
      </c>
      <c r="K8" s="3450">
        <v>157.55000000000001</v>
      </c>
      <c r="L8" s="3450">
        <v>152.4</v>
      </c>
      <c r="M8" s="3450">
        <v>147.13999999999999</v>
      </c>
      <c r="N8" s="3450">
        <v>140.08000000000001</v>
      </c>
    </row>
    <row r="9" spans="1:14">
      <c r="A9" s="3450" t="s">
        <v>3408</v>
      </c>
      <c r="B9" s="3451">
        <f t="shared" si="0"/>
        <v>253.5</v>
      </c>
      <c r="C9" s="3450">
        <v>268.14</v>
      </c>
      <c r="D9" s="3450">
        <v>268.14</v>
      </c>
      <c r="E9" s="3450">
        <v>268.14</v>
      </c>
      <c r="F9" s="3450">
        <v>268.14</v>
      </c>
      <c r="G9" s="3450">
        <v>268.14</v>
      </c>
      <c r="H9" s="3450">
        <v>268.14</v>
      </c>
      <c r="K9" s="3450">
        <v>221.64</v>
      </c>
      <c r="L9" s="3450">
        <v>221.64</v>
      </c>
      <c r="N9" s="3450">
        <v>229.82</v>
      </c>
    </row>
    <row r="10" spans="1:14">
      <c r="A10" s="3450" t="s">
        <v>3409</v>
      </c>
      <c r="B10" s="3451">
        <f t="shared" si="0"/>
        <v>155.30000000000001</v>
      </c>
      <c r="C10" s="3450">
        <v>150.22999999999999</v>
      </c>
      <c r="D10" s="3450">
        <v>151.31</v>
      </c>
      <c r="E10" s="3450">
        <v>146.79</v>
      </c>
      <c r="F10" s="3450">
        <v>146.79</v>
      </c>
      <c r="G10" s="3450">
        <v>136.01</v>
      </c>
      <c r="H10" s="3450">
        <v>146.87</v>
      </c>
      <c r="I10" s="3450">
        <v>144.78</v>
      </c>
      <c r="J10" s="3450">
        <v>139.88999999999999</v>
      </c>
      <c r="K10" s="3450">
        <v>132.19</v>
      </c>
      <c r="L10" s="3450">
        <v>138.97</v>
      </c>
      <c r="M10" s="3450">
        <v>178.72</v>
      </c>
      <c r="N10" s="3450">
        <v>250.97</v>
      </c>
    </row>
    <row r="11" spans="1:14">
      <c r="A11" s="3450" t="s">
        <v>3410</v>
      </c>
      <c r="B11" s="3466">
        <f t="shared" si="0"/>
        <v>140</v>
      </c>
      <c r="C11" s="3450">
        <v>164.26</v>
      </c>
      <c r="D11" s="3450">
        <v>158.75</v>
      </c>
      <c r="E11" s="3450">
        <v>152.35</v>
      </c>
      <c r="F11" s="3450">
        <v>152.75</v>
      </c>
      <c r="G11" s="3450">
        <v>139.22</v>
      </c>
      <c r="H11" s="3450">
        <v>133.5</v>
      </c>
      <c r="I11" s="3450">
        <v>129.93</v>
      </c>
      <c r="J11" s="3450">
        <v>136.1</v>
      </c>
      <c r="K11" s="3450">
        <v>126.61</v>
      </c>
      <c r="L11" s="3450">
        <v>126.9</v>
      </c>
      <c r="M11" s="3450">
        <v>124.17</v>
      </c>
      <c r="N11" s="3450">
        <v>134.94999999999999</v>
      </c>
    </row>
    <row r="12" spans="1:14">
      <c r="A12" s="3450" t="s">
        <v>3411</v>
      </c>
      <c r="B12" s="3451">
        <f t="shared" si="0"/>
        <v>128.6</v>
      </c>
      <c r="C12" s="3450">
        <v>101.07</v>
      </c>
      <c r="D12" s="3450">
        <v>106.2</v>
      </c>
      <c r="E12" s="3450">
        <v>105.64</v>
      </c>
      <c r="F12" s="3450">
        <v>102.29</v>
      </c>
      <c r="G12" s="3450">
        <v>96.36</v>
      </c>
      <c r="H12" s="3450">
        <v>119.23</v>
      </c>
      <c r="I12" s="3450">
        <v>127.9</v>
      </c>
      <c r="J12" s="3450">
        <v>121.74</v>
      </c>
      <c r="K12" s="3450">
        <v>145.85</v>
      </c>
      <c r="L12" s="3450">
        <v>177.04</v>
      </c>
      <c r="M12" s="3450">
        <v>167.35</v>
      </c>
      <c r="N12" s="3450">
        <v>172.01</v>
      </c>
    </row>
    <row r="13" spans="1:14">
      <c r="A13" s="3450" t="s">
        <v>3412</v>
      </c>
      <c r="B13" s="3466">
        <f t="shared" si="0"/>
        <v>132.80000000000001</v>
      </c>
      <c r="C13" s="3450">
        <v>125</v>
      </c>
      <c r="D13" s="3450">
        <v>122.38</v>
      </c>
      <c r="E13" s="3450">
        <v>128.68</v>
      </c>
      <c r="F13" s="3450">
        <v>124.1</v>
      </c>
      <c r="G13" s="3450">
        <v>123.52</v>
      </c>
      <c r="H13" s="3450">
        <v>142.82</v>
      </c>
      <c r="I13" s="3450">
        <v>144.99</v>
      </c>
      <c r="J13" s="3450">
        <v>139.5</v>
      </c>
      <c r="K13" s="3450">
        <v>134.30000000000001</v>
      </c>
      <c r="L13" s="3450">
        <v>140.33000000000001</v>
      </c>
      <c r="M13" s="3450">
        <v>136.26</v>
      </c>
      <c r="N13" s="3450">
        <v>131.88</v>
      </c>
    </row>
    <row r="14" spans="1:14">
      <c r="A14" s="3450" t="s">
        <v>3413</v>
      </c>
      <c r="B14" s="3451">
        <f t="shared" si="0"/>
        <v>124</v>
      </c>
      <c r="C14" s="3450">
        <v>127.09</v>
      </c>
      <c r="D14" s="3450">
        <v>131.09</v>
      </c>
      <c r="E14" s="3450">
        <v>137.35</v>
      </c>
      <c r="F14" s="3450">
        <v>138.79</v>
      </c>
      <c r="G14" s="3450">
        <v>134.57</v>
      </c>
      <c r="H14" s="3450">
        <v>132.04</v>
      </c>
      <c r="I14" s="3450">
        <v>130.04</v>
      </c>
      <c r="J14" s="3450">
        <v>113.52</v>
      </c>
      <c r="K14" s="3450">
        <v>108.36</v>
      </c>
      <c r="L14" s="3450">
        <v>106.7</v>
      </c>
      <c r="M14" s="3450">
        <v>112.02</v>
      </c>
      <c r="N14" s="3450">
        <v>116.32</v>
      </c>
    </row>
    <row r="15" spans="1:14">
      <c r="A15" s="3450" t="s">
        <v>3414</v>
      </c>
      <c r="B15" s="3451">
        <f t="shared" si="0"/>
        <v>146.69999999999999</v>
      </c>
      <c r="C15" s="3450">
        <v>152.69</v>
      </c>
      <c r="D15" s="3450">
        <v>161.82</v>
      </c>
      <c r="E15" s="3450">
        <v>154.44999999999999</v>
      </c>
      <c r="F15" s="3450">
        <v>136.61000000000001</v>
      </c>
      <c r="G15" s="3450">
        <v>168.35</v>
      </c>
      <c r="H15" s="3450">
        <v>158.72999999999999</v>
      </c>
      <c r="I15" s="3450">
        <v>147.28</v>
      </c>
      <c r="J15" s="3450">
        <v>150.86000000000001</v>
      </c>
      <c r="K15" s="3450">
        <v>125.55</v>
      </c>
      <c r="L15" s="3450">
        <v>124.23</v>
      </c>
      <c r="M15" s="3450">
        <v>127.17</v>
      </c>
      <c r="N15" s="3450">
        <v>152.43</v>
      </c>
    </row>
    <row r="16" spans="1:14">
      <c r="A16" s="3450" t="s">
        <v>3392</v>
      </c>
      <c r="B16" s="3451">
        <f t="shared" si="0"/>
        <v>168</v>
      </c>
      <c r="C16" s="3450">
        <v>167.26</v>
      </c>
      <c r="D16" s="3450">
        <v>178.83</v>
      </c>
      <c r="E16" s="3450">
        <v>159.81</v>
      </c>
      <c r="F16" s="3450">
        <v>162.57</v>
      </c>
      <c r="G16" s="3450">
        <v>165.2</v>
      </c>
      <c r="H16" s="3450">
        <v>176.07</v>
      </c>
      <c r="I16" s="3450">
        <v>175.39</v>
      </c>
      <c r="J16" s="3450">
        <v>175.75</v>
      </c>
      <c r="K16" s="3450">
        <v>173.25</v>
      </c>
      <c r="L16" s="3450">
        <v>164.68</v>
      </c>
      <c r="M16" s="3450">
        <v>160.71</v>
      </c>
      <c r="N16" s="3450">
        <v>156.84</v>
      </c>
    </row>
    <row r="17" spans="1:14">
      <c r="A17" s="3450" t="s">
        <v>3415</v>
      </c>
      <c r="B17" s="3451">
        <f t="shared" si="0"/>
        <v>140.80000000000001</v>
      </c>
      <c r="C17" s="3450">
        <v>138.35</v>
      </c>
      <c r="D17" s="3450">
        <v>135.32</v>
      </c>
      <c r="E17" s="3450">
        <v>135.32</v>
      </c>
      <c r="F17" s="3450">
        <v>128.59</v>
      </c>
      <c r="G17" s="3450">
        <v>146.31</v>
      </c>
      <c r="H17" s="3450">
        <v>146.31</v>
      </c>
      <c r="I17" s="3450">
        <v>146.31</v>
      </c>
      <c r="J17" s="3450">
        <v>150.37</v>
      </c>
      <c r="K17" s="3450">
        <v>146.31</v>
      </c>
      <c r="L17" s="3450">
        <v>139.44</v>
      </c>
      <c r="M17" s="3450">
        <v>136.01</v>
      </c>
    </row>
    <row r="18" spans="1:14">
      <c r="A18" s="3450" t="s">
        <v>3393</v>
      </c>
      <c r="B18" s="3451">
        <f t="shared" si="0"/>
        <v>168.8</v>
      </c>
      <c r="C18" s="3450">
        <v>180.93</v>
      </c>
      <c r="D18" s="3450">
        <v>172.33</v>
      </c>
      <c r="E18" s="3450">
        <v>177.29</v>
      </c>
      <c r="F18" s="3450">
        <v>176.98</v>
      </c>
      <c r="G18" s="3450">
        <v>171.94</v>
      </c>
      <c r="H18" s="3450">
        <v>170.69</v>
      </c>
      <c r="I18" s="3450">
        <v>168.73</v>
      </c>
      <c r="J18" s="3450">
        <v>163.31</v>
      </c>
      <c r="K18" s="3450">
        <v>157.88</v>
      </c>
      <c r="L18" s="3450">
        <v>156.32</v>
      </c>
      <c r="M18" s="3450">
        <v>164.51</v>
      </c>
      <c r="N18" s="3450">
        <v>164.85</v>
      </c>
    </row>
    <row r="19" spans="1:14">
      <c r="A19" s="3450" t="s">
        <v>3394</v>
      </c>
      <c r="B19" s="3451">
        <f t="shared" si="0"/>
        <v>112.4</v>
      </c>
      <c r="C19" s="3450">
        <v>112.39</v>
      </c>
      <c r="D19" s="3450">
        <v>112.39</v>
      </c>
    </row>
    <row r="20" spans="1:14">
      <c r="A20" s="3450" t="s">
        <v>3396</v>
      </c>
      <c r="B20" s="3814">
        <f t="shared" si="0"/>
        <v>125.8</v>
      </c>
      <c r="C20" s="3450">
        <v>145.52000000000001</v>
      </c>
      <c r="F20" s="3450">
        <v>113.8</v>
      </c>
      <c r="G20" s="3450">
        <v>115.91</v>
      </c>
      <c r="H20" s="3450">
        <v>121.51</v>
      </c>
      <c r="I20" s="3450">
        <v>123.26</v>
      </c>
      <c r="L20" s="3450">
        <v>130.85</v>
      </c>
      <c r="M20" s="3450">
        <v>130.85</v>
      </c>
      <c r="N20" s="3450">
        <v>124.87</v>
      </c>
    </row>
    <row r="21" spans="1:14">
      <c r="A21" s="3450" t="s">
        <v>3397</v>
      </c>
      <c r="B21" s="3451">
        <f t="shared" si="0"/>
        <v>156.6</v>
      </c>
      <c r="C21" s="3450">
        <v>146.36000000000001</v>
      </c>
      <c r="D21" s="3450">
        <v>145.82</v>
      </c>
      <c r="E21" s="3450">
        <v>149.91</v>
      </c>
      <c r="F21" s="3450">
        <v>158.41</v>
      </c>
      <c r="G21" s="3450">
        <v>162.24</v>
      </c>
      <c r="H21" s="3450">
        <v>154.80000000000001</v>
      </c>
      <c r="I21" s="3450">
        <v>163.04</v>
      </c>
      <c r="J21" s="3450">
        <v>161.97999999999999</v>
      </c>
      <c r="K21" s="3450">
        <v>157.16</v>
      </c>
      <c r="L21" s="3450">
        <v>160.51</v>
      </c>
      <c r="M21" s="3450">
        <v>158.25</v>
      </c>
      <c r="N21" s="3450">
        <v>160.99</v>
      </c>
    </row>
    <row r="22" spans="1:14">
      <c r="A22" s="3450" t="s">
        <v>3398</v>
      </c>
      <c r="B22" s="3451">
        <f t="shared" si="0"/>
        <v>256.7</v>
      </c>
      <c r="C22" s="3450">
        <v>256.67</v>
      </c>
      <c r="D22" s="3450">
        <v>256.67</v>
      </c>
      <c r="E22" s="3450">
        <v>256.67</v>
      </c>
      <c r="F22" s="3450">
        <v>256.67</v>
      </c>
      <c r="G22" s="3450">
        <v>256.67</v>
      </c>
      <c r="H22" s="3450">
        <v>256.67</v>
      </c>
      <c r="I22" s="3450">
        <v>256.67</v>
      </c>
      <c r="J22" s="3450">
        <v>256.67</v>
      </c>
      <c r="K22" s="3450">
        <v>256.67</v>
      </c>
      <c r="L22" s="3450">
        <v>256.67</v>
      </c>
      <c r="M22" s="3450">
        <v>256.67</v>
      </c>
      <c r="N22" s="3450">
        <v>256.67</v>
      </c>
    </row>
    <row r="23" spans="1:14">
      <c r="A23" s="3450" t="s">
        <v>3399</v>
      </c>
      <c r="B23" s="3451">
        <f t="shared" si="0"/>
        <v>147.6</v>
      </c>
      <c r="C23" s="3450">
        <v>145.46</v>
      </c>
      <c r="D23" s="3450">
        <v>154.58000000000001</v>
      </c>
      <c r="E23" s="3450">
        <v>158.43</v>
      </c>
      <c r="F23" s="3450">
        <v>162.44999999999999</v>
      </c>
      <c r="G23" s="3450">
        <v>152.79</v>
      </c>
      <c r="H23" s="3450">
        <v>141.71</v>
      </c>
      <c r="I23" s="3450">
        <v>133.28</v>
      </c>
      <c r="J23" s="3450">
        <v>132.94999999999999</v>
      </c>
      <c r="K23" s="3450">
        <v>140.97</v>
      </c>
      <c r="L23" s="3450">
        <v>141.69</v>
      </c>
      <c r="M23" s="3450">
        <v>153.85</v>
      </c>
      <c r="N23" s="3450">
        <v>153.13</v>
      </c>
    </row>
    <row r="24" spans="1:14">
      <c r="A24" s="3450" t="s">
        <v>3416</v>
      </c>
      <c r="B24" s="3466">
        <f t="shared" si="0"/>
        <v>131.6</v>
      </c>
      <c r="C24" s="3450">
        <v>134.66999999999999</v>
      </c>
      <c r="D24" s="3450">
        <v>134.13</v>
      </c>
      <c r="E24" s="3450">
        <v>126.17</v>
      </c>
      <c r="F24" s="3450">
        <v>126.36</v>
      </c>
      <c r="G24" s="3450">
        <v>125.79</v>
      </c>
      <c r="H24" s="3450">
        <v>128.66</v>
      </c>
      <c r="I24" s="3450">
        <v>129.65</v>
      </c>
      <c r="J24" s="3450">
        <v>130.44</v>
      </c>
      <c r="K24" s="3450">
        <v>132.82</v>
      </c>
      <c r="L24" s="3450">
        <v>135.71</v>
      </c>
      <c r="M24" s="3450">
        <v>134.63</v>
      </c>
      <c r="N24" s="3450">
        <v>139.69</v>
      </c>
    </row>
    <row r="25" spans="1:14">
      <c r="A25" s="3450" t="s">
        <v>3417</v>
      </c>
      <c r="B25" s="3451">
        <f t="shared" si="0"/>
        <v>170.9</v>
      </c>
      <c r="C25" s="3450">
        <v>167.94</v>
      </c>
      <c r="D25" s="3450">
        <v>166.37</v>
      </c>
      <c r="E25" s="3450">
        <v>164.58</v>
      </c>
      <c r="F25" s="3450">
        <v>164.7</v>
      </c>
      <c r="G25" s="3450">
        <v>166.73</v>
      </c>
      <c r="H25" s="3450">
        <v>168.64</v>
      </c>
      <c r="I25" s="3450">
        <v>166.43</v>
      </c>
      <c r="J25" s="3450">
        <v>168.72</v>
      </c>
      <c r="K25" s="3450">
        <v>180.49</v>
      </c>
      <c r="L25" s="3450">
        <v>186.65</v>
      </c>
      <c r="M25" s="3450">
        <v>177.4</v>
      </c>
      <c r="N25" s="3450">
        <v>172.39</v>
      </c>
    </row>
    <row r="26" spans="1:14">
      <c r="A26" s="3450" t="s">
        <v>3400</v>
      </c>
      <c r="B26" s="3451">
        <f t="shared" si="0"/>
        <v>150.19999999999999</v>
      </c>
      <c r="C26" s="3450">
        <v>152.12</v>
      </c>
      <c r="D26" s="3450">
        <v>147.97999999999999</v>
      </c>
      <c r="E26" s="3450">
        <v>145.30000000000001</v>
      </c>
      <c r="F26" s="3450">
        <v>144.4</v>
      </c>
      <c r="G26" s="3450">
        <v>151.33000000000001</v>
      </c>
      <c r="H26" s="3450">
        <v>148.79</v>
      </c>
      <c r="I26" s="3450">
        <v>149.88999999999999</v>
      </c>
      <c r="J26" s="3450">
        <v>150.88999999999999</v>
      </c>
      <c r="K26" s="3450">
        <v>147.21</v>
      </c>
      <c r="L26" s="3450">
        <v>150.1</v>
      </c>
      <c r="M26" s="3450">
        <v>157.25</v>
      </c>
      <c r="N26" s="3450">
        <v>157.38</v>
      </c>
    </row>
    <row r="27" spans="1:14">
      <c r="A27" s="3450" t="s">
        <v>3418</v>
      </c>
      <c r="B27" s="3451">
        <f t="shared" si="0"/>
        <v>165.4</v>
      </c>
      <c r="C27" s="3450">
        <v>144.85</v>
      </c>
      <c r="D27" s="3450">
        <v>153.03</v>
      </c>
      <c r="E27" s="3450">
        <v>170.85</v>
      </c>
      <c r="F27" s="3450">
        <v>185.82</v>
      </c>
      <c r="G27" s="3450">
        <v>191.94</v>
      </c>
      <c r="H27" s="3450">
        <v>173.14</v>
      </c>
      <c r="I27" s="3450">
        <v>159.44</v>
      </c>
      <c r="J27" s="3450">
        <v>159.6</v>
      </c>
      <c r="K27" s="3450">
        <v>160.19</v>
      </c>
      <c r="L27" s="3450">
        <v>157.26</v>
      </c>
      <c r="M27" s="3450">
        <v>161.53</v>
      </c>
      <c r="N27" s="3450">
        <v>167.34</v>
      </c>
    </row>
    <row r="28" spans="1:14">
      <c r="A28" s="3450" t="s">
        <v>3419</v>
      </c>
      <c r="B28" s="3466">
        <f t="shared" si="0"/>
        <v>134.69999999999999</v>
      </c>
      <c r="C28" s="3450">
        <v>138.93</v>
      </c>
      <c r="D28" s="3450">
        <v>138.71</v>
      </c>
      <c r="E28" s="3450">
        <v>139.88</v>
      </c>
      <c r="F28" s="3450">
        <v>132.41</v>
      </c>
      <c r="G28" s="3450">
        <v>121.07</v>
      </c>
      <c r="H28" s="3450">
        <v>122.53</v>
      </c>
      <c r="I28" s="3450">
        <v>124.06</v>
      </c>
      <c r="J28" s="3450">
        <v>125.51</v>
      </c>
      <c r="K28" s="3450">
        <v>128.78</v>
      </c>
      <c r="L28" s="3450">
        <v>150.69</v>
      </c>
      <c r="M28" s="3450">
        <v>145.1</v>
      </c>
      <c r="N28" s="3450">
        <v>148.66</v>
      </c>
    </row>
    <row r="29" spans="1:14" s="3458" customFormat="1">
      <c r="A29" s="3458" t="s">
        <v>3510</v>
      </c>
      <c r="B29" s="3451">
        <f t="shared" si="0"/>
        <v>44.1</v>
      </c>
      <c r="C29" s="3458">
        <v>44.05</v>
      </c>
      <c r="D29" s="3458">
        <v>44.05</v>
      </c>
      <c r="E29" s="3458">
        <v>44.05</v>
      </c>
      <c r="F29" s="3458">
        <v>44.05</v>
      </c>
      <c r="G29" s="3458">
        <v>44.05</v>
      </c>
      <c r="H29" s="3458">
        <v>44.05</v>
      </c>
      <c r="I29" s="3458">
        <v>44.05</v>
      </c>
      <c r="J29" s="3458">
        <v>44.05</v>
      </c>
      <c r="K29" s="3458">
        <v>44.05</v>
      </c>
      <c r="L29" s="3458">
        <v>44.05</v>
      </c>
      <c r="M29" s="3458">
        <v>44.05</v>
      </c>
      <c r="N29" s="3458">
        <v>44.05</v>
      </c>
    </row>
    <row r="30" spans="1:14" s="3458" customFormat="1">
      <c r="A30" s="3458" t="s">
        <v>3420</v>
      </c>
      <c r="B30" s="3451">
        <f t="shared" si="0"/>
        <v>146.69999999999999</v>
      </c>
      <c r="C30" s="3458">
        <v>153.53</v>
      </c>
      <c r="D30" s="3458">
        <v>149.91999999999999</v>
      </c>
      <c r="E30" s="3458">
        <v>138.69999999999999</v>
      </c>
      <c r="F30" s="3458">
        <v>129.44</v>
      </c>
      <c r="G30" s="3458">
        <v>131.72999999999999</v>
      </c>
      <c r="H30" s="3458">
        <v>140.68</v>
      </c>
      <c r="I30" s="3458">
        <v>140.12</v>
      </c>
      <c r="J30" s="3458">
        <v>138.85</v>
      </c>
      <c r="K30" s="3458">
        <v>144.78</v>
      </c>
      <c r="L30" s="3458">
        <v>151.91999999999999</v>
      </c>
      <c r="M30" s="3458">
        <v>166.46</v>
      </c>
      <c r="N30" s="3458">
        <v>174.49</v>
      </c>
    </row>
    <row r="31" spans="1:14" s="3458" customFormat="1">
      <c r="A31" s="3458" t="s">
        <v>3421</v>
      </c>
      <c r="B31" s="3451">
        <f t="shared" si="0"/>
        <v>185</v>
      </c>
      <c r="C31" s="3458">
        <v>175.84</v>
      </c>
      <c r="D31" s="3458">
        <v>173.61</v>
      </c>
      <c r="E31" s="3458">
        <v>174.24</v>
      </c>
      <c r="F31" s="3458">
        <v>193.01</v>
      </c>
      <c r="G31" s="3458">
        <v>190.93</v>
      </c>
      <c r="H31" s="3458">
        <v>187.93</v>
      </c>
      <c r="I31" s="3458">
        <v>193.41</v>
      </c>
      <c r="J31" s="3458">
        <v>193.95</v>
      </c>
      <c r="K31" s="3458">
        <v>189.72</v>
      </c>
      <c r="L31" s="3458">
        <v>184.06</v>
      </c>
      <c r="M31" s="3458">
        <v>181.26</v>
      </c>
      <c r="N31" s="3458">
        <v>181.81</v>
      </c>
    </row>
    <row r="32" spans="1:14" s="3458" customFormat="1">
      <c r="A32" s="3458" t="s">
        <v>3422</v>
      </c>
      <c r="B32" s="3451">
        <f t="shared" si="0"/>
        <v>153.19999999999999</v>
      </c>
      <c r="C32" s="3458">
        <v>156.88</v>
      </c>
      <c r="D32" s="3458">
        <v>158.69</v>
      </c>
      <c r="E32" s="3458">
        <v>158.19</v>
      </c>
      <c r="F32" s="3458">
        <v>160.1</v>
      </c>
      <c r="G32" s="3458">
        <v>137.84</v>
      </c>
      <c r="H32" s="3458">
        <v>145.93</v>
      </c>
      <c r="I32" s="3458">
        <v>152.05000000000001</v>
      </c>
      <c r="J32" s="3458">
        <v>157.12</v>
      </c>
      <c r="K32" s="3458">
        <v>157.65</v>
      </c>
      <c r="L32" s="3458">
        <v>156.53</v>
      </c>
      <c r="M32" s="3458">
        <v>148.97999999999999</v>
      </c>
      <c r="N32" s="3458">
        <v>148.46</v>
      </c>
    </row>
    <row r="33" spans="1:14" s="3458" customFormat="1">
      <c r="A33" s="3458" t="s">
        <v>3423</v>
      </c>
      <c r="B33" s="3451">
        <f t="shared" si="0"/>
        <v>177.3</v>
      </c>
      <c r="C33" s="3458">
        <v>169.01</v>
      </c>
      <c r="D33" s="3458">
        <v>181.97</v>
      </c>
      <c r="E33" s="3458">
        <v>193.87</v>
      </c>
      <c r="F33" s="3458">
        <v>204.99</v>
      </c>
      <c r="G33" s="3458">
        <v>202.38</v>
      </c>
      <c r="H33" s="3458">
        <v>188.93</v>
      </c>
      <c r="I33" s="3458">
        <v>169.09</v>
      </c>
      <c r="J33" s="3458">
        <v>154.93</v>
      </c>
      <c r="K33" s="3458">
        <v>151.22</v>
      </c>
      <c r="L33" s="3458">
        <v>167.45</v>
      </c>
      <c r="M33" s="3458">
        <v>173.25</v>
      </c>
      <c r="N33" s="3458">
        <v>170.54</v>
      </c>
    </row>
    <row r="34" spans="1:14" s="3458" customFormat="1">
      <c r="A34" s="3458" t="s">
        <v>3424</v>
      </c>
      <c r="B34" s="3451">
        <f t="shared" si="0"/>
        <v>175.8</v>
      </c>
      <c r="C34" s="3458">
        <v>174.08</v>
      </c>
      <c r="D34" s="3458">
        <v>182.39</v>
      </c>
      <c r="E34" s="3458">
        <v>184.6</v>
      </c>
      <c r="F34" s="3458">
        <v>193.88</v>
      </c>
      <c r="G34" s="3458">
        <v>186.12</v>
      </c>
      <c r="H34" s="3458">
        <v>178.7</v>
      </c>
      <c r="I34" s="3458">
        <v>181.1</v>
      </c>
      <c r="J34" s="3458">
        <v>172.81</v>
      </c>
      <c r="K34" s="3458">
        <v>169.22</v>
      </c>
      <c r="L34" s="3458">
        <v>165.02</v>
      </c>
      <c r="M34" s="3458">
        <v>163.47999999999999</v>
      </c>
      <c r="N34" s="3458">
        <v>157.82</v>
      </c>
    </row>
    <row r="35" spans="1:14" s="3458" customFormat="1">
      <c r="A35" s="3458" t="s">
        <v>3425</v>
      </c>
      <c r="B35" s="3451">
        <f t="shared" si="0"/>
        <v>151.69999999999999</v>
      </c>
      <c r="C35" s="3458">
        <v>154.55000000000001</v>
      </c>
      <c r="D35" s="3458">
        <v>145.91</v>
      </c>
      <c r="E35" s="3458">
        <v>144.09</v>
      </c>
      <c r="F35" s="3458">
        <v>159.66</v>
      </c>
      <c r="G35" s="3458">
        <v>159.07</v>
      </c>
      <c r="H35" s="3458">
        <v>144.88999999999999</v>
      </c>
      <c r="I35" s="3458">
        <v>142.56</v>
      </c>
      <c r="J35" s="3458">
        <v>162.27000000000001</v>
      </c>
      <c r="K35" s="3458">
        <v>159.91999999999999</v>
      </c>
      <c r="L35" s="3458">
        <v>144.01</v>
      </c>
    </row>
    <row r="36" spans="1:14" s="3458" customFormat="1">
      <c r="A36" s="3458" t="s">
        <v>3426</v>
      </c>
      <c r="B36" s="3451">
        <f t="shared" si="0"/>
        <v>138.1</v>
      </c>
      <c r="H36" s="3458">
        <v>128.57</v>
      </c>
      <c r="I36" s="3458">
        <v>128.57</v>
      </c>
      <c r="J36" s="3458">
        <v>116.67</v>
      </c>
      <c r="K36" s="3458">
        <v>158.33000000000001</v>
      </c>
      <c r="L36" s="3458">
        <v>158.33000000000001</v>
      </c>
    </row>
    <row r="37" spans="1:14" s="3458" customFormat="1">
      <c r="A37" s="3458" t="s">
        <v>3427</v>
      </c>
      <c r="B37" s="3451">
        <f t="shared" si="0"/>
        <v>149.80000000000001</v>
      </c>
      <c r="C37" s="3458">
        <v>168.9</v>
      </c>
      <c r="D37" s="3458">
        <v>161.78</v>
      </c>
      <c r="E37" s="3458">
        <v>144.41</v>
      </c>
      <c r="F37" s="3458">
        <v>139.41</v>
      </c>
      <c r="G37" s="3458">
        <v>140.96</v>
      </c>
      <c r="H37" s="3458">
        <v>145.91999999999999</v>
      </c>
      <c r="I37" s="3458">
        <v>143.38</v>
      </c>
      <c r="J37" s="3458">
        <v>143.22</v>
      </c>
      <c r="K37" s="3458">
        <v>147.22999999999999</v>
      </c>
      <c r="L37" s="3458">
        <v>150.35</v>
      </c>
      <c r="M37" s="3458">
        <v>157.02000000000001</v>
      </c>
      <c r="N37" s="3458">
        <v>154.87</v>
      </c>
    </row>
    <row r="38" spans="1:14" s="3458" customFormat="1">
      <c r="A38" s="3458" t="s">
        <v>3428</v>
      </c>
      <c r="B38" s="3451">
        <f t="shared" si="0"/>
        <v>139</v>
      </c>
      <c r="C38" s="3458">
        <v>136.66999999999999</v>
      </c>
      <c r="D38" s="3458">
        <v>136.87</v>
      </c>
      <c r="E38" s="3458">
        <v>139.04</v>
      </c>
      <c r="F38" s="3458">
        <v>142.13</v>
      </c>
      <c r="G38" s="3458">
        <v>145.63</v>
      </c>
      <c r="H38" s="3458">
        <v>139.68</v>
      </c>
      <c r="I38" s="3458">
        <v>136.61000000000001</v>
      </c>
      <c r="J38" s="3458">
        <v>135.38</v>
      </c>
      <c r="K38" s="3458">
        <v>136.61000000000001</v>
      </c>
      <c r="L38" s="3458">
        <v>137.41999999999999</v>
      </c>
      <c r="M38" s="3458">
        <v>140.19</v>
      </c>
      <c r="N38" s="3458">
        <v>142.01</v>
      </c>
    </row>
    <row r="39" spans="1:14" s="3458" customFormat="1">
      <c r="A39" s="3458" t="s">
        <v>3429</v>
      </c>
      <c r="B39" s="3451">
        <f t="shared" si="0"/>
        <v>146</v>
      </c>
      <c r="C39" s="3458">
        <v>149.58000000000001</v>
      </c>
      <c r="D39" s="3458">
        <v>140.88999999999999</v>
      </c>
      <c r="E39" s="3458">
        <v>138.13999999999999</v>
      </c>
      <c r="F39" s="3458">
        <v>136.86000000000001</v>
      </c>
      <c r="G39" s="3458">
        <v>136.66999999999999</v>
      </c>
      <c r="H39" s="3458">
        <v>137.78</v>
      </c>
      <c r="I39" s="3458">
        <v>144.35</v>
      </c>
      <c r="J39" s="3458">
        <v>156.99</v>
      </c>
      <c r="K39" s="3458">
        <v>161.47999999999999</v>
      </c>
      <c r="L39" s="3458">
        <v>152.57</v>
      </c>
      <c r="M39" s="3458">
        <v>148.36000000000001</v>
      </c>
      <c r="N39" s="3458">
        <v>148.72999999999999</v>
      </c>
    </row>
    <row r="40" spans="1:14" s="3458" customFormat="1">
      <c r="A40" s="3458" t="s">
        <v>3430</v>
      </c>
      <c r="B40" s="3451">
        <f t="shared" si="0"/>
        <v>125.6</v>
      </c>
      <c r="C40" s="3458">
        <v>124.42</v>
      </c>
      <c r="D40" s="3458">
        <v>124.42</v>
      </c>
      <c r="E40" s="3458">
        <v>124.42</v>
      </c>
      <c r="F40" s="3458">
        <v>129.94999999999999</v>
      </c>
      <c r="G40" s="3458">
        <v>126.46</v>
      </c>
      <c r="H40" s="3458">
        <v>138.6</v>
      </c>
      <c r="I40" s="3458">
        <v>140.11000000000001</v>
      </c>
      <c r="J40" s="3458">
        <v>123.94</v>
      </c>
      <c r="K40" s="3458">
        <v>124.33</v>
      </c>
      <c r="L40" s="3458">
        <v>119.75</v>
      </c>
      <c r="M40" s="3458">
        <v>118.81</v>
      </c>
      <c r="N40" s="3458">
        <v>112.21</v>
      </c>
    </row>
    <row r="41" spans="1:14" s="3458" customFormat="1">
      <c r="A41" s="3458" t="s">
        <v>3431</v>
      </c>
      <c r="B41" s="3451">
        <f t="shared" si="0"/>
        <v>129.9</v>
      </c>
      <c r="C41" s="3458">
        <v>124.8</v>
      </c>
      <c r="D41" s="3458">
        <v>127.47</v>
      </c>
      <c r="E41" s="3458">
        <v>128.71</v>
      </c>
      <c r="F41" s="3458">
        <v>131.51</v>
      </c>
      <c r="G41" s="3458">
        <v>132.32</v>
      </c>
      <c r="H41" s="3458">
        <v>133.19</v>
      </c>
      <c r="I41" s="3458">
        <v>127.61</v>
      </c>
      <c r="J41" s="3458">
        <v>128.47</v>
      </c>
      <c r="K41" s="3458">
        <v>126.77</v>
      </c>
      <c r="L41" s="3458">
        <v>131.25</v>
      </c>
      <c r="M41" s="3458">
        <v>138.57</v>
      </c>
      <c r="N41" s="3458">
        <v>128.05000000000001</v>
      </c>
    </row>
    <row r="42" spans="1:14" s="3458" customFormat="1">
      <c r="A42" s="3458" t="s">
        <v>3432</v>
      </c>
      <c r="B42" s="3451" t="e">
        <f t="shared" si="0"/>
        <v>#DIV/0!</v>
      </c>
    </row>
    <row r="43" spans="1:14" s="3458" customFormat="1">
      <c r="A43" s="3458" t="s">
        <v>3433</v>
      </c>
      <c r="B43" s="3451">
        <f t="shared" si="0"/>
        <v>110.8</v>
      </c>
      <c r="C43" s="3458">
        <v>126.97</v>
      </c>
      <c r="D43" s="3458">
        <v>124.29</v>
      </c>
      <c r="E43" s="3458">
        <v>129.36000000000001</v>
      </c>
      <c r="F43" s="3458">
        <v>124.63</v>
      </c>
      <c r="G43" s="3458">
        <v>122.37</v>
      </c>
      <c r="H43" s="3458">
        <v>129.30000000000001</v>
      </c>
      <c r="I43" s="3458">
        <v>139.33000000000001</v>
      </c>
      <c r="J43" s="3458">
        <v>150.22</v>
      </c>
      <c r="K43" s="3458">
        <v>30.69</v>
      </c>
      <c r="L43" s="3458">
        <v>30.69</v>
      </c>
    </row>
    <row r="44" spans="1:14" s="3458" customFormat="1">
      <c r="A44" s="3458" t="s">
        <v>3434</v>
      </c>
      <c r="B44" s="3451">
        <f t="shared" si="0"/>
        <v>122.6</v>
      </c>
      <c r="C44" s="3458">
        <v>134.30000000000001</v>
      </c>
      <c r="D44" s="3458">
        <v>131.13999999999999</v>
      </c>
      <c r="E44" s="3458">
        <v>127.16</v>
      </c>
      <c r="F44" s="3458">
        <v>120.52</v>
      </c>
      <c r="G44" s="3458">
        <v>120.03</v>
      </c>
      <c r="H44" s="3458">
        <v>121.65</v>
      </c>
      <c r="I44" s="3458">
        <v>113.46</v>
      </c>
      <c r="J44" s="3458">
        <v>108.61</v>
      </c>
      <c r="K44" s="3458">
        <v>113.28</v>
      </c>
      <c r="L44" s="3458">
        <v>118.18</v>
      </c>
      <c r="M44" s="3458">
        <v>130.91999999999999</v>
      </c>
      <c r="N44" s="3458">
        <v>131.75</v>
      </c>
    </row>
    <row r="45" spans="1:14" s="3458" customFormat="1">
      <c r="A45" s="3458" t="s">
        <v>3435</v>
      </c>
      <c r="B45" s="3451">
        <f t="shared" si="0"/>
        <v>168.9</v>
      </c>
      <c r="C45" s="3458">
        <v>162.77000000000001</v>
      </c>
      <c r="D45" s="3458">
        <v>163.63</v>
      </c>
      <c r="E45" s="3458">
        <v>163.46</v>
      </c>
      <c r="F45" s="3458">
        <v>168.46</v>
      </c>
      <c r="G45" s="3458">
        <v>170.11</v>
      </c>
      <c r="H45" s="3458">
        <v>168.9</v>
      </c>
      <c r="I45" s="3458">
        <v>171.92</v>
      </c>
      <c r="J45" s="3458">
        <v>175.15</v>
      </c>
      <c r="K45" s="3458">
        <v>175.65</v>
      </c>
      <c r="L45" s="3458">
        <v>175.47</v>
      </c>
      <c r="M45" s="3458">
        <v>168.74</v>
      </c>
      <c r="N45" s="3458">
        <v>162.25</v>
      </c>
    </row>
    <row r="46" spans="1:14" s="3458" customFormat="1">
      <c r="A46" s="3458" t="s">
        <v>3436</v>
      </c>
      <c r="B46" s="3451" t="e">
        <f t="shared" si="0"/>
        <v>#DIV/0!</v>
      </c>
    </row>
    <row r="47" spans="1:14" s="3458" customFormat="1">
      <c r="A47" s="3458" t="s">
        <v>3437</v>
      </c>
      <c r="B47" s="3451">
        <f t="shared" si="0"/>
        <v>110.3</v>
      </c>
      <c r="N47" s="3458">
        <v>110.28</v>
      </c>
    </row>
    <row r="48" spans="1:14" s="3458" customFormat="1">
      <c r="A48" s="3458" t="s">
        <v>3438</v>
      </c>
      <c r="B48" s="3451">
        <f t="shared" si="0"/>
        <v>148.19999999999999</v>
      </c>
      <c r="C48" s="3458">
        <v>156.16999999999999</v>
      </c>
      <c r="D48" s="3458">
        <v>160.07</v>
      </c>
      <c r="E48" s="3458">
        <v>143.72999999999999</v>
      </c>
      <c r="F48" s="3458">
        <v>145.01</v>
      </c>
      <c r="G48" s="3458">
        <v>146.51</v>
      </c>
      <c r="H48" s="3458">
        <v>139.72</v>
      </c>
      <c r="I48" s="3458">
        <v>145.74</v>
      </c>
      <c r="J48" s="3458">
        <v>151.29</v>
      </c>
      <c r="K48" s="3458">
        <v>149.04</v>
      </c>
      <c r="L48" s="3458">
        <v>146.07</v>
      </c>
      <c r="M48" s="3458">
        <v>145.03</v>
      </c>
      <c r="N48" s="3458">
        <v>149.58000000000001</v>
      </c>
    </row>
    <row r="49" spans="1:14" s="3458" customFormat="1">
      <c r="A49" s="3458" t="s">
        <v>3439</v>
      </c>
      <c r="B49" s="3451">
        <f t="shared" si="0"/>
        <v>159.6</v>
      </c>
      <c r="C49" s="3458">
        <v>216.64</v>
      </c>
      <c r="D49" s="3458">
        <v>246.05</v>
      </c>
      <c r="E49" s="3458">
        <v>197.71</v>
      </c>
      <c r="F49" s="3458">
        <v>141.44999999999999</v>
      </c>
      <c r="G49" s="3458">
        <v>141.44999999999999</v>
      </c>
      <c r="H49" s="3458">
        <v>139.47999999999999</v>
      </c>
      <c r="I49" s="3458">
        <v>139.47999999999999</v>
      </c>
      <c r="J49" s="3458">
        <v>145.94999999999999</v>
      </c>
      <c r="K49" s="3458">
        <v>126.63</v>
      </c>
      <c r="L49" s="3458">
        <v>124.82</v>
      </c>
      <c r="M49" s="3458">
        <v>139.49</v>
      </c>
      <c r="N49" s="3458">
        <v>156.26</v>
      </c>
    </row>
    <row r="50" spans="1:14" s="3458" customFormat="1">
      <c r="A50" s="3458" t="s">
        <v>3440</v>
      </c>
      <c r="B50" s="3451">
        <f t="shared" si="0"/>
        <v>129.1</v>
      </c>
      <c r="C50" s="3458">
        <v>124.99</v>
      </c>
      <c r="D50" s="3458">
        <v>127.06</v>
      </c>
      <c r="E50" s="3458">
        <v>127.42</v>
      </c>
      <c r="F50" s="3458">
        <v>129.93</v>
      </c>
      <c r="G50" s="3458">
        <v>132.69999999999999</v>
      </c>
      <c r="H50" s="3458">
        <v>132.87</v>
      </c>
      <c r="I50" s="3458">
        <v>136.12</v>
      </c>
      <c r="J50" s="3458">
        <v>133.79</v>
      </c>
      <c r="K50" s="3458">
        <v>133.04</v>
      </c>
      <c r="L50" s="3458">
        <v>133.47999999999999</v>
      </c>
      <c r="M50" s="3458">
        <v>117.19</v>
      </c>
      <c r="N50" s="3458">
        <v>121.03</v>
      </c>
    </row>
    <row r="51" spans="1:14" s="3458" customFormat="1">
      <c r="A51" s="3458" t="s">
        <v>3441</v>
      </c>
      <c r="B51" s="3451">
        <f t="shared" si="0"/>
        <v>137</v>
      </c>
      <c r="C51" s="3458">
        <v>138.11000000000001</v>
      </c>
      <c r="D51" s="3458">
        <v>138.02000000000001</v>
      </c>
      <c r="E51" s="3458">
        <v>131.65</v>
      </c>
      <c r="F51" s="3458">
        <v>136.59</v>
      </c>
      <c r="G51" s="3458">
        <v>136.85</v>
      </c>
      <c r="H51" s="3458">
        <v>133.35</v>
      </c>
      <c r="I51" s="3458">
        <v>131.58000000000001</v>
      </c>
      <c r="J51" s="3458">
        <v>133.4</v>
      </c>
      <c r="K51" s="3458">
        <v>140.93</v>
      </c>
      <c r="L51" s="3458">
        <v>141.85</v>
      </c>
      <c r="M51" s="3458">
        <v>141.38</v>
      </c>
      <c r="N51" s="3458">
        <v>140.16999999999999</v>
      </c>
    </row>
    <row r="52" spans="1:14" s="3458" customFormat="1">
      <c r="A52" s="3458" t="s">
        <v>3442</v>
      </c>
      <c r="B52" s="3451">
        <f t="shared" si="0"/>
        <v>41.9</v>
      </c>
      <c r="N52" s="3458">
        <v>41.94</v>
      </c>
    </row>
    <row r="53" spans="1:14" s="3458" customFormat="1">
      <c r="A53" s="3458" t="s">
        <v>3443</v>
      </c>
      <c r="B53" s="3451">
        <f t="shared" si="0"/>
        <v>165.8</v>
      </c>
      <c r="C53" s="3458">
        <v>165.25</v>
      </c>
      <c r="D53" s="3458">
        <v>164.85</v>
      </c>
      <c r="E53" s="3458">
        <v>165.59</v>
      </c>
      <c r="F53" s="3458">
        <v>169.07</v>
      </c>
      <c r="G53" s="3458">
        <v>171.67</v>
      </c>
      <c r="H53" s="3458">
        <v>171.67</v>
      </c>
      <c r="I53" s="3458">
        <v>165.59</v>
      </c>
      <c r="J53" s="3458">
        <v>152.97999999999999</v>
      </c>
      <c r="K53" s="3458">
        <v>168.05</v>
      </c>
      <c r="L53" s="3458">
        <v>162.55000000000001</v>
      </c>
      <c r="M53" s="3458">
        <v>165.02</v>
      </c>
      <c r="N53" s="3458">
        <v>167.67</v>
      </c>
    </row>
    <row r="54" spans="1:14" s="3458" customFormat="1">
      <c r="A54" s="3458" t="s">
        <v>3444</v>
      </c>
      <c r="B54" s="3451">
        <f t="shared" si="0"/>
        <v>158</v>
      </c>
      <c r="C54" s="3458">
        <v>155.21</v>
      </c>
      <c r="D54" s="3458">
        <v>156.27000000000001</v>
      </c>
      <c r="E54" s="3458">
        <v>156.51</v>
      </c>
      <c r="F54" s="3458">
        <v>150.09</v>
      </c>
      <c r="G54" s="3458">
        <v>144.52000000000001</v>
      </c>
      <c r="H54" s="3458">
        <v>154.37</v>
      </c>
      <c r="I54" s="3458">
        <v>156.97</v>
      </c>
      <c r="J54" s="3458">
        <v>154.91999999999999</v>
      </c>
      <c r="K54" s="3458">
        <v>164.7</v>
      </c>
      <c r="L54" s="3458">
        <v>169.8</v>
      </c>
      <c r="M54" s="3458">
        <v>166.25</v>
      </c>
      <c r="N54" s="3458">
        <v>166.51</v>
      </c>
    </row>
    <row r="55" spans="1:14" s="3458" customFormat="1">
      <c r="A55" s="3458" t="s">
        <v>3445</v>
      </c>
      <c r="B55" s="3451">
        <f t="shared" si="0"/>
        <v>144.80000000000001</v>
      </c>
      <c r="C55" s="3458">
        <v>141.04</v>
      </c>
      <c r="D55" s="3458">
        <v>146.66</v>
      </c>
      <c r="E55" s="3458">
        <v>149.56</v>
      </c>
      <c r="F55" s="3458">
        <v>145.75</v>
      </c>
      <c r="G55" s="3458">
        <v>142.74</v>
      </c>
      <c r="H55" s="3458">
        <v>141.27000000000001</v>
      </c>
      <c r="I55" s="3458">
        <v>139.83000000000001</v>
      </c>
      <c r="J55" s="3458">
        <v>142.08000000000001</v>
      </c>
      <c r="K55" s="3458">
        <v>140.86000000000001</v>
      </c>
      <c r="L55" s="3458">
        <v>150.25</v>
      </c>
      <c r="M55" s="3458">
        <v>149.24</v>
      </c>
      <c r="N55" s="3458">
        <v>147.72999999999999</v>
      </c>
    </row>
    <row r="56" spans="1:14" s="3458" customFormat="1">
      <c r="A56" s="3458" t="s">
        <v>3446</v>
      </c>
      <c r="B56" s="3451">
        <f t="shared" si="0"/>
        <v>152.1</v>
      </c>
      <c r="C56" s="3458">
        <v>151.44999999999999</v>
      </c>
      <c r="D56" s="3458">
        <v>151.02000000000001</v>
      </c>
      <c r="E56" s="3458">
        <v>144.04</v>
      </c>
      <c r="F56" s="3458">
        <v>145.13</v>
      </c>
      <c r="G56" s="3458">
        <v>148.07</v>
      </c>
      <c r="H56" s="3458">
        <v>150.82</v>
      </c>
      <c r="I56" s="3458">
        <v>151.59</v>
      </c>
      <c r="J56" s="3458">
        <v>149.16</v>
      </c>
      <c r="K56" s="3458">
        <v>153.1</v>
      </c>
      <c r="L56" s="3458">
        <v>156.25</v>
      </c>
      <c r="M56" s="3458">
        <v>162.83000000000001</v>
      </c>
      <c r="N56" s="3458">
        <v>161.63</v>
      </c>
    </row>
    <row r="57" spans="1:14" s="3458" customFormat="1">
      <c r="A57" s="3458" t="s">
        <v>3447</v>
      </c>
      <c r="B57" s="3451">
        <f t="shared" si="0"/>
        <v>206.1</v>
      </c>
      <c r="C57" s="3458">
        <v>257</v>
      </c>
      <c r="D57" s="3458">
        <v>194.97</v>
      </c>
      <c r="E57" s="3458">
        <v>184.51</v>
      </c>
      <c r="F57" s="3458">
        <v>210.3</v>
      </c>
      <c r="G57" s="3458">
        <v>238.37</v>
      </c>
      <c r="H57" s="3458">
        <v>209.25</v>
      </c>
      <c r="I57" s="3458">
        <v>209.25</v>
      </c>
      <c r="J57" s="3458">
        <v>213.2</v>
      </c>
      <c r="K57" s="3458">
        <v>188.02</v>
      </c>
      <c r="L57" s="3458">
        <v>171.86</v>
      </c>
      <c r="M57" s="3458">
        <v>176.14</v>
      </c>
      <c r="N57" s="3458">
        <v>220.21</v>
      </c>
    </row>
    <row r="58" spans="1:14" s="3458" customFormat="1">
      <c r="A58" s="3458" t="s">
        <v>3448</v>
      </c>
      <c r="B58" s="3451">
        <f t="shared" si="0"/>
        <v>170.9</v>
      </c>
      <c r="C58" s="3458">
        <v>165.31</v>
      </c>
      <c r="D58" s="3458">
        <v>175.44</v>
      </c>
      <c r="E58" s="3458">
        <v>171.18</v>
      </c>
      <c r="F58" s="3458">
        <v>166.98</v>
      </c>
      <c r="G58" s="3458">
        <v>170.36</v>
      </c>
      <c r="H58" s="3458">
        <v>170.68</v>
      </c>
      <c r="I58" s="3458">
        <v>172.12</v>
      </c>
      <c r="J58" s="3458">
        <v>172.65</v>
      </c>
      <c r="K58" s="3458">
        <v>172.17</v>
      </c>
      <c r="L58" s="3458">
        <v>173.32</v>
      </c>
      <c r="M58" s="3458">
        <v>172.38</v>
      </c>
      <c r="N58" s="3458">
        <v>168.49</v>
      </c>
    </row>
    <row r="59" spans="1:14" s="3458" customFormat="1">
      <c r="A59" s="3458" t="s">
        <v>3449</v>
      </c>
      <c r="B59" s="3451">
        <f t="shared" si="0"/>
        <v>133.30000000000001</v>
      </c>
      <c r="C59" s="3458">
        <v>128.56</v>
      </c>
      <c r="D59" s="3458">
        <v>130.19999999999999</v>
      </c>
      <c r="E59" s="3458">
        <v>132.97</v>
      </c>
      <c r="F59" s="3458">
        <v>138.71</v>
      </c>
      <c r="G59" s="3458">
        <v>135.47</v>
      </c>
      <c r="H59" s="3458">
        <v>131.28</v>
      </c>
      <c r="I59" s="3458">
        <v>129.93</v>
      </c>
      <c r="J59" s="3458">
        <v>132.74</v>
      </c>
      <c r="K59" s="3458">
        <v>132.08000000000001</v>
      </c>
      <c r="L59" s="3458">
        <v>134.57</v>
      </c>
      <c r="M59" s="3458">
        <v>136.15</v>
      </c>
      <c r="N59" s="3458">
        <v>137.22</v>
      </c>
    </row>
    <row r="60" spans="1:14" s="3458" customFormat="1">
      <c r="A60" s="3458" t="s">
        <v>3450</v>
      </c>
      <c r="B60" s="3451">
        <f t="shared" si="0"/>
        <v>133</v>
      </c>
      <c r="C60" s="3458">
        <v>84.34</v>
      </c>
      <c r="D60" s="3458">
        <v>121.41</v>
      </c>
      <c r="E60" s="3458">
        <v>139.04</v>
      </c>
      <c r="F60" s="3458">
        <v>59.72</v>
      </c>
      <c r="H60" s="3458">
        <v>160.38</v>
      </c>
      <c r="I60" s="3458">
        <v>155.54</v>
      </c>
      <c r="J60" s="3458">
        <v>154.88999999999999</v>
      </c>
      <c r="K60" s="3458">
        <v>152.91</v>
      </c>
      <c r="L60" s="3458">
        <v>150</v>
      </c>
      <c r="N60" s="3458">
        <v>151.74</v>
      </c>
    </row>
    <row r="61" spans="1:14" s="3458" customFormat="1">
      <c r="A61" s="3458" t="s">
        <v>3451</v>
      </c>
      <c r="B61" s="3451" t="e">
        <f t="shared" si="0"/>
        <v>#DIV/0!</v>
      </c>
    </row>
    <row r="62" spans="1:14" s="3458" customFormat="1">
      <c r="A62" s="3458" t="s">
        <v>3452</v>
      </c>
      <c r="B62" s="3451">
        <f t="shared" si="0"/>
        <v>176.7</v>
      </c>
      <c r="C62" s="3458">
        <v>171.01</v>
      </c>
      <c r="D62" s="3458">
        <v>185.85</v>
      </c>
      <c r="E62" s="3458">
        <v>190.66</v>
      </c>
      <c r="F62" s="3458">
        <v>173.58</v>
      </c>
      <c r="G62" s="3458">
        <v>139.06</v>
      </c>
      <c r="H62" s="3458">
        <v>164.33</v>
      </c>
      <c r="I62" s="3458">
        <v>182.31</v>
      </c>
      <c r="J62" s="3458">
        <v>189.94</v>
      </c>
      <c r="K62" s="3458">
        <v>186.26</v>
      </c>
      <c r="L62" s="3458">
        <v>174.73</v>
      </c>
      <c r="M62" s="3458">
        <v>179.79</v>
      </c>
      <c r="N62" s="3458">
        <v>182.84</v>
      </c>
    </row>
    <row r="63" spans="1:14" s="3458" customFormat="1">
      <c r="A63" s="3458" t="s">
        <v>3453</v>
      </c>
      <c r="B63" s="3451">
        <f t="shared" si="0"/>
        <v>155.80000000000001</v>
      </c>
      <c r="C63" s="3458">
        <v>151.54</v>
      </c>
      <c r="D63" s="3458">
        <v>147.91999999999999</v>
      </c>
      <c r="E63" s="3458">
        <v>150.44999999999999</v>
      </c>
      <c r="F63" s="3458">
        <v>154.36000000000001</v>
      </c>
      <c r="G63" s="3458">
        <v>147.19999999999999</v>
      </c>
      <c r="H63" s="3458">
        <v>146.84</v>
      </c>
      <c r="I63" s="3458">
        <v>153.41999999999999</v>
      </c>
      <c r="J63" s="3458">
        <v>153.62</v>
      </c>
      <c r="K63" s="3458">
        <v>155.13999999999999</v>
      </c>
      <c r="L63" s="3458">
        <v>167.49</v>
      </c>
      <c r="M63" s="3458">
        <v>169.52</v>
      </c>
      <c r="N63" s="3458">
        <v>172.45</v>
      </c>
    </row>
    <row r="64" spans="1:14" s="3458" customFormat="1">
      <c r="A64" s="3458" t="s">
        <v>3454</v>
      </c>
      <c r="B64" s="3451">
        <f t="shared" si="0"/>
        <v>158.69999999999999</v>
      </c>
      <c r="C64" s="3458">
        <v>162.78</v>
      </c>
      <c r="D64" s="3458">
        <v>162.22</v>
      </c>
      <c r="E64" s="3458">
        <v>160.59</v>
      </c>
      <c r="F64" s="3458">
        <v>152.81</v>
      </c>
      <c r="G64" s="3458">
        <v>150.08000000000001</v>
      </c>
      <c r="H64" s="3458">
        <v>157.26</v>
      </c>
      <c r="I64" s="3458">
        <v>159.84</v>
      </c>
      <c r="J64" s="3458">
        <v>158</v>
      </c>
      <c r="K64" s="3458">
        <v>160.15</v>
      </c>
      <c r="L64" s="3458">
        <v>160.22999999999999</v>
      </c>
      <c r="M64" s="3458">
        <v>156.5</v>
      </c>
      <c r="N64" s="3458">
        <v>163.69</v>
      </c>
    </row>
    <row r="65" spans="1:14" s="3458" customFormat="1">
      <c r="A65" s="3458" t="s">
        <v>3455</v>
      </c>
      <c r="B65" s="3451">
        <f t="shared" si="0"/>
        <v>129.5</v>
      </c>
      <c r="C65" s="3458">
        <v>123.16</v>
      </c>
      <c r="D65" s="3458">
        <v>129.13999999999999</v>
      </c>
      <c r="E65" s="3458">
        <v>135.11000000000001</v>
      </c>
      <c r="F65" s="3458">
        <v>153.65</v>
      </c>
      <c r="G65" s="3458">
        <v>123.95</v>
      </c>
      <c r="H65" s="3458">
        <v>152.57</v>
      </c>
      <c r="I65" s="3458">
        <v>163.44</v>
      </c>
      <c r="J65" s="3458">
        <v>147.41</v>
      </c>
      <c r="K65" s="3458">
        <v>135.46</v>
      </c>
      <c r="L65" s="3458">
        <v>80</v>
      </c>
      <c r="M65" s="3458">
        <v>94.9</v>
      </c>
      <c r="N65" s="3458">
        <v>114.93</v>
      </c>
    </row>
    <row r="66" spans="1:14" s="3458" customFormat="1">
      <c r="A66" s="3458" t="s">
        <v>3456</v>
      </c>
      <c r="B66" s="3451">
        <f t="shared" si="0"/>
        <v>150.30000000000001</v>
      </c>
      <c r="C66" s="3458">
        <v>151.38</v>
      </c>
      <c r="D66" s="3458">
        <v>152.21</v>
      </c>
      <c r="E66" s="3458">
        <v>151.11000000000001</v>
      </c>
      <c r="F66" s="3458">
        <v>149.43</v>
      </c>
      <c r="G66" s="3458">
        <v>147.72</v>
      </c>
      <c r="H66" s="3458">
        <v>147.66999999999999</v>
      </c>
      <c r="I66" s="3458">
        <v>148.52000000000001</v>
      </c>
      <c r="J66" s="3458">
        <v>148.76</v>
      </c>
      <c r="K66" s="3458">
        <v>148.35</v>
      </c>
      <c r="L66" s="3458">
        <v>151.44</v>
      </c>
      <c r="M66" s="3458">
        <v>153.15</v>
      </c>
      <c r="N66" s="3458">
        <v>153.79</v>
      </c>
    </row>
    <row r="67" spans="1:14" s="3458" customFormat="1">
      <c r="A67" s="3458" t="s">
        <v>3457</v>
      </c>
      <c r="B67" s="3451">
        <f t="shared" si="0"/>
        <v>177.1</v>
      </c>
      <c r="C67" s="3458">
        <v>168</v>
      </c>
      <c r="D67" s="3458">
        <v>165</v>
      </c>
      <c r="E67" s="3458">
        <v>204.33</v>
      </c>
      <c r="F67" s="3458">
        <v>313</v>
      </c>
      <c r="G67" s="3458">
        <v>172.69</v>
      </c>
      <c r="H67" s="3458">
        <v>167.14</v>
      </c>
      <c r="I67" s="3458">
        <v>179.1</v>
      </c>
      <c r="J67" s="3458">
        <v>165.52</v>
      </c>
      <c r="K67" s="3458">
        <v>161.24</v>
      </c>
      <c r="L67" s="3458">
        <v>151.38</v>
      </c>
      <c r="M67" s="3458">
        <v>141.31</v>
      </c>
      <c r="N67" s="3458">
        <v>136.61000000000001</v>
      </c>
    </row>
    <row r="68" spans="1:14" s="3458" customFormat="1">
      <c r="A68" s="3458" t="s">
        <v>3458</v>
      </c>
      <c r="B68" s="3451">
        <f t="shared" ref="B68:B121" si="1">ROUND(AVERAGE(C68:N68),1)</f>
        <v>144</v>
      </c>
      <c r="C68" s="3458">
        <v>141.44999999999999</v>
      </c>
      <c r="D68" s="3458">
        <v>141.28</v>
      </c>
      <c r="E68" s="3458">
        <v>133.6</v>
      </c>
      <c r="F68" s="3458">
        <v>128.44999999999999</v>
      </c>
      <c r="G68" s="3458">
        <v>115.16</v>
      </c>
      <c r="H68" s="3458">
        <v>142.79</v>
      </c>
      <c r="I68" s="3458">
        <v>142.72</v>
      </c>
      <c r="J68" s="3458">
        <v>147.28</v>
      </c>
      <c r="K68" s="3458">
        <v>153.4</v>
      </c>
      <c r="L68" s="3458">
        <v>154.11000000000001</v>
      </c>
      <c r="M68" s="3458">
        <v>159.46</v>
      </c>
      <c r="N68" s="3458">
        <v>168.38</v>
      </c>
    </row>
    <row r="69" spans="1:14" s="3458" customFormat="1">
      <c r="A69" s="3458" t="s">
        <v>3459</v>
      </c>
      <c r="B69" s="3451">
        <f t="shared" si="1"/>
        <v>137.5</v>
      </c>
      <c r="C69" s="3458">
        <v>147.99</v>
      </c>
      <c r="D69" s="3458">
        <v>148.38999999999999</v>
      </c>
      <c r="E69" s="3458">
        <v>135.69999999999999</v>
      </c>
      <c r="F69" s="3458">
        <v>127.47</v>
      </c>
      <c r="G69" s="3458">
        <v>135.19</v>
      </c>
      <c r="H69" s="3458">
        <v>136.61000000000001</v>
      </c>
      <c r="I69" s="3458">
        <v>134.69</v>
      </c>
      <c r="J69" s="3458">
        <v>135.34</v>
      </c>
      <c r="K69" s="3458">
        <v>137.29</v>
      </c>
      <c r="L69" s="3458">
        <v>136.51</v>
      </c>
      <c r="M69" s="3458">
        <v>136.58000000000001</v>
      </c>
      <c r="N69" s="3458">
        <v>138.26</v>
      </c>
    </row>
    <row r="70" spans="1:14" s="3458" customFormat="1">
      <c r="A70" s="3458" t="s">
        <v>3460</v>
      </c>
      <c r="B70" s="3451">
        <f t="shared" si="1"/>
        <v>157.4</v>
      </c>
      <c r="C70" s="3458">
        <v>159.96</v>
      </c>
      <c r="D70" s="3458">
        <v>153.79</v>
      </c>
      <c r="E70" s="3458">
        <v>152.66</v>
      </c>
      <c r="F70" s="3458">
        <v>155.12</v>
      </c>
      <c r="G70" s="3458">
        <v>145.53</v>
      </c>
      <c r="H70" s="3458">
        <v>141.68</v>
      </c>
      <c r="I70" s="3458">
        <v>151.63</v>
      </c>
      <c r="J70" s="3458">
        <v>194.99</v>
      </c>
      <c r="K70" s="3458">
        <v>188.89</v>
      </c>
      <c r="L70" s="3458">
        <v>144.09</v>
      </c>
      <c r="M70" s="3458">
        <v>147.35</v>
      </c>
      <c r="N70" s="3458">
        <v>152.75</v>
      </c>
    </row>
    <row r="71" spans="1:14" s="3458" customFormat="1">
      <c r="A71" s="3458" t="s">
        <v>3461</v>
      </c>
      <c r="B71" s="3451">
        <f t="shared" si="1"/>
        <v>139.9</v>
      </c>
      <c r="C71" s="3458">
        <v>139.18</v>
      </c>
      <c r="D71" s="3458">
        <v>137.81</v>
      </c>
      <c r="E71" s="3458">
        <v>137.72999999999999</v>
      </c>
      <c r="F71" s="3458">
        <v>135.65</v>
      </c>
      <c r="G71" s="3458">
        <v>132.83000000000001</v>
      </c>
      <c r="H71" s="3458">
        <v>140.69</v>
      </c>
      <c r="I71" s="3458">
        <v>144.16999999999999</v>
      </c>
      <c r="J71" s="3458">
        <v>144.13</v>
      </c>
      <c r="K71" s="3458">
        <v>141.28</v>
      </c>
      <c r="L71" s="3458">
        <v>141.54</v>
      </c>
      <c r="M71" s="3458">
        <v>141.08000000000001</v>
      </c>
      <c r="N71" s="3458">
        <v>142.94999999999999</v>
      </c>
    </row>
    <row r="72" spans="1:14" s="3458" customFormat="1">
      <c r="A72" s="3458" t="s">
        <v>3462</v>
      </c>
      <c r="B72" s="3451">
        <f t="shared" si="1"/>
        <v>152.69999999999999</v>
      </c>
      <c r="D72" s="3458">
        <v>164.31</v>
      </c>
      <c r="E72" s="3458">
        <v>160.47999999999999</v>
      </c>
      <c r="F72" s="3458">
        <v>138.37</v>
      </c>
      <c r="G72" s="3458">
        <v>139.24</v>
      </c>
      <c r="H72" s="3458">
        <v>125</v>
      </c>
      <c r="I72" s="3458">
        <v>146.66999999999999</v>
      </c>
      <c r="J72" s="3458">
        <v>157.5</v>
      </c>
      <c r="K72" s="3458">
        <v>190</v>
      </c>
    </row>
    <row r="73" spans="1:14" s="3458" customFormat="1">
      <c r="A73" s="3458" t="s">
        <v>3463</v>
      </c>
      <c r="B73" s="3451">
        <f t="shared" si="1"/>
        <v>183.3</v>
      </c>
      <c r="C73" s="3458">
        <v>183.33</v>
      </c>
      <c r="D73" s="3458">
        <v>183.33</v>
      </c>
    </row>
    <row r="74" spans="1:14" s="3458" customFormat="1">
      <c r="A74" s="3458" t="s">
        <v>3464</v>
      </c>
      <c r="B74" s="3451" t="e">
        <f t="shared" si="1"/>
        <v>#DIV/0!</v>
      </c>
    </row>
    <row r="75" spans="1:14" s="3458" customFormat="1">
      <c r="A75" s="3458" t="s">
        <v>3465</v>
      </c>
      <c r="B75" s="3451">
        <f t="shared" si="1"/>
        <v>134.4</v>
      </c>
      <c r="D75" s="3458">
        <v>120.69</v>
      </c>
      <c r="E75" s="3458">
        <v>120.69</v>
      </c>
      <c r="F75" s="3458">
        <v>110.8</v>
      </c>
      <c r="G75" s="3458">
        <v>112.35</v>
      </c>
      <c r="H75" s="3458">
        <v>115.57</v>
      </c>
      <c r="I75" s="3458">
        <v>148.02000000000001</v>
      </c>
      <c r="J75" s="3458">
        <v>140.68</v>
      </c>
      <c r="K75" s="3458">
        <v>137.83000000000001</v>
      </c>
      <c r="L75" s="3458">
        <v>172.62</v>
      </c>
      <c r="M75" s="3458">
        <v>172.21</v>
      </c>
      <c r="N75" s="3458">
        <v>126.77</v>
      </c>
    </row>
    <row r="76" spans="1:14" s="3458" customFormat="1">
      <c r="A76" s="3458" t="s">
        <v>3466</v>
      </c>
      <c r="B76" s="3451">
        <f t="shared" si="1"/>
        <v>123.8</v>
      </c>
      <c r="C76" s="3458">
        <v>109.6</v>
      </c>
      <c r="D76" s="3458">
        <v>109.37</v>
      </c>
      <c r="E76" s="3458">
        <v>114.69</v>
      </c>
      <c r="F76" s="3458">
        <v>112.95</v>
      </c>
      <c r="G76" s="3458">
        <v>107.59</v>
      </c>
      <c r="H76" s="3458">
        <v>115.34</v>
      </c>
      <c r="I76" s="3458">
        <v>132.5</v>
      </c>
      <c r="J76" s="3458">
        <v>123.45</v>
      </c>
      <c r="K76" s="3458">
        <v>141.22999999999999</v>
      </c>
      <c r="L76" s="3458">
        <v>137.83000000000001</v>
      </c>
      <c r="M76" s="3458">
        <v>135.18</v>
      </c>
      <c r="N76" s="3458">
        <v>145.43</v>
      </c>
    </row>
    <row r="77" spans="1:14" s="3458" customFormat="1">
      <c r="A77" s="3458" t="s">
        <v>3467</v>
      </c>
      <c r="B77" s="3451">
        <f t="shared" si="1"/>
        <v>157.1</v>
      </c>
      <c r="C77" s="3458">
        <v>144.18</v>
      </c>
      <c r="D77" s="3458">
        <v>157.62</v>
      </c>
      <c r="E77" s="3458">
        <v>161.68</v>
      </c>
      <c r="F77" s="3458">
        <v>163.66</v>
      </c>
      <c r="G77" s="3458">
        <v>149.76</v>
      </c>
      <c r="H77" s="3458">
        <v>154.38999999999999</v>
      </c>
      <c r="I77" s="3458">
        <v>152.99</v>
      </c>
      <c r="J77" s="3458">
        <v>154.91999999999999</v>
      </c>
      <c r="K77" s="3458">
        <v>160.74</v>
      </c>
      <c r="L77" s="3458">
        <v>161.61000000000001</v>
      </c>
      <c r="M77" s="3458">
        <v>163.46</v>
      </c>
      <c r="N77" s="3458">
        <v>159.83000000000001</v>
      </c>
    </row>
    <row r="78" spans="1:14" s="3458" customFormat="1">
      <c r="A78" s="3458" t="s">
        <v>3468</v>
      </c>
      <c r="B78" s="3451">
        <f t="shared" si="1"/>
        <v>40</v>
      </c>
      <c r="C78" s="3458">
        <v>40</v>
      </c>
      <c r="D78" s="3458">
        <v>40</v>
      </c>
      <c r="E78" s="3458">
        <v>40</v>
      </c>
      <c r="F78" s="3458">
        <v>40</v>
      </c>
      <c r="G78" s="3458">
        <v>40</v>
      </c>
      <c r="H78" s="3458">
        <v>40</v>
      </c>
      <c r="I78" s="3458">
        <v>40</v>
      </c>
      <c r="J78" s="3458">
        <v>40</v>
      </c>
      <c r="K78" s="3458">
        <v>40</v>
      </c>
      <c r="L78" s="3458">
        <v>40</v>
      </c>
      <c r="M78" s="3458">
        <v>40</v>
      </c>
      <c r="N78" s="3458">
        <v>40</v>
      </c>
    </row>
    <row r="79" spans="1:14" s="3458" customFormat="1">
      <c r="A79" s="3458" t="s">
        <v>3469</v>
      </c>
      <c r="B79" s="3451">
        <f t="shared" si="1"/>
        <v>160.80000000000001</v>
      </c>
      <c r="C79" s="3458">
        <v>163.87</v>
      </c>
      <c r="D79" s="3458">
        <v>162.96</v>
      </c>
      <c r="E79" s="3458">
        <v>159.81</v>
      </c>
      <c r="F79" s="3458">
        <v>158.68</v>
      </c>
      <c r="G79" s="3458">
        <v>159.13</v>
      </c>
      <c r="H79" s="3458">
        <v>160.96</v>
      </c>
      <c r="I79" s="3458">
        <v>165.05</v>
      </c>
      <c r="J79" s="3458">
        <v>159.78</v>
      </c>
      <c r="K79" s="3458">
        <v>154.38999999999999</v>
      </c>
      <c r="L79" s="3458">
        <v>156.44999999999999</v>
      </c>
      <c r="M79" s="3458">
        <v>164.93</v>
      </c>
      <c r="N79" s="3458">
        <v>163.81</v>
      </c>
    </row>
    <row r="80" spans="1:14" s="3458" customFormat="1">
      <c r="A80" s="3458" t="s">
        <v>3470</v>
      </c>
      <c r="B80" s="3451">
        <f t="shared" si="1"/>
        <v>88</v>
      </c>
      <c r="C80" s="3458">
        <v>88</v>
      </c>
      <c r="D80" s="3458">
        <v>88</v>
      </c>
      <c r="E80" s="3458">
        <v>88</v>
      </c>
      <c r="F80" s="3458">
        <v>88</v>
      </c>
      <c r="G80" s="3458">
        <v>88</v>
      </c>
      <c r="H80" s="3458">
        <v>88</v>
      </c>
      <c r="I80" s="3458">
        <v>88</v>
      </c>
      <c r="J80" s="3458">
        <v>88</v>
      </c>
      <c r="K80" s="3458">
        <v>88</v>
      </c>
      <c r="L80" s="3458">
        <v>88</v>
      </c>
      <c r="M80" s="3458">
        <v>88</v>
      </c>
      <c r="N80" s="3458">
        <v>88</v>
      </c>
    </row>
    <row r="81" spans="1:14" s="3458" customFormat="1">
      <c r="A81" s="3458" t="s">
        <v>3471</v>
      </c>
      <c r="B81" s="3451" t="e">
        <f t="shared" si="1"/>
        <v>#DIV/0!</v>
      </c>
    </row>
    <row r="82" spans="1:14" s="3458" customFormat="1">
      <c r="A82" s="3458" t="s">
        <v>3472</v>
      </c>
      <c r="B82" s="3451">
        <f t="shared" si="1"/>
        <v>155.69999999999999</v>
      </c>
      <c r="C82" s="3458">
        <v>136.6</v>
      </c>
      <c r="D82" s="3458">
        <v>198.51</v>
      </c>
      <c r="E82" s="3458">
        <v>174.18</v>
      </c>
      <c r="F82" s="3458">
        <v>119.45</v>
      </c>
      <c r="G82" s="3458">
        <v>120.04</v>
      </c>
      <c r="H82" s="3458">
        <v>131.52000000000001</v>
      </c>
      <c r="I82" s="3458">
        <v>150.13</v>
      </c>
      <c r="J82" s="3458">
        <v>154.71</v>
      </c>
      <c r="K82" s="3458">
        <v>172.25</v>
      </c>
      <c r="L82" s="3458">
        <v>178.51</v>
      </c>
      <c r="M82" s="3458">
        <v>171.49</v>
      </c>
      <c r="N82" s="3458">
        <v>161.41</v>
      </c>
    </row>
    <row r="83" spans="1:14" s="3458" customFormat="1">
      <c r="A83" s="3458" t="s">
        <v>3473</v>
      </c>
      <c r="B83" s="3451">
        <f t="shared" si="1"/>
        <v>160.1</v>
      </c>
      <c r="C83" s="3458">
        <v>151.79</v>
      </c>
      <c r="D83" s="3458">
        <v>166.75</v>
      </c>
      <c r="E83" s="3458">
        <v>153.01</v>
      </c>
      <c r="F83" s="3458">
        <v>169.4</v>
      </c>
      <c r="G83" s="3458">
        <v>174.7</v>
      </c>
      <c r="H83" s="3458">
        <v>158.52000000000001</v>
      </c>
      <c r="I83" s="3458">
        <v>148.19999999999999</v>
      </c>
      <c r="J83" s="3458">
        <v>149.94999999999999</v>
      </c>
      <c r="K83" s="3458">
        <v>154.21</v>
      </c>
      <c r="L83" s="3458">
        <v>162.44999999999999</v>
      </c>
      <c r="M83" s="3458">
        <v>171.67</v>
      </c>
      <c r="N83" s="3458">
        <v>160.28</v>
      </c>
    </row>
    <row r="84" spans="1:14" s="3458" customFormat="1">
      <c r="A84" s="3458" t="s">
        <v>3474</v>
      </c>
      <c r="B84" s="3451">
        <f t="shared" si="1"/>
        <v>141.4</v>
      </c>
      <c r="C84" s="3458">
        <v>129.49</v>
      </c>
      <c r="D84" s="3458">
        <v>136.87</v>
      </c>
      <c r="E84" s="3458">
        <v>140.19</v>
      </c>
      <c r="F84" s="3458">
        <v>137.19</v>
      </c>
      <c r="G84" s="3458">
        <v>136.96</v>
      </c>
      <c r="J84" s="3458">
        <v>142.5</v>
      </c>
      <c r="K84" s="3458">
        <v>149.16</v>
      </c>
      <c r="L84" s="3458">
        <v>158.54</v>
      </c>
    </row>
    <row r="85" spans="1:14" s="3458" customFormat="1">
      <c r="A85" s="3458" t="s">
        <v>3475</v>
      </c>
      <c r="B85" s="3451">
        <f t="shared" si="1"/>
        <v>111.1</v>
      </c>
      <c r="C85" s="3458">
        <v>111.11</v>
      </c>
    </row>
    <row r="86" spans="1:14" s="3458" customFormat="1">
      <c r="A86" s="3458" t="s">
        <v>3476</v>
      </c>
      <c r="B86" s="3451">
        <f t="shared" si="1"/>
        <v>178.4</v>
      </c>
      <c r="C86" s="3458">
        <v>179.61</v>
      </c>
      <c r="D86" s="3458">
        <v>181.65</v>
      </c>
      <c r="E86" s="3458">
        <v>187.36</v>
      </c>
      <c r="F86" s="3458">
        <v>200</v>
      </c>
      <c r="H86" s="3458">
        <v>165.33</v>
      </c>
      <c r="I86" s="3458">
        <v>164.72</v>
      </c>
      <c r="J86" s="3458">
        <v>160.82</v>
      </c>
      <c r="K86" s="3458">
        <v>180.42</v>
      </c>
      <c r="L86" s="3458">
        <v>193.33</v>
      </c>
      <c r="M86" s="3458">
        <v>176.82</v>
      </c>
      <c r="N86" s="3458">
        <v>171.9</v>
      </c>
    </row>
    <row r="87" spans="1:14" s="3458" customFormat="1">
      <c r="A87" s="3458" t="s">
        <v>3477</v>
      </c>
      <c r="B87" s="3451">
        <f t="shared" si="1"/>
        <v>156.9</v>
      </c>
      <c r="C87" s="3458">
        <v>132.84</v>
      </c>
      <c r="D87" s="3458">
        <v>143.74</v>
      </c>
      <c r="E87" s="3458">
        <v>148.1</v>
      </c>
      <c r="F87" s="3458">
        <v>152.78</v>
      </c>
      <c r="G87" s="3458">
        <v>152.86000000000001</v>
      </c>
      <c r="H87" s="3458">
        <v>157</v>
      </c>
      <c r="I87" s="3458">
        <v>164.16</v>
      </c>
      <c r="J87" s="3458">
        <v>157.75</v>
      </c>
      <c r="K87" s="3458">
        <v>156.26</v>
      </c>
      <c r="L87" s="3458">
        <v>170.28</v>
      </c>
      <c r="M87" s="3458">
        <v>170.45</v>
      </c>
      <c r="N87" s="3458">
        <v>175.98</v>
      </c>
    </row>
    <row r="88" spans="1:14" s="3458" customFormat="1">
      <c r="A88" s="3458" t="s">
        <v>3478</v>
      </c>
      <c r="B88" s="3451">
        <f t="shared" si="1"/>
        <v>146</v>
      </c>
      <c r="C88" s="3458">
        <v>144.83000000000001</v>
      </c>
      <c r="D88" s="3458">
        <v>149.33000000000001</v>
      </c>
      <c r="E88" s="3458">
        <v>148.13</v>
      </c>
      <c r="F88" s="3458">
        <v>154.99</v>
      </c>
      <c r="G88" s="3458">
        <v>163.29</v>
      </c>
      <c r="H88" s="3458">
        <v>153.30000000000001</v>
      </c>
      <c r="I88" s="3458">
        <v>132.76</v>
      </c>
      <c r="J88" s="3458">
        <v>140.97</v>
      </c>
      <c r="K88" s="3458">
        <v>141.85</v>
      </c>
      <c r="L88" s="3458">
        <v>137.44999999999999</v>
      </c>
      <c r="M88" s="3458">
        <v>139.9</v>
      </c>
      <c r="N88" s="3458">
        <v>144.77000000000001</v>
      </c>
    </row>
    <row r="89" spans="1:14" s="3458" customFormat="1">
      <c r="A89" s="3458" t="s">
        <v>3479</v>
      </c>
      <c r="B89" s="3451">
        <f t="shared" si="1"/>
        <v>174.2</v>
      </c>
      <c r="C89" s="3458">
        <v>175.06</v>
      </c>
      <c r="D89" s="3458">
        <v>175.43</v>
      </c>
      <c r="E89" s="3458">
        <v>179.34</v>
      </c>
      <c r="F89" s="3458">
        <v>179.69</v>
      </c>
      <c r="G89" s="3458">
        <v>175.02</v>
      </c>
      <c r="H89" s="3458">
        <v>176.22</v>
      </c>
      <c r="I89" s="3458">
        <v>175.81</v>
      </c>
      <c r="J89" s="3458">
        <v>168.12</v>
      </c>
      <c r="K89" s="3458">
        <v>165.76</v>
      </c>
      <c r="L89" s="3458">
        <v>169.89</v>
      </c>
      <c r="M89" s="3458">
        <v>175.33</v>
      </c>
      <c r="N89" s="3458">
        <v>175.2</v>
      </c>
    </row>
    <row r="90" spans="1:14" s="3458" customFormat="1">
      <c r="A90" s="3458" t="s">
        <v>3480</v>
      </c>
      <c r="B90" s="3451">
        <f t="shared" si="1"/>
        <v>147.6</v>
      </c>
      <c r="C90" s="3458">
        <v>147.57</v>
      </c>
      <c r="D90" s="3458">
        <v>152.24</v>
      </c>
      <c r="E90" s="3458">
        <v>152.24</v>
      </c>
      <c r="F90" s="3458">
        <v>137.84</v>
      </c>
      <c r="G90" s="3458">
        <v>137.84</v>
      </c>
      <c r="M90" s="3458">
        <v>152.57</v>
      </c>
      <c r="N90" s="3458">
        <v>152.57</v>
      </c>
    </row>
    <row r="91" spans="1:14" s="3458" customFormat="1">
      <c r="A91" s="3458" t="s">
        <v>3481</v>
      </c>
      <c r="B91" s="3451">
        <f t="shared" si="1"/>
        <v>159.30000000000001</v>
      </c>
      <c r="C91" s="3458">
        <v>142.44</v>
      </c>
      <c r="D91" s="3458">
        <v>147.05000000000001</v>
      </c>
      <c r="E91" s="3458">
        <v>161.66</v>
      </c>
      <c r="F91" s="3458">
        <v>173.91</v>
      </c>
      <c r="G91" s="3458">
        <v>170.83</v>
      </c>
      <c r="H91" s="3458">
        <v>165.23</v>
      </c>
      <c r="I91" s="3458">
        <v>156.49</v>
      </c>
      <c r="J91" s="3458">
        <v>152.93</v>
      </c>
      <c r="K91" s="3458">
        <v>157.74</v>
      </c>
      <c r="L91" s="3458">
        <v>165.31</v>
      </c>
      <c r="M91" s="3458">
        <v>158.93</v>
      </c>
      <c r="N91" s="3458">
        <v>159.44</v>
      </c>
    </row>
    <row r="92" spans="1:14" s="3458" customFormat="1">
      <c r="A92" s="3458" t="s">
        <v>3482</v>
      </c>
      <c r="B92" s="3451">
        <f t="shared" si="1"/>
        <v>158.30000000000001</v>
      </c>
      <c r="C92" s="3458">
        <v>166.97</v>
      </c>
      <c r="D92" s="3458">
        <v>170.12</v>
      </c>
      <c r="E92" s="3458">
        <v>169.77</v>
      </c>
      <c r="F92" s="3458">
        <v>165.34</v>
      </c>
      <c r="G92" s="3458">
        <v>151.43</v>
      </c>
      <c r="H92" s="3458">
        <v>153.99</v>
      </c>
      <c r="I92" s="3458">
        <v>151.97</v>
      </c>
      <c r="J92" s="3458">
        <v>148.56</v>
      </c>
      <c r="K92" s="3458">
        <v>146.94</v>
      </c>
      <c r="L92" s="3458">
        <v>156.03</v>
      </c>
      <c r="M92" s="3458">
        <v>158.97999999999999</v>
      </c>
      <c r="N92" s="3458">
        <v>159.77000000000001</v>
      </c>
    </row>
    <row r="93" spans="1:14" s="3458" customFormat="1">
      <c r="A93" s="3458" t="s">
        <v>3483</v>
      </c>
      <c r="B93" s="3451">
        <f t="shared" si="1"/>
        <v>140.5</v>
      </c>
      <c r="C93" s="3458">
        <v>175.92</v>
      </c>
      <c r="D93" s="3458">
        <v>133.09</v>
      </c>
      <c r="E93" s="3458">
        <v>133.80000000000001</v>
      </c>
      <c r="F93" s="3458">
        <v>137.15</v>
      </c>
      <c r="G93" s="3458">
        <v>138.88999999999999</v>
      </c>
      <c r="H93" s="3458">
        <v>112.13</v>
      </c>
      <c r="I93" s="3458">
        <v>112.13</v>
      </c>
      <c r="J93" s="3458">
        <v>148.71</v>
      </c>
      <c r="K93" s="3458">
        <v>133.41</v>
      </c>
      <c r="L93" s="3458">
        <v>136.9</v>
      </c>
      <c r="M93" s="3458">
        <v>141.9</v>
      </c>
      <c r="N93" s="3458">
        <v>181.67</v>
      </c>
    </row>
    <row r="94" spans="1:14" s="3458" customFormat="1">
      <c r="A94" s="3458" t="s">
        <v>3484</v>
      </c>
      <c r="B94" s="3451">
        <f t="shared" si="1"/>
        <v>149.80000000000001</v>
      </c>
      <c r="C94" s="3458">
        <v>121.87</v>
      </c>
      <c r="D94" s="3458">
        <v>117.09</v>
      </c>
      <c r="E94" s="3458">
        <v>137.76</v>
      </c>
      <c r="F94" s="3458">
        <v>188.68</v>
      </c>
      <c r="H94" s="3458">
        <v>177.5</v>
      </c>
      <c r="I94" s="3458">
        <v>177.5</v>
      </c>
      <c r="J94" s="3458">
        <v>163.41</v>
      </c>
      <c r="K94" s="3458">
        <v>163</v>
      </c>
      <c r="L94" s="3458">
        <v>155.29</v>
      </c>
      <c r="M94" s="3458">
        <v>120.53</v>
      </c>
      <c r="N94" s="3458">
        <v>125.37</v>
      </c>
    </row>
    <row r="95" spans="1:14" s="3458" customFormat="1">
      <c r="A95" s="3458" t="s">
        <v>3485</v>
      </c>
      <c r="B95" s="3451">
        <f t="shared" si="1"/>
        <v>173.8</v>
      </c>
      <c r="C95" s="3458">
        <v>160.41999999999999</v>
      </c>
      <c r="D95" s="3458">
        <v>136.93</v>
      </c>
      <c r="E95" s="3458">
        <v>130.07</v>
      </c>
      <c r="F95" s="3458">
        <v>259.35000000000002</v>
      </c>
      <c r="G95" s="3458">
        <v>214.86</v>
      </c>
      <c r="H95" s="3458">
        <v>223.94</v>
      </c>
      <c r="I95" s="3458">
        <v>198.23</v>
      </c>
      <c r="J95" s="3458">
        <v>186.84</v>
      </c>
      <c r="K95" s="3458">
        <v>166.46</v>
      </c>
      <c r="L95" s="3458">
        <v>135.79</v>
      </c>
      <c r="M95" s="3458">
        <v>144.22</v>
      </c>
      <c r="N95" s="3458">
        <v>128.16999999999999</v>
      </c>
    </row>
    <row r="96" spans="1:14" s="3458" customFormat="1">
      <c r="A96" s="3458" t="s">
        <v>3486</v>
      </c>
      <c r="B96" s="3451">
        <f t="shared" si="1"/>
        <v>140.69999999999999</v>
      </c>
      <c r="C96" s="3458">
        <v>143.24</v>
      </c>
      <c r="D96" s="3458">
        <v>139.19999999999999</v>
      </c>
      <c r="E96" s="3458">
        <v>131.87</v>
      </c>
      <c r="F96" s="3458">
        <v>129.69999999999999</v>
      </c>
      <c r="G96" s="3458">
        <v>129.01</v>
      </c>
      <c r="H96" s="3458">
        <v>137.18</v>
      </c>
      <c r="I96" s="3458">
        <v>141.91</v>
      </c>
      <c r="J96" s="3458">
        <v>145.51</v>
      </c>
      <c r="K96" s="3458">
        <v>150.38</v>
      </c>
      <c r="L96" s="3458">
        <v>147.52000000000001</v>
      </c>
      <c r="M96" s="3458">
        <v>145.71</v>
      </c>
      <c r="N96" s="3458">
        <v>147.41999999999999</v>
      </c>
    </row>
    <row r="97" spans="1:14" s="3458" customFormat="1">
      <c r="A97" s="3458" t="s">
        <v>3487</v>
      </c>
      <c r="B97" s="3451">
        <f t="shared" si="1"/>
        <v>170.7</v>
      </c>
      <c r="C97" s="3458">
        <v>163.34</v>
      </c>
      <c r="D97" s="3458">
        <v>179.72</v>
      </c>
      <c r="E97" s="3458">
        <v>179.53</v>
      </c>
      <c r="F97" s="3458">
        <v>184.54</v>
      </c>
      <c r="G97" s="3458">
        <v>179.42</v>
      </c>
      <c r="H97" s="3458">
        <v>169.04</v>
      </c>
      <c r="I97" s="3458">
        <v>171.19</v>
      </c>
      <c r="J97" s="3458">
        <v>169.75</v>
      </c>
      <c r="K97" s="3458">
        <v>169.7</v>
      </c>
      <c r="L97" s="3458">
        <v>156.63</v>
      </c>
      <c r="M97" s="3458">
        <v>155.16</v>
      </c>
      <c r="N97" s="3458">
        <v>170.71</v>
      </c>
    </row>
    <row r="98" spans="1:14" s="3458" customFormat="1">
      <c r="A98" s="3458" t="s">
        <v>3488</v>
      </c>
      <c r="B98" s="3451" t="e">
        <f t="shared" si="1"/>
        <v>#DIV/0!</v>
      </c>
    </row>
    <row r="99" spans="1:14" s="3458" customFormat="1">
      <c r="A99" s="3458" t="s">
        <v>3489</v>
      </c>
      <c r="B99" s="3451">
        <f t="shared" si="1"/>
        <v>64.400000000000006</v>
      </c>
      <c r="C99" s="3458">
        <v>64.36</v>
      </c>
      <c r="D99" s="3458">
        <v>64.36</v>
      </c>
      <c r="E99" s="3458">
        <v>64.36</v>
      </c>
      <c r="F99" s="3458">
        <v>64.36</v>
      </c>
      <c r="G99" s="3458">
        <v>64.36</v>
      </c>
      <c r="H99" s="3458">
        <v>64.36</v>
      </c>
      <c r="I99" s="3458">
        <v>64.36</v>
      </c>
      <c r="J99" s="3458">
        <v>64.36</v>
      </c>
      <c r="K99" s="3458">
        <v>64.36</v>
      </c>
      <c r="L99" s="3458">
        <v>64.36</v>
      </c>
      <c r="M99" s="3458">
        <v>64.36</v>
      </c>
      <c r="N99" s="3458">
        <v>64.36</v>
      </c>
    </row>
    <row r="100" spans="1:14" s="3458" customFormat="1">
      <c r="A100" s="3458" t="s">
        <v>3490</v>
      </c>
      <c r="B100" s="3451">
        <f t="shared" si="1"/>
        <v>124.6</v>
      </c>
      <c r="C100" s="3458">
        <v>119.33</v>
      </c>
      <c r="D100" s="3458">
        <v>120.4</v>
      </c>
      <c r="E100" s="3458">
        <v>117.8</v>
      </c>
      <c r="F100" s="3458">
        <v>117.77</v>
      </c>
      <c r="G100" s="3458">
        <v>115.84</v>
      </c>
      <c r="H100" s="3458">
        <v>116.11</v>
      </c>
      <c r="I100" s="3458">
        <v>147.43</v>
      </c>
      <c r="J100" s="3458">
        <v>128.03</v>
      </c>
      <c r="K100" s="3458">
        <v>117.74</v>
      </c>
      <c r="L100" s="3458">
        <v>124.71</v>
      </c>
      <c r="M100" s="3458">
        <v>132.46</v>
      </c>
      <c r="N100" s="3458">
        <v>137.82</v>
      </c>
    </row>
    <row r="101" spans="1:14" s="3458" customFormat="1">
      <c r="A101" s="3458" t="s">
        <v>3491</v>
      </c>
      <c r="B101" s="3451">
        <f t="shared" si="1"/>
        <v>192.4</v>
      </c>
      <c r="C101" s="3458">
        <v>192.42</v>
      </c>
      <c r="D101" s="3458">
        <v>192.42</v>
      </c>
      <c r="E101" s="3458">
        <v>192.42</v>
      </c>
      <c r="F101" s="3458">
        <v>192.42</v>
      </c>
      <c r="G101" s="3458">
        <v>192.42</v>
      </c>
      <c r="H101" s="3458">
        <v>192.42</v>
      </c>
      <c r="I101" s="3458">
        <v>192.42</v>
      </c>
      <c r="J101" s="3458">
        <v>192.42</v>
      </c>
      <c r="K101" s="3458">
        <v>192.42</v>
      </c>
      <c r="L101" s="3458">
        <v>192.42</v>
      </c>
      <c r="M101" s="3458">
        <v>192.42</v>
      </c>
      <c r="N101" s="3458">
        <v>192.42</v>
      </c>
    </row>
    <row r="102" spans="1:14" s="3458" customFormat="1">
      <c r="A102" s="3458" t="s">
        <v>3492</v>
      </c>
      <c r="B102" s="3451">
        <f t="shared" si="1"/>
        <v>153.5</v>
      </c>
      <c r="C102" s="3458">
        <v>153.16</v>
      </c>
      <c r="D102" s="3458">
        <v>151.19999999999999</v>
      </c>
      <c r="E102" s="3458">
        <v>146.83000000000001</v>
      </c>
      <c r="F102" s="3458">
        <v>153.22999999999999</v>
      </c>
      <c r="G102" s="3458">
        <v>156.93</v>
      </c>
      <c r="H102" s="3458">
        <v>152.56</v>
      </c>
      <c r="I102" s="3458">
        <v>147.82</v>
      </c>
      <c r="J102" s="3458">
        <v>146.16999999999999</v>
      </c>
      <c r="K102" s="3458">
        <v>156.13</v>
      </c>
      <c r="L102" s="3458">
        <v>161.36000000000001</v>
      </c>
      <c r="M102" s="3458">
        <v>160.19999999999999</v>
      </c>
      <c r="N102" s="3458">
        <v>156.51</v>
      </c>
    </row>
    <row r="103" spans="1:14" s="3458" customFormat="1">
      <c r="A103" s="3458" t="s">
        <v>3493</v>
      </c>
      <c r="B103" s="3451">
        <f t="shared" si="1"/>
        <v>139</v>
      </c>
      <c r="C103" s="3458">
        <v>135.07</v>
      </c>
      <c r="D103" s="3458">
        <v>133.68</v>
      </c>
      <c r="E103" s="3458">
        <v>134.72999999999999</v>
      </c>
      <c r="F103" s="3458">
        <v>137.69999999999999</v>
      </c>
      <c r="G103" s="3458">
        <v>139.04</v>
      </c>
      <c r="H103" s="3458">
        <v>139.54</v>
      </c>
      <c r="I103" s="3458">
        <v>140.72999999999999</v>
      </c>
      <c r="J103" s="3458">
        <v>140.03</v>
      </c>
      <c r="K103" s="3458">
        <v>138.31</v>
      </c>
      <c r="L103" s="3458">
        <v>140.13999999999999</v>
      </c>
      <c r="M103" s="3458">
        <v>144.08000000000001</v>
      </c>
      <c r="N103" s="3458">
        <v>144.54</v>
      </c>
    </row>
    <row r="104" spans="1:14" s="3458" customFormat="1">
      <c r="A104" s="3458" t="s">
        <v>3494</v>
      </c>
      <c r="B104" s="3451" t="e">
        <f t="shared" si="1"/>
        <v>#DIV/0!</v>
      </c>
    </row>
    <row r="105" spans="1:14" s="3458" customFormat="1">
      <c r="A105" s="3458" t="s">
        <v>3495</v>
      </c>
      <c r="B105" s="3451">
        <f t="shared" si="1"/>
        <v>142.9</v>
      </c>
      <c r="C105" s="3458">
        <v>133.59</v>
      </c>
      <c r="D105" s="3458">
        <v>141.55000000000001</v>
      </c>
      <c r="E105" s="3458">
        <v>140.11000000000001</v>
      </c>
      <c r="F105" s="3458">
        <v>138.15</v>
      </c>
      <c r="G105" s="3458">
        <v>125.75</v>
      </c>
      <c r="H105" s="3458">
        <v>132.16</v>
      </c>
      <c r="I105" s="3458">
        <v>134.56</v>
      </c>
      <c r="J105" s="3458">
        <v>163.51</v>
      </c>
      <c r="K105" s="3458">
        <v>172.71</v>
      </c>
      <c r="L105" s="3458">
        <v>148.66999999999999</v>
      </c>
      <c r="M105" s="3458">
        <v>141.11000000000001</v>
      </c>
      <c r="N105" s="3458">
        <v>142.71</v>
      </c>
    </row>
    <row r="106" spans="1:14" s="3458" customFormat="1">
      <c r="A106" s="3458" t="s">
        <v>3496</v>
      </c>
      <c r="B106" s="3451">
        <f t="shared" si="1"/>
        <v>110</v>
      </c>
      <c r="C106" s="3458">
        <v>110</v>
      </c>
      <c r="D106" s="3458">
        <v>110</v>
      </c>
      <c r="E106" s="3458">
        <v>110</v>
      </c>
      <c r="F106" s="3458">
        <v>110</v>
      </c>
      <c r="G106" s="3458">
        <v>110</v>
      </c>
      <c r="H106" s="3458">
        <v>110</v>
      </c>
      <c r="I106" s="3458">
        <v>110</v>
      </c>
      <c r="J106" s="3458">
        <v>110</v>
      </c>
      <c r="K106" s="3458">
        <v>110</v>
      </c>
      <c r="L106" s="3458">
        <v>110</v>
      </c>
      <c r="M106" s="3458">
        <v>110</v>
      </c>
      <c r="N106" s="3458">
        <v>110</v>
      </c>
    </row>
    <row r="107" spans="1:14" s="3458" customFormat="1">
      <c r="A107" s="3458" t="s">
        <v>3497</v>
      </c>
      <c r="B107" s="3451">
        <f t="shared" si="1"/>
        <v>172.9</v>
      </c>
      <c r="C107" s="3458">
        <v>200.86</v>
      </c>
      <c r="D107" s="3458">
        <v>195.06</v>
      </c>
      <c r="E107" s="3458">
        <v>177.75</v>
      </c>
      <c r="F107" s="3458">
        <v>171.86</v>
      </c>
      <c r="G107" s="3458">
        <v>166.06</v>
      </c>
      <c r="H107" s="3458">
        <v>152.13999999999999</v>
      </c>
      <c r="I107" s="3458">
        <v>158.32</v>
      </c>
      <c r="J107" s="3458">
        <v>169.72</v>
      </c>
      <c r="K107" s="3458">
        <v>178.8</v>
      </c>
      <c r="L107" s="3458">
        <v>180.41</v>
      </c>
      <c r="M107" s="3458">
        <v>171.32</v>
      </c>
      <c r="N107" s="3458">
        <v>151.91</v>
      </c>
    </row>
    <row r="108" spans="1:14" s="3458" customFormat="1">
      <c r="A108" s="3458" t="s">
        <v>3498</v>
      </c>
      <c r="B108" s="3451">
        <f t="shared" si="1"/>
        <v>146.9</v>
      </c>
      <c r="C108" s="3458">
        <v>139.52000000000001</v>
      </c>
      <c r="D108" s="3458">
        <v>140.52000000000001</v>
      </c>
      <c r="E108" s="3458">
        <v>140.53</v>
      </c>
      <c r="F108" s="3458">
        <v>145.72</v>
      </c>
      <c r="G108" s="3458">
        <v>145.61000000000001</v>
      </c>
      <c r="H108" s="3458">
        <v>142.61000000000001</v>
      </c>
      <c r="I108" s="3458">
        <v>142.34</v>
      </c>
      <c r="J108" s="3458">
        <v>142.46</v>
      </c>
      <c r="K108" s="3458">
        <v>143</v>
      </c>
      <c r="L108" s="3458">
        <v>154.24</v>
      </c>
      <c r="M108" s="3458">
        <v>163.18</v>
      </c>
      <c r="N108" s="3458">
        <v>163.04</v>
      </c>
    </row>
    <row r="109" spans="1:14" s="3458" customFormat="1">
      <c r="A109" s="3458" t="s">
        <v>3499</v>
      </c>
      <c r="B109" s="3451">
        <f t="shared" si="1"/>
        <v>173.1</v>
      </c>
      <c r="C109" s="3458">
        <v>128.24</v>
      </c>
      <c r="D109" s="3458">
        <v>149.72999999999999</v>
      </c>
      <c r="E109" s="3458">
        <v>172.17</v>
      </c>
      <c r="F109" s="3458">
        <v>179.13</v>
      </c>
      <c r="G109" s="3458">
        <v>184.91</v>
      </c>
      <c r="H109" s="3458">
        <v>184.91</v>
      </c>
      <c r="I109" s="3458">
        <v>195.25</v>
      </c>
      <c r="J109" s="3458">
        <v>180.82</v>
      </c>
      <c r="K109" s="3458">
        <v>180.82</v>
      </c>
      <c r="L109" s="3458">
        <v>184.43</v>
      </c>
      <c r="M109" s="3458">
        <v>169.03</v>
      </c>
      <c r="N109" s="3458">
        <v>167.44</v>
      </c>
    </row>
    <row r="110" spans="1:14" s="3458" customFormat="1">
      <c r="A110" s="3458" t="s">
        <v>3500</v>
      </c>
      <c r="B110" s="3451">
        <f t="shared" si="1"/>
        <v>163.6</v>
      </c>
      <c r="K110" s="3458">
        <v>163.58000000000001</v>
      </c>
      <c r="L110" s="3458">
        <v>163.58000000000001</v>
      </c>
      <c r="M110" s="3458">
        <v>163.58000000000001</v>
      </c>
      <c r="N110" s="3458">
        <v>163.58000000000001</v>
      </c>
    </row>
    <row r="111" spans="1:14" s="3458" customFormat="1">
      <c r="A111" s="3458" t="s">
        <v>3501</v>
      </c>
      <c r="B111" s="3451">
        <f t="shared" si="1"/>
        <v>145.80000000000001</v>
      </c>
      <c r="C111" s="3458">
        <v>134.16999999999999</v>
      </c>
      <c r="D111" s="3458">
        <v>134.44999999999999</v>
      </c>
      <c r="E111" s="3458">
        <v>136.41</v>
      </c>
      <c r="F111" s="3458">
        <v>135.61000000000001</v>
      </c>
      <c r="G111" s="3458">
        <v>142.57</v>
      </c>
      <c r="H111" s="3458">
        <v>158.74</v>
      </c>
      <c r="I111" s="3458">
        <v>151.9</v>
      </c>
      <c r="J111" s="3458">
        <v>136.75</v>
      </c>
      <c r="K111" s="3458">
        <v>156.81</v>
      </c>
      <c r="L111" s="3458">
        <v>161.08000000000001</v>
      </c>
      <c r="M111" s="3458">
        <v>147.19999999999999</v>
      </c>
      <c r="N111" s="3458">
        <v>154.13</v>
      </c>
    </row>
    <row r="112" spans="1:14" s="3458" customFormat="1">
      <c r="A112" s="3458" t="s">
        <v>3502</v>
      </c>
      <c r="B112" s="3451">
        <f t="shared" si="1"/>
        <v>146</v>
      </c>
      <c r="C112" s="3458">
        <v>133.80000000000001</v>
      </c>
      <c r="D112" s="3458">
        <v>138.08000000000001</v>
      </c>
      <c r="E112" s="3458">
        <v>140.59</v>
      </c>
      <c r="F112" s="3458">
        <v>141.69999999999999</v>
      </c>
      <c r="G112" s="3458">
        <v>149.69999999999999</v>
      </c>
      <c r="H112" s="3458">
        <v>152.97</v>
      </c>
      <c r="I112" s="3458">
        <v>148.53</v>
      </c>
      <c r="J112" s="3458">
        <v>145.68</v>
      </c>
      <c r="K112" s="3458">
        <v>144.91</v>
      </c>
      <c r="L112" s="3458">
        <v>142.71</v>
      </c>
      <c r="M112" s="3458">
        <v>152.71</v>
      </c>
      <c r="N112" s="3458">
        <v>160.99</v>
      </c>
    </row>
    <row r="113" spans="1:14" s="3458" customFormat="1">
      <c r="A113" s="3458" t="s">
        <v>3503</v>
      </c>
      <c r="B113" s="3451">
        <f t="shared" si="1"/>
        <v>211.3</v>
      </c>
      <c r="C113" s="3458">
        <v>201.93</v>
      </c>
      <c r="D113" s="3458">
        <v>305.2</v>
      </c>
      <c r="E113" s="3458">
        <v>297.89999999999998</v>
      </c>
      <c r="F113" s="3458">
        <v>219.52</v>
      </c>
      <c r="G113" s="3458">
        <v>235.5</v>
      </c>
      <c r="H113" s="3458">
        <v>219.9</v>
      </c>
      <c r="I113" s="3458">
        <v>150.88</v>
      </c>
      <c r="J113" s="3458">
        <v>155.6</v>
      </c>
      <c r="K113" s="3458">
        <v>174.63</v>
      </c>
      <c r="L113" s="3458">
        <v>179.9</v>
      </c>
      <c r="M113" s="3458">
        <v>189.33</v>
      </c>
      <c r="N113" s="3458">
        <v>205.16</v>
      </c>
    </row>
    <row r="114" spans="1:14" s="3458" customFormat="1">
      <c r="A114" s="3458" t="s">
        <v>3504</v>
      </c>
      <c r="B114" s="3451">
        <f t="shared" si="1"/>
        <v>147.80000000000001</v>
      </c>
      <c r="C114" s="3458">
        <v>143.6</v>
      </c>
      <c r="D114" s="3458">
        <v>145.76</v>
      </c>
      <c r="E114" s="3458">
        <v>148.32</v>
      </c>
      <c r="F114" s="3458">
        <v>149.46</v>
      </c>
      <c r="G114" s="3458">
        <v>150.07</v>
      </c>
      <c r="H114" s="3458">
        <v>144.61000000000001</v>
      </c>
      <c r="I114" s="3458">
        <v>149.77000000000001</v>
      </c>
      <c r="J114" s="3458">
        <v>145.24</v>
      </c>
      <c r="K114" s="3458">
        <v>147.93</v>
      </c>
      <c r="L114" s="3458">
        <v>151.25</v>
      </c>
      <c r="M114" s="3458">
        <v>150.41</v>
      </c>
      <c r="N114" s="3458">
        <v>147.06</v>
      </c>
    </row>
    <row r="115" spans="1:14" s="3458" customFormat="1">
      <c r="A115" s="3458" t="s">
        <v>3505</v>
      </c>
      <c r="B115" s="3451">
        <f t="shared" si="1"/>
        <v>66.2</v>
      </c>
      <c r="C115" s="3458">
        <v>65.209999999999994</v>
      </c>
      <c r="D115" s="3458">
        <v>65.209999999999994</v>
      </c>
      <c r="E115" s="3458">
        <v>65.209999999999994</v>
      </c>
      <c r="F115" s="3458">
        <v>65.209999999999994</v>
      </c>
      <c r="G115" s="3458">
        <v>65.209999999999994</v>
      </c>
      <c r="H115" s="3458">
        <v>65.209999999999994</v>
      </c>
      <c r="I115" s="3458">
        <v>65.209999999999994</v>
      </c>
      <c r="J115" s="3458">
        <v>65.209999999999994</v>
      </c>
      <c r="K115" s="3458">
        <v>65.209999999999994</v>
      </c>
      <c r="L115" s="3458">
        <v>68.44</v>
      </c>
      <c r="M115" s="3458">
        <v>69.58</v>
      </c>
      <c r="N115" s="3458">
        <v>69.58</v>
      </c>
    </row>
    <row r="116" spans="1:14" s="3458" customFormat="1">
      <c r="A116" s="3458" t="s">
        <v>3506</v>
      </c>
      <c r="B116" s="3451">
        <f t="shared" si="1"/>
        <v>151.9</v>
      </c>
      <c r="C116" s="3458">
        <v>142.37</v>
      </c>
      <c r="D116" s="3458">
        <v>140.52000000000001</v>
      </c>
      <c r="E116" s="3458">
        <v>153.52000000000001</v>
      </c>
      <c r="F116" s="3458">
        <v>159</v>
      </c>
      <c r="G116" s="3458">
        <v>151.94999999999999</v>
      </c>
      <c r="H116" s="3458">
        <v>141.24</v>
      </c>
      <c r="I116" s="3458">
        <v>141.88999999999999</v>
      </c>
      <c r="J116" s="3458">
        <v>152.9</v>
      </c>
      <c r="K116" s="3458">
        <v>148.06</v>
      </c>
      <c r="L116" s="3458">
        <v>141.68</v>
      </c>
      <c r="M116" s="3458">
        <v>168.95</v>
      </c>
      <c r="N116" s="3458">
        <v>180.61</v>
      </c>
    </row>
    <row r="117" spans="1:14" s="3458" customFormat="1">
      <c r="A117" s="3458" t="s">
        <v>3507</v>
      </c>
      <c r="B117" s="3451">
        <f t="shared" si="1"/>
        <v>126.3</v>
      </c>
      <c r="C117" s="3458">
        <v>131.4</v>
      </c>
      <c r="D117" s="3458">
        <v>135.01</v>
      </c>
      <c r="E117" s="3458">
        <v>140.06</v>
      </c>
      <c r="F117" s="3458">
        <v>136.27000000000001</v>
      </c>
      <c r="G117" s="3458">
        <v>126.34</v>
      </c>
      <c r="H117" s="3458">
        <v>116.48</v>
      </c>
      <c r="I117" s="3458">
        <v>107.42</v>
      </c>
      <c r="J117" s="3458">
        <v>117.07</v>
      </c>
      <c r="K117" s="3458">
        <v>120.54</v>
      </c>
      <c r="L117" s="3458">
        <v>123.76</v>
      </c>
      <c r="M117" s="3458">
        <v>129.41999999999999</v>
      </c>
      <c r="N117" s="3458">
        <v>131.5</v>
      </c>
    </row>
    <row r="118" spans="1:14" s="3458" customFormat="1">
      <c r="A118" s="3458" t="s">
        <v>3508</v>
      </c>
      <c r="B118" s="3451" t="e">
        <f t="shared" si="1"/>
        <v>#DIV/0!</v>
      </c>
    </row>
    <row r="119" spans="1:14" s="3458" customFormat="1">
      <c r="A119" s="3458" t="s">
        <v>3509</v>
      </c>
      <c r="B119" s="3451">
        <f t="shared" si="1"/>
        <v>142.9</v>
      </c>
      <c r="C119" s="3458">
        <v>134.57</v>
      </c>
      <c r="D119" s="3458">
        <v>142.94</v>
      </c>
      <c r="E119" s="3458">
        <v>154.71</v>
      </c>
      <c r="F119" s="3458">
        <v>147.47</v>
      </c>
      <c r="G119" s="3458">
        <v>138.52000000000001</v>
      </c>
      <c r="H119" s="3458">
        <v>132.53</v>
      </c>
      <c r="I119" s="3458">
        <v>146.33000000000001</v>
      </c>
      <c r="J119" s="3458">
        <v>146.72999999999999</v>
      </c>
      <c r="K119" s="3458">
        <v>136.19999999999999</v>
      </c>
      <c r="L119" s="3458">
        <v>137.69</v>
      </c>
      <c r="M119" s="3458">
        <v>152.13</v>
      </c>
      <c r="N119" s="3458">
        <v>145.43</v>
      </c>
    </row>
    <row r="120" spans="1:14" s="3458" customFormat="1">
      <c r="A120" s="3458" t="s">
        <v>3511</v>
      </c>
      <c r="B120" s="3451">
        <f t="shared" si="1"/>
        <v>146</v>
      </c>
      <c r="G120" s="3458">
        <v>115.79</v>
      </c>
      <c r="H120" s="3458">
        <v>153.88</v>
      </c>
      <c r="I120" s="3458">
        <v>168.65</v>
      </c>
      <c r="J120" s="3458">
        <v>159.44999999999999</v>
      </c>
      <c r="K120" s="3458">
        <v>141.15</v>
      </c>
      <c r="L120" s="3458">
        <v>146.75</v>
      </c>
      <c r="M120" s="3458">
        <v>141.65</v>
      </c>
      <c r="N120" s="3458">
        <v>140.69999999999999</v>
      </c>
    </row>
    <row r="121" spans="1:14" s="3458" customFormat="1">
      <c r="A121" s="3458" t="s">
        <v>3512</v>
      </c>
      <c r="B121" s="3451">
        <f t="shared" si="1"/>
        <v>82.7</v>
      </c>
      <c r="C121" s="3458">
        <v>82.71</v>
      </c>
      <c r="D121" s="3458">
        <v>82.71</v>
      </c>
      <c r="E121" s="3458">
        <v>82.71</v>
      </c>
      <c r="F121" s="3458">
        <v>82.71</v>
      </c>
      <c r="G121" s="3458">
        <v>82.71</v>
      </c>
      <c r="H121" s="3458">
        <v>82.71</v>
      </c>
      <c r="I121" s="3458">
        <v>82.71</v>
      </c>
      <c r="J121" s="3458">
        <v>82.71</v>
      </c>
      <c r="K121" s="3458">
        <v>82.71</v>
      </c>
      <c r="L121" s="3458">
        <v>82.71</v>
      </c>
      <c r="M121" s="3458">
        <v>82.71</v>
      </c>
      <c r="N121" s="3458">
        <v>82.71</v>
      </c>
    </row>
  </sheetData>
  <mergeCells count="1">
    <mergeCell ref="A1:A2"/>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S167" sqref="S167"/>
    </sheetView>
  </sheetViews>
  <sheetFormatPr defaultRowHeight="14.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715"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715"/>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715"/>
      <c r="AC6" s="3687"/>
    </row>
    <row r="7" spans="1:29" s="108" customFormat="1" ht="15" thickBot="1">
      <c r="A7" s="362" t="s">
        <v>1679</v>
      </c>
      <c r="B7" s="363"/>
      <c r="C7" s="364">
        <f>'数据-取费表'!B2</f>
        <v>44743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0"/>
      <c r="Q22" s="1352"/>
      <c r="R22" s="705"/>
      <c r="S22" s="706"/>
      <c r="T22" s="705"/>
      <c r="U22" s="706"/>
      <c r="V22" s="705"/>
      <c r="W22" s="706"/>
      <c r="X22" s="1355"/>
      <c r="Y22" s="372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4" t="s">
        <v>1696</v>
      </c>
      <c r="Q32" s="1352" t="str">
        <f t="shared" si="11"/>
        <v>商业类型</v>
      </c>
      <c r="R32" s="705" t="s">
        <v>14</v>
      </c>
      <c r="S32" s="706">
        <f t="shared" si="12"/>
        <v>100</v>
      </c>
      <c r="T32" s="705" t="s">
        <v>14</v>
      </c>
      <c r="U32" s="706">
        <f t="shared" si="13"/>
        <v>100</v>
      </c>
      <c r="V32" s="705" t="s">
        <v>14</v>
      </c>
      <c r="W32" s="706">
        <f t="shared" si="14"/>
        <v>100</v>
      </c>
      <c r="X32" s="1355"/>
      <c r="Y32" s="372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5" t="s">
        <v>1696</v>
      </c>
      <c r="Q38" s="1352" t="str">
        <f t="shared" si="11"/>
        <v>业态</v>
      </c>
      <c r="R38" s="705" t="s">
        <v>14</v>
      </c>
      <c r="S38" s="706">
        <f t="shared" si="12"/>
        <v>100</v>
      </c>
      <c r="T38" s="705" t="s">
        <v>14</v>
      </c>
      <c r="U38" s="706">
        <f t="shared" si="13"/>
        <v>100</v>
      </c>
      <c r="V38" s="705" t="s">
        <v>14</v>
      </c>
      <c r="W38" s="706">
        <f t="shared" si="14"/>
        <v>100</v>
      </c>
      <c r="X38" s="1355"/>
      <c r="Y38" s="372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2022-7</v>
      </c>
      <c r="D58" s="1185">
        <f>EDATE(C58,-1)</f>
        <v>44713</v>
      </c>
      <c r="E58" s="1185">
        <f t="shared" ref="E58:N58" si="16">EDATE(D58,-1)</f>
        <v>44682</v>
      </c>
      <c r="F58" s="1185">
        <f t="shared" si="16"/>
        <v>44652</v>
      </c>
      <c r="G58" s="1185">
        <f t="shared" si="16"/>
        <v>44621</v>
      </c>
      <c r="H58" s="1185">
        <f t="shared" si="16"/>
        <v>44593</v>
      </c>
      <c r="I58" s="1185">
        <f t="shared" si="16"/>
        <v>44562</v>
      </c>
      <c r="J58" s="1185">
        <f t="shared" si="16"/>
        <v>44531</v>
      </c>
      <c r="K58" s="1185">
        <f t="shared" si="16"/>
        <v>44501</v>
      </c>
      <c r="L58" s="1185">
        <f t="shared" si="16"/>
        <v>44470</v>
      </c>
      <c r="M58" s="1185">
        <f t="shared" si="16"/>
        <v>44440</v>
      </c>
      <c r="N58" s="1185">
        <f t="shared" si="16"/>
        <v>44409</v>
      </c>
      <c r="O58" s="1185">
        <f>EDATE(N58,-1)</f>
        <v>44378</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c r="A5" s="358"/>
      <c r="B5" s="359"/>
      <c r="C5" s="3696" t="s">
        <v>1673</v>
      </c>
      <c r="D5" s="3697"/>
      <c r="E5" s="3694" t="s">
        <v>1674</v>
      </c>
      <c r="F5" s="3695"/>
      <c r="G5" s="3696" t="s">
        <v>1675</v>
      </c>
      <c r="H5" s="3697"/>
      <c r="I5" s="3696" t="s">
        <v>1676</v>
      </c>
      <c r="J5" s="3697"/>
      <c r="K5" s="559"/>
      <c r="L5" s="2715"/>
      <c r="M5" s="2716"/>
      <c r="N5" s="2716"/>
      <c r="O5" s="2716"/>
      <c r="P5" s="3741"/>
      <c r="Q5" s="3710"/>
      <c r="R5" s="3692"/>
      <c r="S5" s="3693"/>
      <c r="T5" s="3692"/>
      <c r="U5" s="3693"/>
      <c r="V5" s="3715"/>
      <c r="W5" s="3715"/>
      <c r="X5" s="1355"/>
      <c r="Y5" s="3692"/>
      <c r="Z5" s="3693"/>
      <c r="AA5" s="3686"/>
      <c r="AB5" s="3686"/>
      <c r="AC5" s="3737"/>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42"/>
      <c r="Q6" s="3712"/>
      <c r="R6" s="3692"/>
      <c r="S6" s="3693"/>
      <c r="T6" s="3713"/>
      <c r="U6" s="3714"/>
      <c r="V6" s="3715"/>
      <c r="W6" s="3715"/>
      <c r="X6" s="1355"/>
      <c r="Y6" s="3713"/>
      <c r="Z6" s="3714"/>
      <c r="AA6" s="3687"/>
      <c r="AB6" s="3687"/>
      <c r="AC6" s="3738"/>
    </row>
    <row r="7" spans="1:29" s="108" customFormat="1" ht="15" thickBot="1">
      <c r="A7" s="362" t="s">
        <v>1679</v>
      </c>
      <c r="B7" s="363"/>
      <c r="C7" s="364">
        <f>'数据-取费表'!B2</f>
        <v>44743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0"/>
      <c r="Q22" s="1352"/>
      <c r="R22" s="705"/>
      <c r="S22" s="706"/>
      <c r="T22" s="705"/>
      <c r="U22" s="706"/>
      <c r="V22" s="705"/>
      <c r="W22" s="706"/>
      <c r="X22" s="1355"/>
      <c r="Y22" s="372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1352"/>
      <c r="R26" s="705"/>
      <c r="S26" s="706"/>
      <c r="T26" s="705"/>
      <c r="U26" s="706"/>
      <c r="V26" s="705"/>
      <c r="W26" s="706"/>
      <c r="X26" s="1355"/>
      <c r="Y26" s="372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4" t="s">
        <v>1696</v>
      </c>
      <c r="Q33" s="1352" t="str">
        <f t="shared" si="11"/>
        <v>建筑类型</v>
      </c>
      <c r="R33" s="705" t="s">
        <v>14</v>
      </c>
      <c r="S33" s="706">
        <f t="shared" si="12"/>
        <v>100</v>
      </c>
      <c r="T33" s="705" t="s">
        <v>14</v>
      </c>
      <c r="U33" s="706">
        <f t="shared" si="13"/>
        <v>100</v>
      </c>
      <c r="V33" s="705" t="s">
        <v>14</v>
      </c>
      <c r="W33" s="706">
        <f t="shared" si="14"/>
        <v>100</v>
      </c>
      <c r="X33" s="1355"/>
      <c r="Y33" s="372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5"/>
      <c r="Q37" s="1352" t="str">
        <f t="shared" si="11"/>
        <v>成新度</v>
      </c>
      <c r="R37" s="705" t="s">
        <v>14</v>
      </c>
      <c r="S37" s="706" t="e">
        <f t="shared" si="12"/>
        <v>#N/A</v>
      </c>
      <c r="T37" s="705" t="s">
        <v>14</v>
      </c>
      <c r="U37" s="706" t="e">
        <f t="shared" si="13"/>
        <v>#N/A</v>
      </c>
      <c r="V37" s="705" t="s">
        <v>14</v>
      </c>
      <c r="W37" s="706" t="e">
        <f t="shared" si="14"/>
        <v>#N/A</v>
      </c>
      <c r="X37" s="1355"/>
      <c r="Y37" s="372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5" t="s">
        <v>1696</v>
      </c>
      <c r="Q39" s="1352" t="str">
        <f t="shared" si="11"/>
        <v>物业管理</v>
      </c>
      <c r="R39" s="705" t="s">
        <v>14</v>
      </c>
      <c r="S39" s="706">
        <f t="shared" si="12"/>
        <v>100</v>
      </c>
      <c r="T39" s="705" t="s">
        <v>14</v>
      </c>
      <c r="U39" s="706">
        <f t="shared" si="13"/>
        <v>100</v>
      </c>
      <c r="V39" s="705" t="s">
        <v>14</v>
      </c>
      <c r="W39" s="706">
        <f t="shared" si="14"/>
        <v>100</v>
      </c>
      <c r="X39" s="1355"/>
      <c r="Y39" s="372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2022-7</v>
      </c>
      <c r="D59" s="1185">
        <f>EDATE(C59,-1)</f>
        <v>44713</v>
      </c>
      <c r="E59" s="1185">
        <f>EDATE(D59,-1)</f>
        <v>44682</v>
      </c>
      <c r="F59" s="1185">
        <f t="shared" ref="F59:O59" si="16">EDATE(E59,-1)</f>
        <v>44652</v>
      </c>
      <c r="G59" s="1185">
        <f t="shared" si="16"/>
        <v>44621</v>
      </c>
      <c r="H59" s="1185">
        <f t="shared" si="16"/>
        <v>44593</v>
      </c>
      <c r="I59" s="1185">
        <f t="shared" si="16"/>
        <v>44562</v>
      </c>
      <c r="J59" s="1185">
        <f t="shared" si="16"/>
        <v>44531</v>
      </c>
      <c r="K59" s="1185">
        <f t="shared" si="16"/>
        <v>44501</v>
      </c>
      <c r="L59" s="1185">
        <f t="shared" si="16"/>
        <v>44470</v>
      </c>
      <c r="M59" s="1185">
        <f t="shared" si="16"/>
        <v>44440</v>
      </c>
      <c r="N59" s="1185">
        <f t="shared" si="16"/>
        <v>44409</v>
      </c>
      <c r="O59" s="1185">
        <f t="shared" si="16"/>
        <v>44378</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913"/>
      <c r="M6" s="914"/>
      <c r="N6" s="914"/>
      <c r="O6" s="914"/>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2" t="str">
        <f t="shared" si="11"/>
        <v>市政基础设施</v>
      </c>
      <c r="R35" s="705" t="s">
        <v>14</v>
      </c>
      <c r="S35" s="706">
        <f t="shared" si="12"/>
        <v>100</v>
      </c>
      <c r="T35" s="705" t="s">
        <v>14</v>
      </c>
      <c r="U35" s="706">
        <f t="shared" si="13"/>
        <v>100</v>
      </c>
      <c r="V35" s="705" t="s">
        <v>14</v>
      </c>
      <c r="W35" s="706">
        <f t="shared" si="14"/>
        <v>100</v>
      </c>
      <c r="X35" s="1355"/>
      <c r="Y35" s="372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2022-7</v>
      </c>
      <c r="D52" s="1185">
        <f>EDATE(C52,-1)</f>
        <v>44713</v>
      </c>
      <c r="E52" s="1185">
        <f t="shared" ref="E52:O52" si="16">EDATE(D52,-1)</f>
        <v>44682</v>
      </c>
      <c r="F52" s="1185">
        <f t="shared" si="16"/>
        <v>44652</v>
      </c>
      <c r="G52" s="1185">
        <f t="shared" si="16"/>
        <v>44621</v>
      </c>
      <c r="H52" s="1185">
        <f t="shared" si="16"/>
        <v>44593</v>
      </c>
      <c r="I52" s="1185">
        <f t="shared" si="16"/>
        <v>44562</v>
      </c>
      <c r="J52" s="1185">
        <f t="shared" si="16"/>
        <v>44531</v>
      </c>
      <c r="K52" s="1185">
        <f t="shared" si="16"/>
        <v>44501</v>
      </c>
      <c r="L52" s="1185">
        <f t="shared" si="16"/>
        <v>44470</v>
      </c>
      <c r="M52" s="1185">
        <f t="shared" si="16"/>
        <v>44440</v>
      </c>
      <c r="N52" s="1185">
        <f t="shared" si="16"/>
        <v>44409</v>
      </c>
      <c r="O52" s="1185">
        <f t="shared" si="16"/>
        <v>44378</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3"/>
      <c r="Q15" s="1352"/>
      <c r="R15" s="705"/>
      <c r="S15" s="706"/>
      <c r="T15" s="705"/>
      <c r="U15" s="706"/>
      <c r="V15" s="705"/>
      <c r="W15" s="706"/>
      <c r="X15" s="1355"/>
      <c r="Y15" s="372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3"/>
      <c r="Q17" s="1352"/>
      <c r="R17" s="705"/>
      <c r="S17" s="706"/>
      <c r="T17" s="705"/>
      <c r="U17" s="706"/>
      <c r="V17" s="705"/>
      <c r="W17" s="706"/>
      <c r="X17" s="1355"/>
      <c r="Y17" s="372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3"/>
      <c r="Q19" s="1352"/>
      <c r="R19" s="705"/>
      <c r="S19" s="706"/>
      <c r="T19" s="705"/>
      <c r="U19" s="706"/>
      <c r="V19" s="705"/>
      <c r="W19" s="706"/>
      <c r="X19" s="1355"/>
      <c r="Y19" s="372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3"/>
      <c r="Q21" s="1352"/>
      <c r="R21" s="705"/>
      <c r="S21" s="706"/>
      <c r="T21" s="705"/>
      <c r="U21" s="706"/>
      <c r="V21" s="705"/>
      <c r="W21" s="706"/>
      <c r="X21" s="1355"/>
      <c r="Y21" s="372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7"/>
      <c r="Q29" s="1352" t="str">
        <f t="shared" si="11"/>
        <v>成新率</v>
      </c>
      <c r="R29" s="705" t="s">
        <v>14</v>
      </c>
      <c r="S29" s="706" t="e">
        <f t="shared" si="12"/>
        <v>#N/A</v>
      </c>
      <c r="T29" s="705" t="s">
        <v>14</v>
      </c>
      <c r="U29" s="706" t="e">
        <f t="shared" si="13"/>
        <v>#N/A</v>
      </c>
      <c r="V29" s="705" t="s">
        <v>14</v>
      </c>
      <c r="W29" s="706" t="e">
        <f t="shared" si="14"/>
        <v>#N/A</v>
      </c>
      <c r="X29" s="1355"/>
      <c r="Y29" s="372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7"/>
      <c r="Q31" s="1343"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7" t="s">
        <v>1696</v>
      </c>
      <c r="Q32" s="1352" t="str">
        <f t="shared" si="11"/>
        <v>车位类型</v>
      </c>
      <c r="R32" s="705" t="s">
        <v>14</v>
      </c>
      <c r="S32" s="706">
        <f t="shared" si="12"/>
        <v>100</v>
      </c>
      <c r="T32" s="705" t="s">
        <v>14</v>
      </c>
      <c r="U32" s="706">
        <f t="shared" si="13"/>
        <v>100</v>
      </c>
      <c r="V32" s="705" t="s">
        <v>14</v>
      </c>
      <c r="W32" s="706">
        <f t="shared" si="14"/>
        <v>100</v>
      </c>
      <c r="X32" s="1355"/>
      <c r="Y32" s="372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4"/>
      <c r="M37" s="2725"/>
      <c r="N37" s="2716"/>
      <c r="O37" s="2725"/>
      <c r="P37" s="3720" t="str">
        <f>A37</f>
        <v>成交单价</v>
      </c>
      <c r="Q37" s="3720"/>
      <c r="R37" s="3721">
        <f>E37</f>
        <v>0</v>
      </c>
      <c r="S37" s="3721"/>
      <c r="T37" s="3721">
        <f>G37</f>
        <v>0</v>
      </c>
      <c r="U37" s="3721"/>
      <c r="V37" s="3721">
        <f>I37</f>
        <v>0</v>
      </c>
      <c r="W37" s="372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2022-7</v>
      </c>
      <c r="D48" s="1185">
        <f>EDATE(C48,-1)</f>
        <v>44713</v>
      </c>
      <c r="E48" s="1185">
        <f t="shared" ref="E48:O48" si="16">EDATE(D48,-1)</f>
        <v>44682</v>
      </c>
      <c r="F48" s="1185">
        <f t="shared" si="16"/>
        <v>44652</v>
      </c>
      <c r="G48" s="1185">
        <f t="shared" si="16"/>
        <v>44621</v>
      </c>
      <c r="H48" s="1185">
        <f t="shared" si="16"/>
        <v>44593</v>
      </c>
      <c r="I48" s="1185">
        <f t="shared" si="16"/>
        <v>44562</v>
      </c>
      <c r="J48" s="1185">
        <f t="shared" si="16"/>
        <v>44531</v>
      </c>
      <c r="K48" s="1185">
        <f t="shared" si="16"/>
        <v>44501</v>
      </c>
      <c r="L48" s="1185">
        <f t="shared" si="16"/>
        <v>44470</v>
      </c>
      <c r="M48" s="1185">
        <f t="shared" si="16"/>
        <v>44440</v>
      </c>
      <c r="N48" s="1185">
        <f t="shared" si="16"/>
        <v>44409</v>
      </c>
      <c r="O48" s="1185">
        <f t="shared" si="16"/>
        <v>44378</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3"/>
      <c r="Q15" s="1352"/>
      <c r="R15" s="705"/>
      <c r="S15" s="706"/>
      <c r="T15" s="705"/>
      <c r="U15" s="706"/>
      <c r="V15" s="705"/>
      <c r="W15" s="706"/>
      <c r="X15" s="1355"/>
      <c r="Y15" s="372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3"/>
      <c r="Q17" s="1352"/>
      <c r="R17" s="705"/>
      <c r="S17" s="706"/>
      <c r="T17" s="705"/>
      <c r="U17" s="706"/>
      <c r="V17" s="705"/>
      <c r="W17" s="706"/>
      <c r="X17" s="1355"/>
      <c r="Y17" s="372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3"/>
      <c r="Q19" s="1352"/>
      <c r="R19" s="705"/>
      <c r="S19" s="706"/>
      <c r="T19" s="705"/>
      <c r="U19" s="706"/>
      <c r="V19" s="705"/>
      <c r="W19" s="706"/>
      <c r="X19" s="1355"/>
      <c r="Y19" s="372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3"/>
      <c r="Q21" s="1352"/>
      <c r="R21" s="705"/>
      <c r="S21" s="706"/>
      <c r="T21" s="705"/>
      <c r="U21" s="706"/>
      <c r="V21" s="705"/>
      <c r="W21" s="706"/>
      <c r="X21" s="1355"/>
      <c r="Y21" s="372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7" t="s">
        <v>1696</v>
      </c>
      <c r="Q32" s="1352">
        <f t="shared" si="11"/>
        <v>111</v>
      </c>
      <c r="R32" s="705" t="s">
        <v>14</v>
      </c>
      <c r="S32" s="706">
        <f t="shared" si="12"/>
        <v>100</v>
      </c>
      <c r="T32" s="705" t="s">
        <v>14</v>
      </c>
      <c r="U32" s="706">
        <f t="shared" si="13"/>
        <v>100</v>
      </c>
      <c r="V32" s="705" t="s">
        <v>14</v>
      </c>
      <c r="W32" s="706">
        <f t="shared" si="14"/>
        <v>100</v>
      </c>
      <c r="X32" s="1355"/>
      <c r="Y32" s="372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2022-7</v>
      </c>
      <c r="D46" s="1185">
        <f>EDATE(C46,-1)</f>
        <v>44713</v>
      </c>
      <c r="E46" s="1185">
        <f t="shared" ref="E46:O46" si="16">EDATE(D46,-1)</f>
        <v>44682</v>
      </c>
      <c r="F46" s="1185">
        <f t="shared" si="16"/>
        <v>44652</v>
      </c>
      <c r="G46" s="1185">
        <f t="shared" si="16"/>
        <v>44621</v>
      </c>
      <c r="H46" s="1185">
        <f t="shared" si="16"/>
        <v>44593</v>
      </c>
      <c r="I46" s="1185">
        <f t="shared" si="16"/>
        <v>44562</v>
      </c>
      <c r="J46" s="1185">
        <f t="shared" si="16"/>
        <v>44531</v>
      </c>
      <c r="K46" s="1185">
        <f t="shared" si="16"/>
        <v>44501</v>
      </c>
      <c r="L46" s="1185">
        <f t="shared" si="16"/>
        <v>44470</v>
      </c>
      <c r="M46" s="1185">
        <f t="shared" si="16"/>
        <v>44440</v>
      </c>
      <c r="N46" s="1185">
        <f t="shared" si="16"/>
        <v>44409</v>
      </c>
      <c r="O46" s="1185">
        <f t="shared" si="16"/>
        <v>44378</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30">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30"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30" s="108" customFormat="1" ht="15" thickBot="1">
      <c r="A7" s="362" t="s">
        <v>1679</v>
      </c>
      <c r="B7" s="363"/>
      <c r="C7" s="364">
        <f>'数据-取费表'!B2</f>
        <v>44743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0"/>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3"/>
      <c r="Q20" s="1352"/>
      <c r="R20" s="705"/>
      <c r="S20" s="706"/>
      <c r="T20" s="705"/>
      <c r="U20" s="706"/>
      <c r="V20" s="705"/>
      <c r="W20" s="706"/>
      <c r="X20" s="1355"/>
      <c r="Y20" s="372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3"/>
      <c r="Q24" s="1352"/>
      <c r="R24" s="705"/>
      <c r="S24" s="706"/>
      <c r="T24" s="705"/>
      <c r="U24" s="706"/>
      <c r="V24" s="705"/>
      <c r="W24" s="706"/>
      <c r="X24" s="1355"/>
      <c r="Y24" s="372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3"/>
      <c r="Q26" s="1352"/>
      <c r="R26" s="705"/>
      <c r="S26" s="706"/>
      <c r="T26" s="705"/>
      <c r="U26" s="706"/>
      <c r="V26" s="705"/>
      <c r="W26" s="706"/>
      <c r="X26" s="1355"/>
      <c r="Y26" s="372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3"/>
      <c r="Q28" s="1343"/>
      <c r="R28" s="701"/>
      <c r="S28" s="702"/>
      <c r="T28" s="701"/>
      <c r="U28" s="702"/>
      <c r="V28" s="701"/>
      <c r="W28" s="702"/>
      <c r="X28" s="703"/>
      <c r="Y28" s="372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3"/>
      <c r="Q30" s="1343"/>
      <c r="R30" s="701"/>
      <c r="S30" s="702"/>
      <c r="T30" s="701"/>
      <c r="U30" s="702"/>
      <c r="V30" s="701"/>
      <c r="W30" s="702"/>
      <c r="X30" s="703"/>
      <c r="Y30" s="372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3"/>
      <c r="Q33" s="1352"/>
      <c r="R33" s="705"/>
      <c r="S33" s="706"/>
      <c r="T33" s="705"/>
      <c r="U33" s="706"/>
      <c r="V33" s="705"/>
      <c r="W33" s="706"/>
      <c r="X33" s="1355"/>
      <c r="Y33" s="372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7" t="s">
        <v>1696</v>
      </c>
      <c r="Q42" s="1352" t="str">
        <f t="shared" si="14"/>
        <v>工程地质条件</v>
      </c>
      <c r="R42" s="705" t="s">
        <v>14</v>
      </c>
      <c r="S42" s="706">
        <f t="shared" si="10"/>
        <v>100</v>
      </c>
      <c r="T42" s="705" t="s">
        <v>14</v>
      </c>
      <c r="U42" s="706">
        <f t="shared" si="11"/>
        <v>100</v>
      </c>
      <c r="V42" s="705" t="s">
        <v>14</v>
      </c>
      <c r="W42" s="706">
        <f t="shared" si="12"/>
        <v>100</v>
      </c>
      <c r="X42" s="1355"/>
      <c r="Y42" s="372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0" t="str">
        <f>A46</f>
        <v>成交单价</v>
      </c>
      <c r="Q46" s="3720"/>
      <c r="R46" s="3715">
        <f>E46</f>
        <v>0</v>
      </c>
      <c r="S46" s="3715"/>
      <c r="T46" s="3715">
        <f>G46</f>
        <v>0</v>
      </c>
      <c r="U46" s="3715"/>
      <c r="V46" s="3715">
        <f>I46</f>
        <v>0</v>
      </c>
      <c r="W46" s="371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0" t="str">
        <f>A47</f>
        <v>比较价值（元/平方米）</v>
      </c>
      <c r="Q47" s="3720"/>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2"/>
      <c r="H56" s="372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2022-7-1</v>
      </c>
      <c r="D67" s="692">
        <f>EDATE(C67,-3)</f>
        <v>44652</v>
      </c>
      <c r="E67" s="692">
        <f>EDATE(D67,-3)</f>
        <v>44562</v>
      </c>
      <c r="F67" s="692">
        <f t="shared" ref="F67:O67" si="18">EDATE(E67,-3)</f>
        <v>44470</v>
      </c>
      <c r="G67" s="692">
        <f t="shared" si="18"/>
        <v>44378</v>
      </c>
      <c r="H67" s="692">
        <f t="shared" si="18"/>
        <v>44287</v>
      </c>
      <c r="I67" s="692">
        <f t="shared" si="18"/>
        <v>44197</v>
      </c>
      <c r="J67" s="692">
        <f t="shared" si="18"/>
        <v>44105</v>
      </c>
      <c r="K67" s="692">
        <f t="shared" si="18"/>
        <v>44013</v>
      </c>
      <c r="L67" s="692">
        <f t="shared" si="18"/>
        <v>43922</v>
      </c>
      <c r="M67" s="692">
        <f t="shared" si="18"/>
        <v>43831</v>
      </c>
      <c r="N67" s="692">
        <f t="shared" si="18"/>
        <v>43739</v>
      </c>
      <c r="O67" s="692">
        <f t="shared" si="18"/>
        <v>43647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753" t="s">
        <v>1919</v>
      </c>
      <c r="D6" s="3754"/>
      <c r="E6" s="3755" t="s">
        <v>1919</v>
      </c>
      <c r="F6" s="3756"/>
      <c r="G6" s="3753" t="s">
        <v>1919</v>
      </c>
      <c r="H6" s="3754"/>
      <c r="I6" s="3753" t="s">
        <v>1919</v>
      </c>
      <c r="J6" s="3754"/>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3"/>
      <c r="Q20" s="1352"/>
      <c r="R20" s="705"/>
      <c r="S20" s="706"/>
      <c r="T20" s="705"/>
      <c r="U20" s="706"/>
      <c r="V20" s="705"/>
      <c r="W20" s="706"/>
      <c r="X20" s="1355"/>
      <c r="Y20" s="372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3"/>
      <c r="Q24" s="1343"/>
      <c r="R24" s="701"/>
      <c r="S24" s="702"/>
      <c r="T24" s="701"/>
      <c r="U24" s="702"/>
      <c r="V24" s="701"/>
      <c r="W24" s="702"/>
      <c r="X24" s="703"/>
      <c r="Y24" s="372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3"/>
      <c r="Q26" s="1343"/>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3"/>
      <c r="Q29" s="1352"/>
      <c r="R29" s="705"/>
      <c r="S29" s="706"/>
      <c r="T29" s="705"/>
      <c r="U29" s="706"/>
      <c r="V29" s="705"/>
      <c r="W29" s="706"/>
      <c r="X29" s="1355"/>
      <c r="Y29" s="372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7" t="s">
        <v>1696</v>
      </c>
      <c r="Q37" s="1352" t="str">
        <f t="shared" si="14"/>
        <v>工程地质条件</v>
      </c>
      <c r="R37" s="705" t="s">
        <v>14</v>
      </c>
      <c r="S37" s="706">
        <f t="shared" si="10"/>
        <v>100</v>
      </c>
      <c r="T37" s="705" t="s">
        <v>14</v>
      </c>
      <c r="U37" s="706">
        <f t="shared" si="11"/>
        <v>100</v>
      </c>
      <c r="V37" s="705" t="s">
        <v>14</v>
      </c>
      <c r="W37" s="706">
        <f t="shared" si="12"/>
        <v>100</v>
      </c>
      <c r="X37" s="1355"/>
      <c r="Y37" s="372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0" t="str">
        <f>A41</f>
        <v>成交单价</v>
      </c>
      <c r="Q41" s="3720"/>
      <c r="R41" s="3715">
        <f>E41</f>
        <v>0</v>
      </c>
      <c r="S41" s="3715"/>
      <c r="T41" s="3715">
        <f>G41</f>
        <v>0</v>
      </c>
      <c r="U41" s="3715"/>
      <c r="V41" s="3715">
        <f>I41</f>
        <v>0</v>
      </c>
      <c r="W41" s="371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0" t="str">
        <f>A42</f>
        <v>比较价值（元/平方米）</v>
      </c>
      <c r="Q42" s="3720"/>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3"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2"/>
      <c r="H51" s="372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2022-7-1</v>
      </c>
      <c r="D63" s="692">
        <f>EDATE(C63,-3)</f>
        <v>44652</v>
      </c>
      <c r="E63" s="692">
        <f>EDATE(D63,-3)</f>
        <v>44562</v>
      </c>
      <c r="F63" s="692">
        <f t="shared" ref="F63:O63" si="18">EDATE(E63,-3)</f>
        <v>44470</v>
      </c>
      <c r="G63" s="692">
        <f t="shared" si="18"/>
        <v>44378</v>
      </c>
      <c r="H63" s="692">
        <f t="shared" si="18"/>
        <v>44287</v>
      </c>
      <c r="I63" s="692">
        <f t="shared" si="18"/>
        <v>44197</v>
      </c>
      <c r="J63" s="692">
        <f t="shared" si="18"/>
        <v>44105</v>
      </c>
      <c r="K63" s="692">
        <f t="shared" si="18"/>
        <v>44013</v>
      </c>
      <c r="L63" s="692">
        <f t="shared" si="18"/>
        <v>43922</v>
      </c>
      <c r="M63" s="692">
        <f t="shared" si="18"/>
        <v>43831</v>
      </c>
      <c r="N63" s="692">
        <f t="shared" si="18"/>
        <v>43739</v>
      </c>
      <c r="O63" s="692">
        <f t="shared" si="18"/>
        <v>43647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4" sqref="H14"/>
      <selection pane="bottomLeft" activeCell="H14" sqref="H1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4" sqref="H1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14" sqref="H1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4" t="s">
        <v>3256</v>
      </c>
      <c r="B20" s="167" t="s">
        <v>1994</v>
      </c>
      <c r="C20" s="3325" t="e">
        <f>ROUND(IF(F21="与级别开发程度一致",0,(G21-E21)/C21),0)</f>
        <v>#DIV/0!</v>
      </c>
      <c r="D20" s="3341" t="s">
        <v>1998</v>
      </c>
      <c r="E20" s="3342"/>
      <c r="F20" s="3780" t="s">
        <v>1995</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44743</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2022</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9"/>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2614</v>
      </c>
      <c r="B91" s="3378">
        <f>1+E93</f>
        <v>1</v>
      </c>
      <c r="C91" s="3371"/>
      <c r="D91" s="3372"/>
      <c r="E91" s="1814"/>
      <c r="F91" s="1814"/>
      <c r="G91" s="3373"/>
      <c r="H91" s="3374"/>
      <c r="I91" s="3375"/>
      <c r="J91" s="3376"/>
      <c r="K91" s="3376"/>
      <c r="L91" s="3376"/>
      <c r="M91" s="3376"/>
      <c r="N91" s="3376"/>
    </row>
    <row r="92" spans="1:37" ht="25.2">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9" t="s">
        <v>2609</v>
      </c>
      <c r="B20" s="3782" t="s">
        <v>2630</v>
      </c>
      <c r="C20" s="3103" t="s">
        <v>2441</v>
      </c>
      <c r="D20" s="3104"/>
      <c r="E20" s="3105">
        <v>1</v>
      </c>
      <c r="F20" s="3106" t="s">
        <v>2442</v>
      </c>
      <c r="G20" s="3106"/>
    </row>
    <row r="21" spans="1:13" ht="19.5" customHeight="1">
      <c r="A21" s="3790"/>
      <c r="B21" s="3783"/>
      <c r="C21" s="3107" t="s">
        <v>2443</v>
      </c>
      <c r="D21" s="3108"/>
      <c r="E21" s="3109">
        <v>1</v>
      </c>
      <c r="F21" s="3106" t="s">
        <v>2444</v>
      </c>
      <c r="G21" s="3106"/>
    </row>
    <row r="22" spans="1:13" ht="19.5" customHeight="1">
      <c r="A22" s="3790"/>
      <c r="B22" s="3783"/>
      <c r="C22" s="3107" t="s">
        <v>2445</v>
      </c>
      <c r="D22" s="3108"/>
      <c r="E22" s="3109">
        <v>0.9</v>
      </c>
      <c r="F22" s="3106" t="s">
        <v>2446</v>
      </c>
      <c r="G22" s="3106"/>
    </row>
    <row r="23" spans="1:13" ht="19.5" customHeight="1">
      <c r="A23" s="3790"/>
      <c r="B23" s="3783"/>
      <c r="C23" s="3107" t="s">
        <v>2447</v>
      </c>
      <c r="D23" s="3108"/>
      <c r="E23" s="3109">
        <v>0.9</v>
      </c>
      <c r="F23" s="3106" t="s">
        <v>2448</v>
      </c>
      <c r="G23" s="3106"/>
    </row>
    <row r="24" spans="1:13" ht="19.5" customHeight="1">
      <c r="A24" s="3790"/>
      <c r="B24" s="3783"/>
      <c r="C24" s="3107" t="s">
        <v>2449</v>
      </c>
      <c r="D24" s="3108"/>
      <c r="E24" s="3109">
        <v>0.8</v>
      </c>
      <c r="F24" s="3106" t="s">
        <v>2450</v>
      </c>
      <c r="G24" s="3106"/>
    </row>
    <row r="25" spans="1:13" ht="19.5" customHeight="1" thickBot="1">
      <c r="A25" s="3791"/>
      <c r="B25" s="378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5" t="s">
        <v>2633</v>
      </c>
      <c r="B27" s="3782" t="s">
        <v>2614</v>
      </c>
      <c r="C27" s="3103" t="s">
        <v>2454</v>
      </c>
      <c r="D27" s="3104"/>
      <c r="E27" s="3105">
        <v>1</v>
      </c>
      <c r="F27" s="3106" t="s">
        <v>2455</v>
      </c>
      <c r="G27" s="3106"/>
    </row>
    <row r="28" spans="1:13" ht="19.5" customHeight="1">
      <c r="A28" s="3786"/>
      <c r="B28" s="3783"/>
      <c r="C28" s="3107" t="s">
        <v>2456</v>
      </c>
      <c r="D28" s="3108"/>
      <c r="E28" s="3109">
        <v>1</v>
      </c>
      <c r="F28" s="3106" t="s">
        <v>2457</v>
      </c>
      <c r="G28" s="3106"/>
    </row>
    <row r="29" spans="1:13" ht="19.5" customHeight="1">
      <c r="A29" s="3786"/>
      <c r="B29" s="3783"/>
      <c r="C29" s="3107" t="s">
        <v>2458</v>
      </c>
      <c r="D29" s="3108"/>
      <c r="E29" s="3109">
        <v>0.8</v>
      </c>
      <c r="F29" s="3106" t="s">
        <v>2459</v>
      </c>
      <c r="G29" s="3106"/>
    </row>
    <row r="30" spans="1:13" ht="19.5" customHeight="1">
      <c r="A30" s="3786"/>
      <c r="B30" s="3783"/>
      <c r="C30" s="3107" t="s">
        <v>2460</v>
      </c>
      <c r="D30" s="3108"/>
      <c r="E30" s="3109">
        <v>0.8</v>
      </c>
      <c r="F30" s="3106" t="s">
        <v>2461</v>
      </c>
      <c r="G30" s="3106"/>
    </row>
    <row r="31" spans="1:13" ht="19.5" customHeight="1">
      <c r="A31" s="3786"/>
      <c r="B31" s="3783"/>
      <c r="C31" s="3107" t="s">
        <v>2462</v>
      </c>
      <c r="D31" s="3108"/>
      <c r="E31" s="3109">
        <v>0.8</v>
      </c>
      <c r="F31" s="3106" t="s">
        <v>2463</v>
      </c>
      <c r="G31" s="3106"/>
    </row>
    <row r="32" spans="1:13" ht="19.5" customHeight="1">
      <c r="A32" s="3786"/>
      <c r="B32" s="3783"/>
      <c r="C32" s="3107" t="s">
        <v>2464</v>
      </c>
      <c r="D32" s="3108"/>
      <c r="E32" s="3109">
        <v>0.7</v>
      </c>
      <c r="F32" s="3106" t="s">
        <v>2465</v>
      </c>
      <c r="G32" s="3106"/>
    </row>
    <row r="33" spans="1:7" ht="19.5" customHeight="1">
      <c r="A33" s="3786"/>
      <c r="B33" s="3783"/>
      <c r="C33" s="3107" t="s">
        <v>2466</v>
      </c>
      <c r="D33" s="3108"/>
      <c r="E33" s="3109">
        <v>0.8</v>
      </c>
      <c r="F33" s="3106" t="s">
        <v>2467</v>
      </c>
      <c r="G33" s="3106"/>
    </row>
    <row r="34" spans="1:7" ht="19.5" customHeight="1">
      <c r="A34" s="3786"/>
      <c r="B34" s="3783"/>
      <c r="C34" s="3107" t="s">
        <v>2468</v>
      </c>
      <c r="D34" s="3108"/>
      <c r="E34" s="3109">
        <v>0.6</v>
      </c>
      <c r="F34" s="3106" t="s">
        <v>2469</v>
      </c>
      <c r="G34" s="3106"/>
    </row>
    <row r="35" spans="1:7" ht="19.5" customHeight="1">
      <c r="A35" s="3786"/>
      <c r="B35" s="3783"/>
      <c r="C35" s="3107" t="s">
        <v>2470</v>
      </c>
      <c r="D35" s="3108"/>
      <c r="E35" s="3109">
        <v>0.2</v>
      </c>
      <c r="F35" s="3106" t="s">
        <v>2471</v>
      </c>
      <c r="G35" s="3106"/>
    </row>
    <row r="36" spans="1:7" ht="19.5" customHeight="1">
      <c r="A36" s="3786"/>
      <c r="B36" s="3783"/>
      <c r="C36" s="3107" t="s">
        <v>2472</v>
      </c>
      <c r="D36" s="3108"/>
      <c r="E36" s="3109">
        <v>0.2</v>
      </c>
      <c r="F36" s="3106" t="s">
        <v>2473</v>
      </c>
      <c r="G36" s="3106"/>
    </row>
    <row r="37" spans="1:7" ht="19.5" customHeight="1">
      <c r="A37" s="3786"/>
      <c r="B37" s="3788" t="s">
        <v>2634</v>
      </c>
      <c r="C37" s="3107" t="s">
        <v>2474</v>
      </c>
      <c r="D37" s="3108"/>
      <c r="E37" s="3109">
        <v>0.6</v>
      </c>
      <c r="F37" s="3106" t="s">
        <v>2475</v>
      </c>
      <c r="G37" s="3106"/>
    </row>
    <row r="38" spans="1:7" ht="19.5" customHeight="1">
      <c r="A38" s="3786"/>
      <c r="B38" s="3783"/>
      <c r="C38" s="3107" t="s">
        <v>2476</v>
      </c>
      <c r="D38" s="3108"/>
      <c r="E38" s="3109">
        <v>0.6</v>
      </c>
      <c r="F38" s="3106" t="s">
        <v>2477</v>
      </c>
      <c r="G38" s="3106"/>
    </row>
    <row r="39" spans="1:7" ht="19.5" customHeight="1" thickBot="1">
      <c r="A39" s="3787"/>
      <c r="B39" s="378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9" t="s">
        <v>2612</v>
      </c>
      <c r="B41" s="3782" t="s">
        <v>2636</v>
      </c>
      <c r="C41" s="3103" t="s">
        <v>2481</v>
      </c>
      <c r="D41" s="3104"/>
      <c r="E41" s="3105">
        <v>1</v>
      </c>
      <c r="F41" s="3106" t="s">
        <v>2482</v>
      </c>
      <c r="G41" s="3106"/>
    </row>
    <row r="42" spans="1:7" ht="19.5" customHeight="1">
      <c r="A42" s="3790"/>
      <c r="B42" s="3783"/>
      <c r="C42" s="3107" t="s">
        <v>2483</v>
      </c>
      <c r="D42" s="3108"/>
      <c r="E42" s="3109">
        <v>1</v>
      </c>
      <c r="F42" s="3106" t="s">
        <v>2484</v>
      </c>
      <c r="G42" s="3106"/>
    </row>
    <row r="43" spans="1:7" ht="19.5" customHeight="1">
      <c r="A43" s="3790"/>
      <c r="B43" s="3792"/>
      <c r="C43" s="3107" t="s">
        <v>2485</v>
      </c>
      <c r="D43" s="3108"/>
      <c r="E43" s="3109">
        <v>1.5</v>
      </c>
      <c r="F43" s="3106" t="s">
        <v>2486</v>
      </c>
      <c r="G43" s="3106"/>
    </row>
    <row r="44" spans="1:7" ht="19.5" customHeight="1">
      <c r="A44" s="3790"/>
      <c r="B44" s="3118" t="s">
        <v>2637</v>
      </c>
      <c r="C44" s="3107" t="s">
        <v>2638</v>
      </c>
      <c r="D44" s="3108"/>
      <c r="E44" s="3109">
        <v>2</v>
      </c>
      <c r="F44" s="3106" t="s">
        <v>2487</v>
      </c>
      <c r="G44" s="3106"/>
    </row>
    <row r="45" spans="1:7" ht="19.5" customHeight="1">
      <c r="A45" s="3790"/>
      <c r="B45" s="3788" t="s">
        <v>2639</v>
      </c>
      <c r="C45" s="3107" t="s">
        <v>2488</v>
      </c>
      <c r="D45" s="3108"/>
      <c r="E45" s="3109">
        <v>1</v>
      </c>
      <c r="F45" s="3106" t="s">
        <v>2489</v>
      </c>
      <c r="G45" s="3106"/>
    </row>
    <row r="46" spans="1:7" ht="19.5" customHeight="1">
      <c r="A46" s="3790"/>
      <c r="B46" s="3783"/>
      <c r="C46" s="3107" t="s">
        <v>2490</v>
      </c>
      <c r="D46" s="3108"/>
      <c r="E46" s="3109">
        <v>1</v>
      </c>
      <c r="F46" s="3106" t="s">
        <v>2491</v>
      </c>
      <c r="G46" s="3106"/>
    </row>
    <row r="47" spans="1:7" ht="19.5" customHeight="1">
      <c r="A47" s="3790"/>
      <c r="B47" s="3783"/>
      <c r="C47" s="3107" t="s">
        <v>2492</v>
      </c>
      <c r="D47" s="3108"/>
      <c r="E47" s="3109">
        <v>1</v>
      </c>
      <c r="F47" s="3106" t="s">
        <v>2493</v>
      </c>
      <c r="G47" s="3106"/>
    </row>
    <row r="48" spans="1:7" ht="19.5" customHeight="1">
      <c r="A48" s="3790"/>
      <c r="B48" s="3783"/>
      <c r="C48" s="3107" t="s">
        <v>2494</v>
      </c>
      <c r="D48" s="3108"/>
      <c r="E48" s="3109">
        <v>1</v>
      </c>
      <c r="F48" s="3106" t="s">
        <v>2495</v>
      </c>
      <c r="G48" s="3106"/>
    </row>
    <row r="49" spans="1:7" ht="19.5" customHeight="1">
      <c r="A49" s="3790"/>
      <c r="B49" s="3783"/>
      <c r="C49" s="3107" t="s">
        <v>2496</v>
      </c>
      <c r="D49" s="3108"/>
      <c r="E49" s="3109">
        <v>1</v>
      </c>
      <c r="F49" s="3106" t="s">
        <v>2497</v>
      </c>
      <c r="G49" s="3106"/>
    </row>
    <row r="50" spans="1:7" ht="19.5" customHeight="1">
      <c r="A50" s="3790"/>
      <c r="B50" s="3783"/>
      <c r="C50" s="3107" t="s">
        <v>2498</v>
      </c>
      <c r="D50" s="3108"/>
      <c r="E50" s="3109">
        <v>1</v>
      </c>
      <c r="F50" s="3106" t="s">
        <v>2499</v>
      </c>
      <c r="G50" s="3106"/>
    </row>
    <row r="51" spans="1:7" ht="19.5" customHeight="1" thickBot="1">
      <c r="A51" s="3791"/>
      <c r="B51" s="378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4.4">
      <c r="A72" s="3118"/>
      <c r="B72" s="3118"/>
      <c r="C72" s="3118" t="s">
        <v>2652</v>
      </c>
      <c r="D72" s="3118"/>
      <c r="E72" s="3118" t="s">
        <v>2623</v>
      </c>
      <c r="F72" s="3118" t="s">
        <v>2623</v>
      </c>
    </row>
    <row r="73" spans="1:7" ht="14.4">
      <c r="A73" s="3118">
        <v>1</v>
      </c>
      <c r="B73" s="3788" t="s">
        <v>2653</v>
      </c>
      <c r="C73" s="3092" t="s">
        <v>2654</v>
      </c>
      <c r="D73" s="3092" t="s">
        <v>2655</v>
      </c>
      <c r="E73" s="3118">
        <v>0.2</v>
      </c>
      <c r="F73" s="3118">
        <v>25</v>
      </c>
    </row>
    <row r="74" spans="1:7" ht="24">
      <c r="A74" s="3118">
        <v>2</v>
      </c>
      <c r="B74" s="3783"/>
      <c r="C74" s="3092" t="s">
        <v>2656</v>
      </c>
      <c r="D74" s="3092" t="s">
        <v>2657</v>
      </c>
      <c r="E74" s="3118">
        <v>0.2</v>
      </c>
      <c r="F74" s="3118">
        <v>25</v>
      </c>
    </row>
    <row r="75" spans="1:7" ht="24">
      <c r="A75" s="3118">
        <v>3</v>
      </c>
      <c r="B75" s="3783"/>
      <c r="C75" s="3092" t="s">
        <v>2658</v>
      </c>
      <c r="D75" s="3092" t="s">
        <v>2659</v>
      </c>
      <c r="E75" s="3118">
        <v>0.2</v>
      </c>
      <c r="F75" s="3118">
        <v>25</v>
      </c>
    </row>
    <row r="76" spans="1:7" ht="14.4">
      <c r="A76" s="3118">
        <v>4</v>
      </c>
      <c r="B76" s="3783"/>
      <c r="C76" s="3092" t="s">
        <v>2660</v>
      </c>
      <c r="D76" s="3092" t="s">
        <v>2661</v>
      </c>
      <c r="E76" s="3118">
        <v>0.15</v>
      </c>
      <c r="F76" s="3118">
        <v>20</v>
      </c>
    </row>
    <row r="77" spans="1:7" ht="24">
      <c r="A77" s="3118">
        <v>5</v>
      </c>
      <c r="B77" s="3783"/>
      <c r="C77" s="3092" t="s">
        <v>2662</v>
      </c>
      <c r="D77" s="3092" t="s">
        <v>2663</v>
      </c>
      <c r="E77" s="3118">
        <v>0.15</v>
      </c>
      <c r="F77" s="3118">
        <v>20</v>
      </c>
    </row>
    <row r="78" spans="1:7" ht="24">
      <c r="A78" s="3118">
        <v>6</v>
      </c>
      <c r="B78" s="3783"/>
      <c r="C78" s="3092" t="s">
        <v>2664</v>
      </c>
      <c r="D78" s="3092" t="s">
        <v>2665</v>
      </c>
      <c r="E78" s="3118">
        <v>0.15</v>
      </c>
      <c r="F78" s="3118">
        <v>20</v>
      </c>
    </row>
    <row r="79" spans="1:7" ht="24">
      <c r="A79" s="3118">
        <v>7</v>
      </c>
      <c r="B79" s="3783"/>
      <c r="C79" s="3092" t="s">
        <v>2666</v>
      </c>
      <c r="D79" s="3092" t="s">
        <v>2667</v>
      </c>
      <c r="E79" s="3118">
        <v>0.15</v>
      </c>
      <c r="F79" s="3118">
        <v>20</v>
      </c>
    </row>
    <row r="80" spans="1:7" ht="24">
      <c r="A80" s="3118">
        <v>8</v>
      </c>
      <c r="B80" s="3783"/>
      <c r="C80" s="3092" t="s">
        <v>2668</v>
      </c>
      <c r="D80" s="3092" t="s">
        <v>2669</v>
      </c>
      <c r="E80" s="3118">
        <v>0.1</v>
      </c>
      <c r="F80" s="3118">
        <v>15</v>
      </c>
    </row>
    <row r="81" spans="1:6" ht="24">
      <c r="A81" s="3118">
        <v>9</v>
      </c>
      <c r="B81" s="3783"/>
      <c r="C81" s="3092" t="s">
        <v>2670</v>
      </c>
      <c r="D81" s="3092" t="s">
        <v>2671</v>
      </c>
      <c r="E81" s="3118">
        <v>0.1</v>
      </c>
      <c r="F81" s="3118">
        <v>15</v>
      </c>
    </row>
    <row r="82" spans="1:6" ht="24">
      <c r="A82" s="3118">
        <v>10</v>
      </c>
      <c r="B82" s="3783"/>
      <c r="C82" s="3092" t="s">
        <v>2672</v>
      </c>
      <c r="D82" s="3092" t="s">
        <v>2673</v>
      </c>
      <c r="E82" s="3118">
        <v>0.1</v>
      </c>
      <c r="F82" s="3118">
        <v>15</v>
      </c>
    </row>
    <row r="83" spans="1:6" ht="24">
      <c r="A83" s="3118">
        <v>11</v>
      </c>
      <c r="B83" s="3783"/>
      <c r="C83" s="3092" t="s">
        <v>2674</v>
      </c>
      <c r="D83" s="3092" t="s">
        <v>2675</v>
      </c>
      <c r="E83" s="3118">
        <v>0.1</v>
      </c>
      <c r="F83" s="3118">
        <v>15</v>
      </c>
    </row>
    <row r="84" spans="1:6" ht="24">
      <c r="A84" s="3118">
        <v>12</v>
      </c>
      <c r="B84" s="3783"/>
      <c r="C84" s="3092" t="s">
        <v>2676</v>
      </c>
      <c r="D84" s="3092" t="s">
        <v>2677</v>
      </c>
      <c r="E84" s="3118">
        <v>0.1</v>
      </c>
      <c r="F84" s="3118">
        <v>15</v>
      </c>
    </row>
    <row r="85" spans="1:6" ht="24">
      <c r="A85" s="3118">
        <v>13</v>
      </c>
      <c r="B85" s="3783"/>
      <c r="C85" s="3092" t="s">
        <v>2678</v>
      </c>
      <c r="D85" s="3092" t="s">
        <v>2679</v>
      </c>
      <c r="E85" s="3118">
        <v>0.1</v>
      </c>
      <c r="F85" s="3118">
        <v>15</v>
      </c>
    </row>
    <row r="86" spans="1:6" ht="24">
      <c r="A86" s="3118">
        <v>14</v>
      </c>
      <c r="B86" s="3783"/>
      <c r="C86" s="3092" t="s">
        <v>2680</v>
      </c>
      <c r="D86" s="3092" t="s">
        <v>2681</v>
      </c>
      <c r="E86" s="3118">
        <v>0.1</v>
      </c>
      <c r="F86" s="3118">
        <v>15</v>
      </c>
    </row>
    <row r="87" spans="1:6" ht="24">
      <c r="A87" s="3118">
        <v>15</v>
      </c>
      <c r="B87" s="3783"/>
      <c r="C87" s="3092" t="s">
        <v>2682</v>
      </c>
      <c r="D87" s="3092" t="s">
        <v>2683</v>
      </c>
      <c r="E87" s="3118">
        <v>0.1</v>
      </c>
      <c r="F87" s="3118">
        <v>15</v>
      </c>
    </row>
    <row r="88" spans="1:6" ht="24">
      <c r="A88" s="3118">
        <v>16</v>
      </c>
      <c r="B88" s="3783"/>
      <c r="C88" s="3092" t="s">
        <v>2684</v>
      </c>
      <c r="D88" s="3092" t="s">
        <v>2685</v>
      </c>
      <c r="E88" s="3118">
        <v>0.1</v>
      </c>
      <c r="F88" s="3118">
        <v>15</v>
      </c>
    </row>
    <row r="89" spans="1:6" ht="24">
      <c r="A89" s="3118">
        <v>17</v>
      </c>
      <c r="B89" s="3792"/>
      <c r="C89" s="3092" t="s">
        <v>2686</v>
      </c>
      <c r="D89" s="3092" t="s">
        <v>2687</v>
      </c>
      <c r="E89" s="3118">
        <v>0.1</v>
      </c>
      <c r="F89" s="3118">
        <v>15</v>
      </c>
    </row>
    <row r="90" spans="1:6" ht="14.4">
      <c r="A90" s="3118">
        <v>18</v>
      </c>
      <c r="B90" s="3788" t="s">
        <v>2688</v>
      </c>
      <c r="C90" s="3092" t="s">
        <v>2689</v>
      </c>
      <c r="D90" s="3092" t="s">
        <v>2690</v>
      </c>
      <c r="E90" s="3118">
        <v>0.2</v>
      </c>
      <c r="F90" s="3118">
        <v>25</v>
      </c>
    </row>
    <row r="91" spans="1:6" ht="24">
      <c r="A91" s="3118">
        <v>19</v>
      </c>
      <c r="B91" s="3783"/>
      <c r="C91" s="3092" t="s">
        <v>2691</v>
      </c>
      <c r="D91" s="3092" t="s">
        <v>2692</v>
      </c>
      <c r="E91" s="3118">
        <v>0.2</v>
      </c>
      <c r="F91" s="3118">
        <v>25</v>
      </c>
    </row>
    <row r="92" spans="1:6" ht="14.4">
      <c r="A92" s="3118">
        <v>20</v>
      </c>
      <c r="B92" s="3783"/>
      <c r="C92" s="3092" t="s">
        <v>2693</v>
      </c>
      <c r="D92" s="3092" t="s">
        <v>2694</v>
      </c>
      <c r="E92" s="3118">
        <v>0.15</v>
      </c>
      <c r="F92" s="3118">
        <v>20</v>
      </c>
    </row>
    <row r="93" spans="1:6" ht="24">
      <c r="A93" s="3118">
        <v>21</v>
      </c>
      <c r="B93" s="3783"/>
      <c r="C93" s="3092" t="s">
        <v>2695</v>
      </c>
      <c r="D93" s="3092" t="s">
        <v>2696</v>
      </c>
      <c r="E93" s="3118">
        <v>0.15</v>
      </c>
      <c r="F93" s="3118">
        <v>20</v>
      </c>
    </row>
    <row r="94" spans="1:6" ht="24">
      <c r="A94" s="3118">
        <v>22</v>
      </c>
      <c r="B94" s="3783"/>
      <c r="C94" s="3092" t="s">
        <v>2697</v>
      </c>
      <c r="D94" s="3092" t="s">
        <v>2698</v>
      </c>
      <c r="E94" s="3118">
        <v>0.15</v>
      </c>
      <c r="F94" s="3118">
        <v>20</v>
      </c>
    </row>
    <row r="95" spans="1:6" ht="36">
      <c r="A95" s="3118">
        <v>23</v>
      </c>
      <c r="B95" s="3783"/>
      <c r="C95" s="3092" t="s">
        <v>2699</v>
      </c>
      <c r="D95" s="3092" t="s">
        <v>2700</v>
      </c>
      <c r="E95" s="3118">
        <v>0.15</v>
      </c>
      <c r="F95" s="3118">
        <v>20</v>
      </c>
    </row>
    <row r="96" spans="1:6" ht="24">
      <c r="A96" s="3118">
        <v>24</v>
      </c>
      <c r="B96" s="3783"/>
      <c r="C96" s="3092" t="s">
        <v>2701</v>
      </c>
      <c r="D96" s="3092" t="s">
        <v>2702</v>
      </c>
      <c r="E96" s="3118">
        <v>0.1</v>
      </c>
      <c r="F96" s="3118">
        <v>15</v>
      </c>
    </row>
    <row r="97" spans="1:6" ht="24">
      <c r="A97" s="3118">
        <v>25</v>
      </c>
      <c r="B97" s="3783"/>
      <c r="C97" s="3092" t="s">
        <v>2703</v>
      </c>
      <c r="D97" s="3092" t="s">
        <v>2704</v>
      </c>
      <c r="E97" s="3118">
        <v>0.1</v>
      </c>
      <c r="F97" s="3118">
        <v>15</v>
      </c>
    </row>
    <row r="98" spans="1:6" ht="24">
      <c r="A98" s="3118">
        <v>26</v>
      </c>
      <c r="B98" s="3783"/>
      <c r="C98" s="3092" t="s">
        <v>2705</v>
      </c>
      <c r="D98" s="3092" t="s">
        <v>2706</v>
      </c>
      <c r="E98" s="3118">
        <v>0.1</v>
      </c>
      <c r="F98" s="3118">
        <v>15</v>
      </c>
    </row>
    <row r="99" spans="1:6" ht="24">
      <c r="A99" s="3118">
        <v>27</v>
      </c>
      <c r="B99" s="3783"/>
      <c r="C99" s="3092" t="s">
        <v>2707</v>
      </c>
      <c r="D99" s="3092" t="s">
        <v>2708</v>
      </c>
      <c r="E99" s="3118">
        <v>0.1</v>
      </c>
      <c r="F99" s="3118">
        <v>15</v>
      </c>
    </row>
    <row r="100" spans="1:6" ht="24">
      <c r="A100" s="3118">
        <v>28</v>
      </c>
      <c r="B100" s="3783"/>
      <c r="C100" s="3092" t="s">
        <v>2709</v>
      </c>
      <c r="D100" s="3092" t="s">
        <v>2710</v>
      </c>
      <c r="E100" s="3118">
        <v>0.1</v>
      </c>
      <c r="F100" s="3118">
        <v>15</v>
      </c>
    </row>
    <row r="101" spans="1:6" ht="24">
      <c r="A101" s="3118">
        <v>29</v>
      </c>
      <c r="B101" s="3783"/>
      <c r="C101" s="3092" t="s">
        <v>2711</v>
      </c>
      <c r="D101" s="3092" t="s">
        <v>2712</v>
      </c>
      <c r="E101" s="3118">
        <v>0.1</v>
      </c>
      <c r="F101" s="3118">
        <v>15</v>
      </c>
    </row>
    <row r="102" spans="1:6" ht="24">
      <c r="A102" s="3118">
        <v>30</v>
      </c>
      <c r="B102" s="3783"/>
      <c r="C102" s="3092" t="s">
        <v>2713</v>
      </c>
      <c r="D102" s="3092" t="s">
        <v>2714</v>
      </c>
      <c r="E102" s="3118">
        <v>0.1</v>
      </c>
      <c r="F102" s="3118">
        <v>15</v>
      </c>
    </row>
    <row r="103" spans="1:6" ht="24">
      <c r="A103" s="3118">
        <v>31</v>
      </c>
      <c r="B103" s="3783"/>
      <c r="C103" s="3092" t="s">
        <v>2715</v>
      </c>
      <c r="D103" s="3092" t="s">
        <v>2716</v>
      </c>
      <c r="E103" s="3118">
        <v>0.1</v>
      </c>
      <c r="F103" s="3118">
        <v>15</v>
      </c>
    </row>
    <row r="104" spans="1:6" ht="24">
      <c r="A104" s="3118">
        <v>32</v>
      </c>
      <c r="B104" s="3783"/>
      <c r="C104" s="3092" t="s">
        <v>2717</v>
      </c>
      <c r="D104" s="3092" t="s">
        <v>2718</v>
      </c>
      <c r="E104" s="3118">
        <v>0.1</v>
      </c>
      <c r="F104" s="3118">
        <v>15</v>
      </c>
    </row>
    <row r="105" spans="1:6" ht="24">
      <c r="A105" s="3118">
        <v>33</v>
      </c>
      <c r="B105" s="3783"/>
      <c r="C105" s="3092" t="s">
        <v>2719</v>
      </c>
      <c r="D105" s="3092" t="s">
        <v>2720</v>
      </c>
      <c r="E105" s="3118">
        <v>0.1</v>
      </c>
      <c r="F105" s="3118">
        <v>15</v>
      </c>
    </row>
    <row r="106" spans="1:6" ht="24">
      <c r="A106" s="3118">
        <v>34</v>
      </c>
      <c r="B106" s="3792"/>
      <c r="C106" s="3092" t="s">
        <v>2721</v>
      </c>
      <c r="D106" s="3092" t="s">
        <v>2722</v>
      </c>
      <c r="E106" s="3118">
        <v>0.1</v>
      </c>
      <c r="F106" s="3118">
        <v>15</v>
      </c>
    </row>
    <row r="107" spans="1:6" ht="36">
      <c r="A107" s="3118">
        <v>35</v>
      </c>
      <c r="B107" s="3788" t="s">
        <v>2723</v>
      </c>
      <c r="C107" s="3118" t="s">
        <v>2724</v>
      </c>
      <c r="D107" s="3092" t="s">
        <v>2725</v>
      </c>
      <c r="E107" s="3118">
        <v>0.15</v>
      </c>
      <c r="F107" s="3118">
        <v>20</v>
      </c>
    </row>
    <row r="108" spans="1:6" ht="24">
      <c r="A108" s="3118">
        <v>36</v>
      </c>
      <c r="B108" s="3783"/>
      <c r="C108" s="3118" t="s">
        <v>2726</v>
      </c>
      <c r="D108" s="3092" t="s">
        <v>2727</v>
      </c>
      <c r="E108" s="3118">
        <v>0.15</v>
      </c>
      <c r="F108" s="3118">
        <v>20</v>
      </c>
    </row>
    <row r="109" spans="1:6" ht="24">
      <c r="A109" s="3118">
        <v>37</v>
      </c>
      <c r="B109" s="3783"/>
      <c r="C109" s="3118" t="s">
        <v>2728</v>
      </c>
      <c r="D109" s="3092" t="s">
        <v>2729</v>
      </c>
      <c r="E109" s="3118">
        <v>0.15</v>
      </c>
      <c r="F109" s="3118">
        <v>20</v>
      </c>
    </row>
    <row r="110" spans="1:6" ht="24">
      <c r="A110" s="3118">
        <v>38</v>
      </c>
      <c r="B110" s="3783"/>
      <c r="C110" s="3118" t="s">
        <v>2730</v>
      </c>
      <c r="D110" s="3092" t="s">
        <v>2731</v>
      </c>
      <c r="E110" s="3118">
        <v>0.1</v>
      </c>
      <c r="F110" s="3118">
        <v>15</v>
      </c>
    </row>
    <row r="111" spans="1:6" ht="24">
      <c r="A111" s="3118">
        <v>39</v>
      </c>
      <c r="B111" s="3783"/>
      <c r="C111" s="3118" t="s">
        <v>2732</v>
      </c>
      <c r="D111" s="3092" t="s">
        <v>2733</v>
      </c>
      <c r="E111" s="3118">
        <v>0.1</v>
      </c>
      <c r="F111" s="3118">
        <v>15</v>
      </c>
    </row>
    <row r="112" spans="1:6" ht="24">
      <c r="A112" s="3118">
        <v>40</v>
      </c>
      <c r="B112" s="3792"/>
      <c r="C112" s="3118" t="s">
        <v>2734</v>
      </c>
      <c r="D112" s="3092" t="s">
        <v>2735</v>
      </c>
      <c r="E112" s="3118">
        <v>0.1</v>
      </c>
      <c r="F112" s="3118">
        <v>15</v>
      </c>
    </row>
    <row r="113" spans="1:6" ht="24">
      <c r="A113" s="3118">
        <v>41</v>
      </c>
      <c r="B113" s="3793" t="s">
        <v>2736</v>
      </c>
      <c r="C113" s="3118" t="s">
        <v>2737</v>
      </c>
      <c r="D113" s="3092" t="s">
        <v>2738</v>
      </c>
      <c r="E113" s="3118">
        <v>0.1</v>
      </c>
      <c r="F113" s="3118">
        <v>15</v>
      </c>
    </row>
    <row r="114" spans="1:6" ht="24">
      <c r="A114" s="3118">
        <v>42</v>
      </c>
      <c r="B114" s="3793"/>
      <c r="C114" s="3118" t="s">
        <v>2739</v>
      </c>
      <c r="D114" s="3092" t="s">
        <v>2740</v>
      </c>
      <c r="E114" s="3118">
        <v>0.1</v>
      </c>
      <c r="F114" s="3118">
        <v>15</v>
      </c>
    </row>
    <row r="115" spans="1:6" ht="24">
      <c r="A115" s="3118">
        <v>43</v>
      </c>
      <c r="B115" s="3793"/>
      <c r="C115" s="3118" t="s">
        <v>2741</v>
      </c>
      <c r="D115" s="3092" t="s">
        <v>2742</v>
      </c>
      <c r="E115" s="3118">
        <v>0.1</v>
      </c>
      <c r="F115" s="3118">
        <v>15</v>
      </c>
    </row>
    <row r="116" spans="1:6" ht="24">
      <c r="A116" s="3118">
        <v>44</v>
      </c>
      <c r="B116" s="3788" t="s">
        <v>2743</v>
      </c>
      <c r="C116" s="3118" t="s">
        <v>2744</v>
      </c>
      <c r="D116" s="3092" t="s">
        <v>2745</v>
      </c>
      <c r="E116" s="3118">
        <v>0.1</v>
      </c>
      <c r="F116" s="3118">
        <v>15</v>
      </c>
    </row>
    <row r="117" spans="1:6" ht="24">
      <c r="A117" s="3118">
        <v>45</v>
      </c>
      <c r="B117" s="3792"/>
      <c r="C117" s="3092" t="s">
        <v>2746</v>
      </c>
      <c r="D117" s="3092" t="s">
        <v>2747</v>
      </c>
      <c r="E117" s="3118">
        <v>0.1</v>
      </c>
      <c r="F117" s="3118">
        <v>15</v>
      </c>
    </row>
    <row r="118" spans="1:6" ht="24">
      <c r="A118" s="3118">
        <v>46</v>
      </c>
      <c r="B118" s="3788" t="s">
        <v>2748</v>
      </c>
      <c r="C118" s="3118" t="s">
        <v>2749</v>
      </c>
      <c r="D118" s="3092" t="s">
        <v>2750</v>
      </c>
      <c r="E118" s="3118">
        <v>0.1</v>
      </c>
      <c r="F118" s="3118">
        <v>15</v>
      </c>
    </row>
    <row r="119" spans="1:6" ht="24">
      <c r="A119" s="3118">
        <v>47</v>
      </c>
      <c r="B119" s="3792"/>
      <c r="C119" s="3118" t="s">
        <v>2751</v>
      </c>
      <c r="D119" s="3092" t="s">
        <v>2752</v>
      </c>
      <c r="E119" s="3118">
        <v>0.1</v>
      </c>
      <c r="F119" s="3118">
        <v>15</v>
      </c>
    </row>
    <row r="120" spans="1:6" ht="24">
      <c r="A120" s="3118">
        <v>48</v>
      </c>
      <c r="B120" s="3788" t="s">
        <v>2753</v>
      </c>
      <c r="C120" s="3118" t="s">
        <v>2754</v>
      </c>
      <c r="D120" s="3092" t="s">
        <v>2755</v>
      </c>
      <c r="E120" s="3118">
        <v>0.1</v>
      </c>
      <c r="F120" s="3118">
        <v>15</v>
      </c>
    </row>
    <row r="121" spans="1:6" ht="24">
      <c r="A121" s="3118">
        <v>49</v>
      </c>
      <c r="B121" s="3792"/>
      <c r="C121" s="3118" t="s">
        <v>2756</v>
      </c>
      <c r="D121" s="3092" t="s">
        <v>2757</v>
      </c>
      <c r="E121" s="3118">
        <v>0.1</v>
      </c>
      <c r="F121" s="3118">
        <v>15</v>
      </c>
    </row>
    <row r="122" spans="1:6" ht="24">
      <c r="A122" s="3118">
        <v>50</v>
      </c>
      <c r="B122" s="3793" t="s">
        <v>2758</v>
      </c>
      <c r="C122" s="3118" t="s">
        <v>2759</v>
      </c>
      <c r="D122" s="3092" t="s">
        <v>2760</v>
      </c>
      <c r="E122" s="3118">
        <v>0.1</v>
      </c>
      <c r="F122" s="3118">
        <v>15</v>
      </c>
    </row>
    <row r="123" spans="1:6" ht="24">
      <c r="A123" s="3118">
        <v>51</v>
      </c>
      <c r="B123" s="3793"/>
      <c r="C123" s="3118" t="s">
        <v>2761</v>
      </c>
      <c r="D123" s="3092" t="s">
        <v>2762</v>
      </c>
      <c r="E123" s="3118">
        <v>0.1</v>
      </c>
      <c r="F123" s="3118">
        <v>15</v>
      </c>
    </row>
    <row r="124" spans="1:6" ht="24">
      <c r="A124" s="3118">
        <v>52</v>
      </c>
      <c r="B124" s="3793" t="s">
        <v>2763</v>
      </c>
      <c r="C124" s="3118" t="s">
        <v>2764</v>
      </c>
      <c r="D124" s="3092" t="s">
        <v>2765</v>
      </c>
      <c r="E124" s="3118">
        <v>0.1</v>
      </c>
      <c r="F124" s="3118">
        <v>15</v>
      </c>
    </row>
    <row r="125" spans="1:6" ht="24">
      <c r="A125" s="3118">
        <v>53</v>
      </c>
      <c r="B125" s="3793"/>
      <c r="C125" s="3118" t="s">
        <v>2766</v>
      </c>
      <c r="D125" s="3092" t="s">
        <v>2767</v>
      </c>
      <c r="E125" s="3118">
        <v>0.1</v>
      </c>
      <c r="F125" s="3118">
        <v>15</v>
      </c>
    </row>
    <row r="126" spans="1:6" ht="24">
      <c r="A126" s="3118">
        <v>54</v>
      </c>
      <c r="B126" s="3118" t="s">
        <v>2768</v>
      </c>
      <c r="C126" s="3118" t="s">
        <v>2769</v>
      </c>
      <c r="D126" s="3092" t="s">
        <v>2770</v>
      </c>
      <c r="E126" s="3118">
        <v>0.1</v>
      </c>
      <c r="F126" s="3118">
        <v>15</v>
      </c>
    </row>
    <row r="127" spans="1:6" ht="24">
      <c r="A127" s="3118">
        <v>55</v>
      </c>
      <c r="B127" s="3793" t="s">
        <v>2771</v>
      </c>
      <c r="C127" s="3118" t="s">
        <v>2772</v>
      </c>
      <c r="D127" s="3092" t="s">
        <v>2773</v>
      </c>
      <c r="E127" s="3118">
        <v>0.1</v>
      </c>
      <c r="F127" s="3118">
        <v>15</v>
      </c>
    </row>
    <row r="128" spans="1:6" ht="24">
      <c r="A128" s="3118">
        <v>56</v>
      </c>
      <c r="B128" s="3793"/>
      <c r="C128" s="3118" t="s">
        <v>2774</v>
      </c>
      <c r="D128" s="3092" t="s">
        <v>2775</v>
      </c>
      <c r="E128" s="3118">
        <v>0.1</v>
      </c>
      <c r="F128" s="3118">
        <v>15</v>
      </c>
    </row>
    <row r="129" spans="1:6" ht="24">
      <c r="A129" s="3118">
        <v>57</v>
      </c>
      <c r="B129" s="3793"/>
      <c r="C129" s="3118" t="s">
        <v>2776</v>
      </c>
      <c r="D129" s="3092" t="s">
        <v>2777</v>
      </c>
      <c r="E129" s="3118">
        <v>0.1</v>
      </c>
      <c r="F129" s="3118">
        <v>15</v>
      </c>
    </row>
    <row r="130" spans="1:6" ht="24">
      <c r="A130" s="3118">
        <v>58</v>
      </c>
      <c r="B130" s="3793" t="s">
        <v>2778</v>
      </c>
      <c r="C130" s="3118" t="s">
        <v>2779</v>
      </c>
      <c r="D130" s="3092" t="s">
        <v>2780</v>
      </c>
      <c r="E130" s="3118">
        <v>0.1</v>
      </c>
      <c r="F130" s="3118">
        <v>15</v>
      </c>
    </row>
    <row r="131" spans="1:6" ht="24">
      <c r="A131" s="3118">
        <v>59</v>
      </c>
      <c r="B131" s="3793"/>
      <c r="C131" s="3118" t="s">
        <v>2781</v>
      </c>
      <c r="D131" s="3092" t="s">
        <v>2782</v>
      </c>
      <c r="E131" s="3118">
        <v>0.1</v>
      </c>
      <c r="F131" s="3118">
        <v>15</v>
      </c>
    </row>
    <row r="132" spans="1:6" ht="24">
      <c r="A132" s="3118">
        <v>60</v>
      </c>
      <c r="B132" s="3788" t="s">
        <v>2783</v>
      </c>
      <c r="C132" s="3118" t="s">
        <v>2784</v>
      </c>
      <c r="D132" s="3092" t="s">
        <v>2785</v>
      </c>
      <c r="E132" s="3118">
        <v>0.1</v>
      </c>
      <c r="F132" s="3118">
        <v>15</v>
      </c>
    </row>
    <row r="133" spans="1:6" ht="24">
      <c r="A133" s="3118">
        <v>61</v>
      </c>
      <c r="B133" s="379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24">
      <c r="A135" s="3118">
        <v>63</v>
      </c>
      <c r="B135" s="3793" t="s">
        <v>2791</v>
      </c>
      <c r="C135" s="3118" t="s">
        <v>2792</v>
      </c>
      <c r="D135" s="3092" t="s">
        <v>2793</v>
      </c>
      <c r="E135" s="3118">
        <v>0.1</v>
      </c>
      <c r="F135" s="3118">
        <v>15</v>
      </c>
    </row>
    <row r="136" spans="1:6" ht="24">
      <c r="A136" s="3118">
        <v>64</v>
      </c>
      <c r="B136" s="3793"/>
      <c r="C136" s="3118" t="s">
        <v>2794</v>
      </c>
      <c r="D136" s="3092" t="s">
        <v>2795</v>
      </c>
      <c r="E136" s="3118">
        <v>0.1</v>
      </c>
      <c r="F136" s="3118">
        <v>15</v>
      </c>
    </row>
    <row r="137" spans="1:6" ht="24">
      <c r="A137" s="3118">
        <v>65</v>
      </c>
      <c r="B137" s="3118" t="s">
        <v>2796</v>
      </c>
      <c r="C137" s="3118" t="s">
        <v>2797</v>
      </c>
      <c r="D137" s="3092" t="s">
        <v>2798</v>
      </c>
      <c r="E137" s="3118">
        <v>0.1</v>
      </c>
      <c r="F137" s="3118">
        <v>15</v>
      </c>
    </row>
    <row r="138" spans="1:6" ht="14.4">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6" t="s">
        <v>94</v>
      </c>
    </row>
    <row r="43" spans="1:7" ht="13.5" customHeight="1">
      <c r="A43" s="780" t="s">
        <v>347</v>
      </c>
      <c r="B43" s="215" t="s">
        <v>426</v>
      </c>
      <c r="C43" s="238" t="e">
        <f ca="1">ROUND(IF('数据-取费表'!B22&lt;=1,C39*F22*'数据-取费表'!B21/2,C39*(POWER((1+F22),'数据-取费表'!B21/2)-1)),0)</f>
        <v>#VALUE!</v>
      </c>
      <c r="D43" s="238"/>
      <c r="E43" s="238"/>
      <c r="F43" s="239"/>
      <c r="G43" s="3657"/>
    </row>
    <row r="44" spans="1:7" ht="13.5" customHeight="1">
      <c r="A44" s="780" t="s">
        <v>348</v>
      </c>
      <c r="B44" s="215" t="s">
        <v>428</v>
      </c>
      <c r="C44" s="238" t="e">
        <f ca="1">ROUND(IF('数据-取费表'!B22&lt;=1,C40*F22*'数据-取费表'!B21/2,C40*(POWER((1+F22),'数据-取费表'!B21/2)-1)),4)</f>
        <v>#VALUE!</v>
      </c>
      <c r="D44" s="238"/>
      <c r="E44" s="238"/>
      <c r="F44" s="239"/>
      <c r="G44" s="365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8"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6" t="s">
        <v>2841</v>
      </c>
      <c r="B1" s="3796"/>
      <c r="C1" s="3796"/>
      <c r="D1" s="3796"/>
      <c r="E1" s="3796"/>
      <c r="F1" s="3796"/>
      <c r="G1" s="379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1.4"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1.4" thickBot="1">
      <c r="A4" s="379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1.4"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1.4"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1.4"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1.4"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8" t="s">
        <v>3183</v>
      </c>
      <c r="B1" s="3798"/>
    </row>
    <row r="2" spans="1:7" ht="15" thickBot="1">
      <c r="A2" s="3255"/>
      <c r="B2" s="3255"/>
    </row>
    <row r="3" spans="1:7" ht="15" thickBot="1">
      <c r="A3" s="3255"/>
      <c r="B3" s="3255"/>
      <c r="C3" s="3256" t="s">
        <v>2813</v>
      </c>
      <c r="D3" s="3256" t="s">
        <v>2869</v>
      </c>
      <c r="E3" s="3256" t="s">
        <v>2815</v>
      </c>
      <c r="F3" s="3256" t="s">
        <v>2870</v>
      </c>
      <c r="G3" s="3256" t="s">
        <v>2633</v>
      </c>
    </row>
    <row r="4" spans="1:7" ht="1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9" t="s">
        <v>3234</v>
      </c>
      <c r="B1" s="3799"/>
      <c r="C1" s="3799"/>
      <c r="D1" s="3799"/>
      <c r="E1" s="3799"/>
      <c r="F1" s="380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4.4"/>
  <cols>
    <col min="1" max="1" width="13.88671875" customWidth="1"/>
    <col min="11" max="17" width="0" hidden="1" customWidth="1"/>
    <col min="25" max="30" width="0" hidden="1" customWidth="1"/>
  </cols>
  <sheetData>
    <row r="1" spans="1:30">
      <c r="A1" s="3221">
        <f>基准地价修正!G23</f>
        <v>44743</v>
      </c>
      <c r="B1" s="3210" t="s">
        <v>3384</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3.2">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3.2">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3387</v>
      </c>
    </row>
    <row r="24" spans="1:30" s="3009" customFormat="1">
      <c r="I24" s="3208" t="s">
        <v>2827</v>
      </c>
    </row>
    <row r="25" spans="1:30" s="3009" customFormat="1"/>
    <row r="26" spans="1:30" s="3209" customFormat="1" ht="13.2">
      <c r="B26" s="3210" t="s">
        <v>3385</v>
      </c>
      <c r="C26" s="3211"/>
      <c r="D26" s="3211"/>
      <c r="E26" s="3211"/>
      <c r="F26" s="3211"/>
      <c r="G26" s="3211"/>
      <c r="H26" s="3211"/>
      <c r="I26" s="3211"/>
      <c r="J26" s="3165"/>
      <c r="K26" s="3211" t="s">
        <v>2828</v>
      </c>
      <c r="L26" s="3211"/>
      <c r="M26" s="3211"/>
      <c r="N26" s="3211"/>
      <c r="O26" s="3211"/>
      <c r="P26" s="3211"/>
      <c r="Q26" s="3165"/>
      <c r="R26" s="3801" t="s">
        <v>2829</v>
      </c>
      <c r="S26" s="3802"/>
      <c r="T26" s="3802"/>
      <c r="U26" s="3802"/>
      <c r="V26" s="3802"/>
      <c r="W26" s="3802"/>
      <c r="X26" s="3165"/>
      <c r="Y26" s="3801" t="s">
        <v>2830</v>
      </c>
      <c r="Z26" s="3802"/>
      <c r="AA26" s="3802"/>
      <c r="AB26" s="3802"/>
      <c r="AC26" s="3802"/>
      <c r="AD26" s="3802"/>
    </row>
    <row r="27" spans="1:30" s="3143" customFormat="1" ht="1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3.2">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3.2">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44743</v>
      </c>
      <c r="D1" s="1302" t="s">
        <v>603</v>
      </c>
      <c r="E1" s="1297">
        <f>'数据-取费表'!B22</f>
        <v>0</v>
      </c>
      <c r="F1" s="1302" t="s">
        <v>604</v>
      </c>
      <c r="G1" s="1298" t="e">
        <f ca="1">INDIRECT("d"&amp;$K$1)/100</f>
        <v>#VALUE!</v>
      </c>
      <c r="H1" s="1302" t="s">
        <v>634</v>
      </c>
      <c r="I1" s="1298">
        <f ca="1">F4/100</f>
        <v>1.4999999999999999E-2</v>
      </c>
      <c r="J1" s="1303">
        <f>IF(C1&gt;C13,0,MATCH(C1,C$13:C$114,-1))+IF(SUMIF(C13:C114,C1,D13:D114)=0,13,12)</f>
        <v>19</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3.7</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3.7</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3.7</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3.7</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4.45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45636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180</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比较法-住宅2122</vt:lpstr>
      <vt:lpstr>2021-2022</vt:lpstr>
      <vt:lpstr>比较法-住宅2223</vt:lpstr>
      <vt:lpstr>2022-2023</vt:lpstr>
      <vt:lpstr>比较法-住宅2324</vt:lpstr>
      <vt:lpstr>2023-2024</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'比较法-住宅2122'!Print_Area</vt:lpstr>
      <vt:lpstr>'比较法-住宅2223'!Print_Area</vt:lpstr>
      <vt:lpstr>'比较法-住宅2324'!Print_Area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'比较法-住宅2223'!住宅朝向</vt:lpstr>
      <vt:lpstr>'比较法-住宅2324'!住宅朝向</vt:lpstr>
      <vt:lpstr>住宅朝向</vt:lpstr>
      <vt:lpstr>'比较法-住宅2223'!住宅房型</vt:lpstr>
      <vt:lpstr>'比较法-住宅2324'!住宅房型</vt:lpstr>
      <vt:lpstr>住宅房型</vt:lpstr>
      <vt:lpstr>'比较法-住宅2223'!住宅公共部分装修</vt:lpstr>
      <vt:lpstr>'比较法-住宅2324'!住宅公共部分装修</vt:lpstr>
      <vt:lpstr>住宅公共部分装修</vt:lpstr>
      <vt:lpstr>'比较法-住宅2223'!住宅基础设施水平</vt:lpstr>
      <vt:lpstr>'比较法-住宅2324'!住宅基础设施水平</vt:lpstr>
      <vt:lpstr>住宅基础设施水平</vt:lpstr>
      <vt:lpstr>'比较法-住宅2223'!住宅建筑结构</vt:lpstr>
      <vt:lpstr>'比较法-住宅2324'!住宅建筑结构</vt:lpstr>
      <vt:lpstr>住宅建筑结构</vt:lpstr>
      <vt:lpstr>'比较法-住宅2223'!住宅建筑类型</vt:lpstr>
      <vt:lpstr>'比较法-住宅2324'!住宅建筑类型</vt:lpstr>
      <vt:lpstr>住宅建筑类型</vt:lpstr>
      <vt:lpstr>'比较法-住宅2223'!住宅建筑品质</vt:lpstr>
      <vt:lpstr>'比较法-住宅2324'!住宅建筑品质</vt:lpstr>
      <vt:lpstr>住宅建筑品质</vt:lpstr>
      <vt:lpstr>'比较法-住宅2223'!住宅交易情况</vt:lpstr>
      <vt:lpstr>'比较法-住宅2324'!住宅交易情况</vt:lpstr>
      <vt:lpstr>住宅交易情况</vt:lpstr>
      <vt:lpstr>'比较法-住宅2223'!住宅楼层</vt:lpstr>
      <vt:lpstr>'比较法-住宅2324'!住宅楼层</vt:lpstr>
      <vt:lpstr>住宅楼层</vt:lpstr>
      <vt:lpstr>'比较法-住宅2223'!住宅内部装修</vt:lpstr>
      <vt:lpstr>'比较法-住宅2324'!住宅内部装修</vt:lpstr>
      <vt:lpstr>住宅内部装修</vt:lpstr>
      <vt:lpstr>'比较法-住宅2223'!住宅物业管理</vt:lpstr>
      <vt:lpstr>'比较法-住宅2324'!住宅物业管理</vt:lpstr>
      <vt:lpstr>住宅物业管理</vt:lpstr>
      <vt:lpstr>'比较法-住宅2223'!住宅用途</vt:lpstr>
      <vt:lpstr>'比较法-住宅2324'!住宅用途</vt:lpstr>
      <vt:lpstr>住宅用途</vt:lpstr>
      <vt:lpstr>'比较法-住宅2223'!住宅主力户型面积</vt:lpstr>
      <vt:lpstr>'比较法-住宅2324'!住宅主力户型面积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2024-12-10T08:52:27Z</dcterms:modified>
</cp:coreProperties>
</file>