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05" windowHeight="14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<sst xmlns="http://schemas.openxmlformats.org/spreadsheetml/2006/main" count="7959" uniqueCount="2792">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</sst>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sz val="10"/>
      <color indexed="8"/>
      <name val="宋体"/>
      <charset val="134"/>
    </font>
    <font>
      <b/>
      <sz val="16"/>
      <color indexed="10"/>
      <name val="宋体"/>
      <charset val="134"/>
    </font>
    <font>
      <b/>
      <vertAlign val="subscript"/>
      <sz val="10"/>
      <name val="楷体_GB2312"/>
      <charset val="134"/>
    </font>
    <font>
      <b/>
      <sz val="11"/>
      <name val="宋体"/>
      <charset val="134"/>
    </font>
    <font>
      <sz val="10"/>
      <color theme="9" tint="-0.249977111117893"/>
      <name val="宋体"/>
      <charset val="134"/>
    </font>
    <font>
      <b/>
      <vertAlign val="subscript"/>
      <sz val="10"/>
      <name val="宋体"/>
      <charset val="134"/>
    </font>
    <font>
      <b/>
      <vertAlign val="subscript"/>
      <sz val="10"/>
      <name val="Arial"/>
      <charset val="134"/>
    </font>
    <font>
      <sz val="12"/>
      <color theme="1"/>
      <name val="宋体"/>
      <charset val="134"/>
    </font>
    <font>
      <sz val="14"/>
      <color rgb="FF000000"/>
      <name val="宋体"/>
      <charset val="134"/>
    </font>
    <font>
      <vertAlign val="subscript"/>
      <sz val="10"/>
      <color theme="1"/>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8"/>
      <color indexed="8"/>
      <name val="仿宋_GB2312"/>
      <charset val="134"/>
    </font>
    <font>
      <b/>
      <sz val="10"/>
      <color indexed="53"/>
      <name val="宋体"/>
      <charset val="134"/>
    </font>
    <font>
      <b/>
      <sz val="10"/>
      <color indexed="10"/>
      <name val="楷体_GB2312"/>
      <charset val="134"/>
    </font>
    <font>
      <b/>
      <sz val="12"/>
      <color indexed="8"/>
      <name val="宋体"/>
      <charset val="134"/>
    </font>
    <font>
      <i/>
      <sz val="10"/>
      <name val="楷体_GB2312"/>
      <charset val="134"/>
    </font>
    <font>
      <sz val="9"/>
      <color indexed="8"/>
      <name val="仿宋_GB2312"/>
      <charset val="134"/>
    </font>
    <font>
      <sz val="10"/>
      <color indexed="10"/>
      <name val="宋体"/>
      <charset val="134"/>
    </font>
    <font>
      <sz val="14"/>
      <color theme="1"/>
      <name val="宋体"/>
      <charset val="134"/>
    </font>
    <font>
      <sz val="12"/>
      <color indexed="8"/>
      <name val="宋体"/>
      <charset val="134"/>
    </font>
    <font>
      <b/>
      <sz val="14"/>
      <color rgb="FFFF0000"/>
      <name val="宋体"/>
      <charset val="134"/>
    </font>
    <font>
      <sz val="10"/>
      <color rgb="FF000000"/>
      <name val="宋体"/>
      <charset val="134"/>
    </font>
    <font>
      <sz val="11"/>
      <color theme="9" tint="-0.249977111117893"/>
      <name val="宋体"/>
      <charset val="134"/>
    </font>
    <font>
      <b/>
      <sz val="10"/>
      <color indexed="10"/>
      <name val="宋体"/>
      <charset val="134"/>
    </font>
    <font>
      <sz val="10"/>
      <color indexed="53"/>
      <name val="宋体"/>
      <charset val="134"/>
    </font>
    <font>
      <sz val="10"/>
      <color rgb="FFFF0000"/>
      <name val="楷体_GB2312"/>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9" tint="-0.249977111117893"/>
      <name val="宋体"/>
      <charset val="134"/>
    </font>
    <font>
      <b/>
      <sz val="14"/>
      <color theme="1"/>
      <name val="宋体"/>
      <charset val="134"/>
    </font>
    <font>
      <i/>
      <sz val="10"/>
      <name val="宋体"/>
      <charset val="134"/>
    </font>
    <font>
      <b/>
      <sz val="18"/>
      <color indexed="10"/>
      <name val="΢ȭхڬˎ̥"/>
      <charset val="134"/>
    </font>
    <font>
      <sz val="8"/>
      <color indexed="8"/>
      <name val="宋体"/>
      <charset val="134"/>
    </font>
    <font>
      <sz val="9"/>
      <color indexed="8"/>
      <name val="宋体"/>
      <charset val="134"/>
    </font>
    <font>
      <b/>
      <sz val="14"/>
      <color indexed="10"/>
      <name val="宋体"/>
      <charset val="134"/>
      <scheme val="minor"/>
    </font>
    <font>
      <sz val="11"/>
      <color indexed="53"/>
      <name val="宋体"/>
      <charset val="134"/>
    </font>
    <font>
      <i/>
      <sz val="11"/>
      <color theme="3" tint="0.399945066682943"/>
      <name val="宋体"/>
      <charset val="134"/>
    </font>
    <font>
      <b/>
      <sz val="11"/>
      <color rgb="FFFF0000"/>
      <name val="宋体"/>
      <charset val="134"/>
    </font>
    <font>
      <sz val="14"/>
      <color theme="9" tint="-0.249977111117893"/>
      <name val="宋体"/>
      <charset val="134"/>
    </font>
    <font>
      <vertAlign val="superscript"/>
      <sz val="10"/>
      <color indexed="8"/>
      <name val="Arial"/>
      <charset val="134"/>
    </font>
    <font>
      <vertAlign val="subscript"/>
      <sz val="10"/>
      <color indexed="8"/>
      <name val="宋体"/>
      <charset val="134"/>
    </font>
    <font>
      <b/>
      <sz val="14"/>
      <color rgb="FF000000"/>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indexed="10"/>
      <name val="宋体"/>
      <charset val="134"/>
    </font>
    <font>
      <i/>
      <sz val="14"/>
      <color theme="3" tint="0.399945066682943"/>
      <name val="宋体"/>
      <charset val="134"/>
    </font>
    <font>
      <b/>
      <i/>
      <sz val="14"/>
      <color theme="3" tint="0.399945066682943"/>
      <name val="宋体"/>
      <charset val="134"/>
    </font>
    <font>
      <vertAlign val="superscript"/>
      <sz val="10"/>
      <color theme="1"/>
      <name val="宋体"/>
      <charset val="134"/>
    </font>
    <font>
      <sz val="12"/>
      <color rgb="FF000000"/>
      <name val="宋体"/>
      <charset val="134"/>
    </font>
    <font>
      <sz val="10"/>
      <color indexed="8"/>
      <name val="楷体_GB2312"/>
      <charset val="134"/>
    </font>
    <font>
      <b/>
      <sz val="12"/>
      <color rgb="FF000000"/>
      <name val="宋体"/>
      <charset val="134"/>
    </font>
    <font>
      <b/>
      <sz val="11"/>
      <color theme="1"/>
      <name val="宋体"/>
      <charset val="134"/>
    </font>
    <font>
      <b/>
      <sz val="16"/>
      <color indexed="10"/>
      <name val="楷体_GB2312"/>
      <charset val="134"/>
    </font>
    <font>
      <b/>
      <sz val="18"/>
      <color theme="1"/>
      <name val="宋体"/>
      <charset val="134"/>
    </font>
    <font>
      <b/>
      <i/>
      <sz val="11"/>
      <color theme="3" tint="0.399945066682943"/>
      <name val="宋体"/>
      <charset val="134"/>
    </font>
    <font>
      <sz val="11"/>
      <name val="宋体"/>
      <charset val="134"/>
    </font>
    <font>
      <sz val="12"/>
      <name val="仿宋_GB2312"/>
      <charset val="134"/>
    </font>
    <font>
      <sz val="16"/>
      <name val="宋体"/>
      <charset val="134"/>
    </font>
    <font>
      <sz val="12"/>
      <name val="宋体"/>
      <charset val="134"/>
    </font>
    <font>
      <sz val="9"/>
      <name val="宋体"/>
      <charset val="134"/>
    </font>
    <font>
      <sz val="12"/>
      <name val="楷体_GB2312"/>
      <charset val="134"/>
    </font>
    <font>
      <sz val="12"/>
      <name val="宋体"/>
      <charset val="0"/>
      <scheme val="minor"/>
    </font>
    <font>
      <b/>
      <sz val="9"/>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0486\Desktop\2025-1-0980-F02-&#40718;&#24658;&#20013;&#24515;20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0486\Desktop\2025-1-0980-F03-&#40718;&#24658;&#20013;&#24515;210.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0486\Desktop\2025-1-0980-F04-&#40718;&#24658;&#20013;&#24515;211&#65288;&#22806;&#31383;&#6528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0486\Desktop\2025-1-0980-F05-&#40718;&#24658;&#20013;&#24515;212&#65288;&#22806;&#313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5-1-0980-F06-&#40718;&#24658;&#20013;&#24515;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C:\Users\50486\Desktop\2025-1-0980-F07-&#40718;&#24658;&#20013;&#24515;217&#65288;&#22806;&#3138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估价对象为北京市房地产，为所有。根据《国有土地使用证》[]，估价对象（分摊）出让国有建设用地使用权面积为0平方米，建筑面积为50.74平方米。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估价对象为北京市房地产,属开发建设的，该项目尚在开发建设中。根据《国有土地使用证》[]，估价对象（分摊）出让国有建设用地使用权面积为0平方米，规划建筑面积为50.74平方米。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127</v>
      </c>
    </row>
    <row r="21" spans="1:2">
      <c r="A21" s="3419" t="s">
        <v>21</v>
      </c>
      <c r="B21" s="3420">
        <f ca="1">'预评函-2'!D7</f>
        <v>24935</v>
      </c>
    </row>
    <row r="22" spans="1:2">
      <c r="A22" s="3419" t="s">
        <v>22</v>
      </c>
      <c r="B22" s="3420" t="str">
        <f ca="1">'预评函-2'!D6</f>
        <v>壹佰贰拾柒万元整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127</v>
      </c>
    </row>
    <row r="31" spans="1:2">
      <c r="A31" s="3419" t="s">
        <v>31</v>
      </c>
      <c r="B31" s="3420">
        <f ca="1">'预评函-2'!D15</f>
        <v>24935</v>
      </c>
    </row>
    <row r="32" spans="1:2">
      <c r="A32" s="3419" t="s">
        <v>32</v>
      </c>
      <c r="B32" s="3420" t="str">
        <f ca="1">'预评函-2'!D14</f>
        <v>壹佰贰拾柒万元整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50.74</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105</v>
      </c>
    </row>
    <row r="48" spans="1:2">
      <c r="A48" s="3419" t="s">
        <v>48</v>
      </c>
      <c r="B48" s="3420">
        <f ca="1">'预评函-3'!E4</f>
        <v>20596</v>
      </c>
    </row>
    <row r="49" spans="1:2">
      <c r="A49" s="3419" t="s">
        <v>49</v>
      </c>
      <c r="B49" s="3420" t="str">
        <f ca="1">'预评函-3'!D5</f>
        <v>壹佰零伍万元整</v>
      </c>
    </row>
    <row r="50" spans="1:2">
      <c r="A50" s="3419" t="s">
        <v>50</v>
      </c>
      <c r="B50" s="3420" t="str">
        <f>'预评函-3'!F2</f>
        <v>在建建筑物价值</v>
      </c>
    </row>
    <row r="51" spans="1:2">
      <c r="A51" s="3419" t="s">
        <v>51</v>
      </c>
      <c r="B51" s="3420">
        <f ca="1">'预评函-3'!F4</f>
        <v>22</v>
      </c>
    </row>
    <row r="52" spans="1:2">
      <c r="A52" s="3419" t="s">
        <v>52</v>
      </c>
      <c r="B52" s="3420">
        <f ca="1">'预评函-3'!G4</f>
        <v>4339</v>
      </c>
    </row>
    <row r="53" spans="1:2">
      <c r="A53" s="3419" t="s">
        <v>53</v>
      </c>
      <c r="B53" s="3420" t="str">
        <f ca="1">'预评函-3'!F5</f>
        <v>贰拾贰万元整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30" sqref="I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50.74</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50.74</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50.74</v>
      </c>
      <c r="H5" s="3008">
        <f t="shared" ref="H5:AT5" si="0">SUM(H13:H656)</f>
        <v>50.74</v>
      </c>
      <c r="I5" s="3008">
        <f t="shared" si="0"/>
        <v>50.74</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50.74</v>
      </c>
      <c r="BA5" s="3009">
        <f t="shared" si="1"/>
        <v>50.74</v>
      </c>
      <c r="BB5" s="3009">
        <f t="shared" si="1"/>
        <v>50.74</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50.74</v>
      </c>
      <c r="H13" s="3013">
        <f>SUMIF(I$12:AB$12,"总值",I13:AB13)</f>
        <v>50.74</v>
      </c>
      <c r="I13" s="3057">
        <f>清单!G9</f>
        <v>50.74</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50.74</v>
      </c>
      <c r="BA13" s="3008">
        <f>SUM(BB13:BK13)</f>
        <v>50.74</v>
      </c>
      <c r="BB13" s="3008">
        <f>IF($D13="是",I13-J13,0)</f>
        <v>50.74</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50.74</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50.74</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50.74</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50.74</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217</v>
      </c>
      <c r="D19" s="2367">
        <f>ROUND($D$3*E19/$E$3,2)</f>
        <v>0</v>
      </c>
      <c r="E19" s="2967">
        <f t="shared" ref="E19:E26" si="1">SUM(F19:G19)</f>
        <v>50.74</v>
      </c>
      <c r="F19" s="2968">
        <f>'数据-基础表'!I13</f>
        <v>50.74</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50.74</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50.74</v>
      </c>
      <c r="F27" s="2977">
        <f>IF(SUM(F19:F26)=E8,SUM(F19:F26),"地上面积有误")</f>
        <v>50.74</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50.74</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50.74</v>
      </c>
      <c r="F31" s="2988">
        <f>F27+F30</f>
        <v>50.74</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217</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50.74</v>
      </c>
      <c r="L6" s="2787">
        <v>4500</v>
      </c>
      <c r="M6" s="2788">
        <f t="shared" ref="M6:M14" si="0">ROUND(K6*L6/10000,0)</f>
        <v>23</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116.8576</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50.74</v>
      </c>
      <c r="L16" s="2840">
        <f>ROUND(M16*10000/SUM(K6:K14),0)</f>
        <v>4533</v>
      </c>
      <c r="M16" s="2840">
        <f>SUM(M6:M14)</f>
        <v>23</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f ca="1">'成本法 (元)'!C10</f>
        <v>10148</v>
      </c>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G15" sqref="G15"/>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11.125"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2" sqref="G2"/>
    </sheetView>
  </sheetViews>
  <sheetFormatPr defaultColWidth="9" defaultRowHeight="13.5"/>
  <cols>
    <col min="1" max="1" width="22.9666666666667" style="2667" customWidth="1"/>
    <col min="2" max="2" width="13.4333333333333" style="2667" customWidth="1"/>
    <col min="3" max="3" width="20.475" style="2667" customWidth="1"/>
    <col min="4" max="4" width="20.775" style="2667" customWidth="1"/>
    <col min="5" max="9" width="15.75" style="2667" customWidth="1"/>
    <col min="10" max="16384" width="9" style="2667"/>
  </cols>
  <sheetData>
    <row r="1" ht="22" customHeight="1" spans="1:11">
      <c r="A1" s="2668" t="s">
        <v>823</v>
      </c>
      <c r="B1" s="2668">
        <f>SUM(B14:B23)</f>
        <v>50.74</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24" customHeight="1" spans="1:11">
      <c r="A3" s="2668" t="s">
        <v>825</v>
      </c>
      <c r="B3" s="2671">
        <f>项目基本情况!D3</f>
        <v>46013</v>
      </c>
      <c r="C3" s="2669"/>
      <c r="D3" s="2669"/>
      <c r="E3" s="2669"/>
      <c r="F3" s="2669"/>
      <c r="G3" s="2670"/>
      <c r="H3" s="2670"/>
      <c r="I3" s="2670"/>
      <c r="J3" s="2670"/>
      <c r="K3" s="2670"/>
    </row>
    <row r="4" ht="20" customHeight="1" spans="1:11">
      <c r="A4" s="2668" t="s">
        <v>826</v>
      </c>
      <c r="B4" s="2668" t="s">
        <v>827</v>
      </c>
      <c r="C4" s="2668" t="s">
        <v>828</v>
      </c>
      <c r="D4" s="2668" t="s">
        <v>829</v>
      </c>
      <c r="E4" s="2669"/>
      <c r="F4" s="2670"/>
      <c r="G4" s="2670"/>
      <c r="H4" s="2670"/>
      <c r="I4" s="2670"/>
      <c r="J4" s="2670"/>
      <c r="K4" s="2670"/>
    </row>
    <row r="5" ht="16.5" spans="1:11">
      <c r="A5" s="2668" t="s">
        <v>830</v>
      </c>
      <c r="B5" s="2668">
        <f ca="1">SUM(D14:D23)</f>
        <v>126.5202</v>
      </c>
      <c r="C5" s="2668">
        <f ca="1">IF(B5=D14,结果表!H102,ROUND(B5*10000/$B$1,0))</f>
        <v>24935</v>
      </c>
      <c r="D5" s="2668" t="e">
        <f ca="1">ROUND(B5*10000/$B$2,0)</f>
        <v>#DIV/0!</v>
      </c>
      <c r="E5" s="2669"/>
      <c r="F5" s="2670"/>
      <c r="G5" s="2670"/>
      <c r="H5" s="2670"/>
      <c r="I5" s="2670"/>
      <c r="J5" s="2670"/>
      <c r="K5" s="2670"/>
    </row>
    <row r="6" ht="16.5" spans="1:11">
      <c r="A6" s="2668" t="s">
        <v>831</v>
      </c>
      <c r="B6" s="2668">
        <f ca="1">SUM(G14:G23)</f>
        <v>126.5202</v>
      </c>
      <c r="C6" s="2668">
        <f ca="1">IF(B6=G14,结果表!H108,ROUND(B6*10000/$B$1,0))</f>
        <v>24935</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v>208</v>
      </c>
      <c r="B14" s="2679">
        <f>'数据-汇总表'!F31</f>
        <v>50.74</v>
      </c>
      <c r="C14" s="2679"/>
      <c r="D14" s="2679">
        <f ca="1">ROUND(B14*E14/10000,4)</f>
        <v>126.5202</v>
      </c>
      <c r="E14" s="2679">
        <f ca="1">结果表!G20</f>
        <v>24935</v>
      </c>
      <c r="F14" s="2679" t="e">
        <f ca="1">ROUND(D14*10000/C14,0)</f>
        <v>#DIV/0!</v>
      </c>
      <c r="G14" s="2679">
        <f ca="1">D14</f>
        <v>126.5202</v>
      </c>
      <c r="H14" s="2679"/>
      <c r="I14" s="2679"/>
      <c r="J14" s="2670"/>
      <c r="K14" s="2670"/>
    </row>
    <row r="15" ht="16.5" spans="1:11">
      <c r="A15" s="2678">
        <v>209</v>
      </c>
      <c r="B15" s="2680"/>
      <c r="C15" s="2680"/>
      <c r="D15" s="2679">
        <f t="shared" ref="D15:D20" si="0">ROUND(B15*E15/10000,4)</f>
        <v>0</v>
      </c>
      <c r="E15" s="2679">
        <f>[2]系统读取表!$E$14</f>
        <v>21878</v>
      </c>
      <c r="F15" s="2679" t="e">
        <f t="shared" ref="F15:F23" si="1">ROUND(D15*10000/C15,0)</f>
        <v>#DIV/0!</v>
      </c>
      <c r="G15" s="2672">
        <f>D15</f>
        <v>0</v>
      </c>
      <c r="H15" s="2672"/>
      <c r="I15" s="2680"/>
      <c r="J15" s="2670"/>
      <c r="K15" s="2670"/>
    </row>
    <row r="16" ht="16.5" spans="1:11">
      <c r="A16" s="2678">
        <v>210</v>
      </c>
      <c r="B16" s="2680"/>
      <c r="C16" s="2680"/>
      <c r="D16" s="2679">
        <f t="shared" si="0"/>
        <v>0</v>
      </c>
      <c r="E16" s="2679">
        <f>[3]系统读取表!$E$14</f>
        <v>21878</v>
      </c>
      <c r="F16" s="2679" t="e">
        <f t="shared" si="1"/>
        <v>#DIV/0!</v>
      </c>
      <c r="G16" s="2672">
        <f t="shared" ref="G16:G20" si="2">D16</f>
        <v>0</v>
      </c>
      <c r="H16" s="2672"/>
      <c r="I16" s="2680"/>
      <c r="J16" s="2670"/>
      <c r="K16" s="2670"/>
    </row>
    <row r="17" ht="16.5" spans="1:11">
      <c r="A17" s="2678">
        <v>211</v>
      </c>
      <c r="B17" s="2680"/>
      <c r="C17" s="2680"/>
      <c r="D17" s="2679">
        <f t="shared" si="0"/>
        <v>0</v>
      </c>
      <c r="E17" s="2679">
        <f>[4]系统读取表!$E$14</f>
        <v>24935</v>
      </c>
      <c r="F17" s="2679" t="e">
        <f t="shared" si="1"/>
        <v>#DIV/0!</v>
      </c>
      <c r="G17" s="2672">
        <f t="shared" si="2"/>
        <v>0</v>
      </c>
      <c r="H17" s="2672"/>
      <c r="I17" s="2680"/>
      <c r="J17" s="2670"/>
      <c r="K17" s="2670"/>
    </row>
    <row r="18" ht="16.5" spans="1:11">
      <c r="A18" s="2678">
        <v>212</v>
      </c>
      <c r="B18" s="2680"/>
      <c r="C18" s="2680"/>
      <c r="D18" s="2679">
        <f t="shared" si="0"/>
        <v>0</v>
      </c>
      <c r="E18" s="2679">
        <f>[5]系统读取表!$E$14</f>
        <v>24935</v>
      </c>
      <c r="F18" s="2679" t="e">
        <f t="shared" si="1"/>
        <v>#DIV/0!</v>
      </c>
      <c r="G18" s="2672">
        <f t="shared" si="2"/>
        <v>0</v>
      </c>
      <c r="H18" s="2680"/>
      <c r="I18" s="2680"/>
      <c r="J18" s="2670"/>
      <c r="K18" s="2670"/>
    </row>
    <row r="19" ht="16.5" spans="1:11">
      <c r="A19" s="2678">
        <v>215</v>
      </c>
      <c r="B19" s="2680"/>
      <c r="C19" s="2680"/>
      <c r="D19" s="2679">
        <f t="shared" si="0"/>
        <v>0</v>
      </c>
      <c r="E19" s="2679">
        <f>[6]系统读取表!$E$14</f>
        <v>21878</v>
      </c>
      <c r="F19" s="2679" t="e">
        <f t="shared" si="1"/>
        <v>#DIV/0!</v>
      </c>
      <c r="G19" s="2672">
        <f t="shared" si="2"/>
        <v>0</v>
      </c>
      <c r="H19" s="2680"/>
      <c r="I19" s="2680"/>
      <c r="J19" s="2670"/>
      <c r="K19" s="2670"/>
    </row>
    <row r="20" ht="16.5" spans="1:11">
      <c r="A20" s="2678">
        <v>217</v>
      </c>
      <c r="B20" s="2680"/>
      <c r="C20" s="2680"/>
      <c r="D20" s="2679">
        <f t="shared" si="0"/>
        <v>0</v>
      </c>
      <c r="E20" s="2679">
        <f>[7]系统读取表!$E$14</f>
        <v>24935</v>
      </c>
      <c r="F20" s="2679" t="e">
        <f t="shared" si="1"/>
        <v>#DIV/0!</v>
      </c>
      <c r="G20" s="2672">
        <f t="shared" si="2"/>
        <v>0</v>
      </c>
      <c r="H20" s="2680"/>
      <c r="I20" s="2680"/>
      <c r="J20" s="2670"/>
      <c r="K20" s="2670"/>
    </row>
    <row r="21" ht="16.5" spans="1:11">
      <c r="A21" s="2678" t="s">
        <v>843</v>
      </c>
      <c r="B21" s="2680"/>
      <c r="C21" s="2680"/>
      <c r="D21" s="2680"/>
      <c r="E21" s="2679" t="e">
        <f>ROUND(D21*10000/B21,0)</f>
        <v>#DIV/0!</v>
      </c>
      <c r="F21" s="2679" t="e">
        <f t="shared" si="1"/>
        <v>#DIV/0!</v>
      </c>
      <c r="G21" s="2672"/>
      <c r="H21" s="2680"/>
      <c r="I21" s="2680"/>
      <c r="J21" s="2670"/>
      <c r="K21" s="2670"/>
    </row>
    <row r="22" ht="16.5" spans="1:11">
      <c r="A22" s="2678" t="s">
        <v>844</v>
      </c>
      <c r="B22" s="2680"/>
      <c r="C22" s="2680"/>
      <c r="D22" s="2680"/>
      <c r="E22" s="2679" t="e">
        <f>ROUND(D22*10000/B22,0)</f>
        <v>#DIV/0!</v>
      </c>
      <c r="F22" s="2679" t="e">
        <f t="shared" si="1"/>
        <v>#DIV/0!</v>
      </c>
      <c r="G22" s="2680"/>
      <c r="H22" s="2680"/>
      <c r="I22" s="2680"/>
      <c r="J22" s="2670"/>
      <c r="K22" s="2670"/>
    </row>
    <row r="23" ht="16.5" spans="1:11">
      <c r="A23" s="2678" t="s">
        <v>845</v>
      </c>
      <c r="B23" s="2680"/>
      <c r="C23" s="2680"/>
      <c r="D23" s="2680"/>
      <c r="E23" s="2672" t="e">
        <f>ROUND(D23*10000/B23,0)</f>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H24" sqref="H24"/>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846</v>
      </c>
      <c r="B1" s="1604"/>
      <c r="C1" s="2335"/>
      <c r="D1" s="1604"/>
      <c r="E1" s="1604"/>
      <c r="F1" s="2336" t="s">
        <v>847</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848</v>
      </c>
      <c r="B3" s="1639"/>
      <c r="C3" s="1639"/>
      <c r="D3" s="1639"/>
      <c r="E3" s="1639"/>
      <c r="F3" s="1639"/>
      <c r="G3" s="1639"/>
      <c r="H3" s="1639"/>
      <c r="I3" s="1639"/>
    </row>
    <row r="4" ht="14.25" spans="1:12">
      <c r="A4" s="2343" t="s">
        <v>849</v>
      </c>
      <c r="B4" s="2344" t="s">
        <v>850</v>
      </c>
      <c r="C4" s="2345" t="s">
        <v>250</v>
      </c>
      <c r="D4" s="2345" t="s">
        <v>285</v>
      </c>
      <c r="E4" s="2346" t="s">
        <v>851</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852</v>
      </c>
      <c r="B5" s="756">
        <v>25</v>
      </c>
      <c r="C5" s="2349"/>
      <c r="D5" s="2350"/>
      <c r="E5" s="1644" t="s">
        <v>853</v>
      </c>
      <c r="F5" s="2351"/>
      <c r="G5" s="2351"/>
      <c r="H5" s="2351"/>
      <c r="I5" s="1753"/>
    </row>
    <row r="6" ht="13.5" spans="1:12">
      <c r="A6" s="2255"/>
      <c r="B6" s="756"/>
      <c r="C6" s="2352"/>
      <c r="D6" s="2350"/>
      <c r="E6" s="1644" t="s">
        <v>854</v>
      </c>
      <c r="F6" s="2351"/>
      <c r="G6" s="2351"/>
      <c r="H6" s="2351"/>
      <c r="I6" s="1753"/>
    </row>
    <row r="7" ht="13.5" spans="1:12">
      <c r="A7" s="2255"/>
      <c r="B7" s="756"/>
      <c r="C7" s="2353"/>
      <c r="D7" s="2350"/>
      <c r="E7" s="1644" t="s">
        <v>855</v>
      </c>
      <c r="F7" s="2351"/>
      <c r="G7" s="2351"/>
      <c r="H7" s="2351"/>
      <c r="I7" s="1753"/>
    </row>
    <row r="8" ht="13.5" spans="1:12">
      <c r="A8" s="2255" t="s">
        <v>856</v>
      </c>
      <c r="B8" s="756">
        <v>15</v>
      </c>
      <c r="C8" s="2349"/>
      <c r="D8" s="2350"/>
      <c r="E8" s="1644" t="s">
        <v>857</v>
      </c>
      <c r="F8" s="2351"/>
      <c r="G8" s="2351"/>
      <c r="H8" s="2351"/>
      <c r="I8" s="1753"/>
    </row>
    <row r="9" ht="13.5" spans="1:12">
      <c r="A9" s="2255"/>
      <c r="B9" s="756"/>
      <c r="C9" s="2353"/>
      <c r="D9" s="2350"/>
      <c r="E9" s="1644" t="s">
        <v>858</v>
      </c>
      <c r="F9" s="2351"/>
      <c r="G9" s="2351"/>
      <c r="H9" s="2351"/>
      <c r="I9" s="1753"/>
    </row>
    <row r="10" ht="13.5" spans="1:12">
      <c r="A10" s="2255" t="s">
        <v>859</v>
      </c>
      <c r="B10" s="756">
        <v>15</v>
      </c>
      <c r="C10" s="2349"/>
      <c r="D10" s="2350"/>
      <c r="E10" s="1644" t="s">
        <v>860</v>
      </c>
      <c r="F10" s="2351"/>
      <c r="G10" s="2351"/>
      <c r="H10" s="2351"/>
      <c r="I10" s="1753"/>
    </row>
    <row r="11" ht="13.5" spans="1:12">
      <c r="A11" s="2255"/>
      <c r="B11" s="756"/>
      <c r="C11" s="2353"/>
      <c r="D11" s="2350"/>
      <c r="E11" s="1644" t="s">
        <v>861</v>
      </c>
      <c r="F11" s="2351"/>
      <c r="G11" s="2351"/>
      <c r="H11" s="2351"/>
      <c r="I11" s="1753"/>
    </row>
    <row r="12" ht="13.5" spans="1:12">
      <c r="A12" s="2255" t="s">
        <v>862</v>
      </c>
      <c r="B12" s="756">
        <v>15</v>
      </c>
      <c r="C12" s="2349"/>
      <c r="D12" s="2350"/>
      <c r="E12" s="1644" t="s">
        <v>863</v>
      </c>
      <c r="F12" s="2351"/>
      <c r="G12" s="2351"/>
      <c r="H12" s="2351"/>
      <c r="I12" s="1753"/>
    </row>
    <row r="13" ht="13.5" spans="1:12">
      <c r="A13" s="2255"/>
      <c r="B13" s="756"/>
      <c r="C13" s="2353"/>
      <c r="D13" s="2350"/>
      <c r="E13" s="1644" t="s">
        <v>864</v>
      </c>
      <c r="F13" s="2351"/>
      <c r="G13" s="2351"/>
      <c r="H13" s="2351"/>
      <c r="I13" s="1753"/>
    </row>
    <row r="14" ht="13.5" spans="1:12">
      <c r="A14" s="2255" t="s">
        <v>865</v>
      </c>
      <c r="B14" s="756">
        <v>30</v>
      </c>
      <c r="C14" s="2349">
        <v>4</v>
      </c>
      <c r="D14" s="2350">
        <v>6</v>
      </c>
      <c r="E14" s="1644" t="s">
        <v>866</v>
      </c>
      <c r="F14" s="2351"/>
      <c r="G14" s="2351"/>
      <c r="H14" s="2351"/>
      <c r="I14" s="1753"/>
    </row>
    <row r="15" ht="13.5" spans="1:12">
      <c r="A15" s="2255"/>
      <c r="B15" s="756"/>
      <c r="C15" s="2352"/>
      <c r="D15" s="2350"/>
      <c r="E15" s="1644" t="s">
        <v>867</v>
      </c>
      <c r="F15" s="2351"/>
      <c r="G15" s="2351"/>
      <c r="H15" s="2351"/>
      <c r="I15" s="1753"/>
    </row>
    <row r="16" ht="13.5" spans="1:12">
      <c r="A16" s="2255"/>
      <c r="B16" s="756"/>
      <c r="C16" s="2353"/>
      <c r="D16" s="2350"/>
      <c r="E16" s="1644" t="s">
        <v>868</v>
      </c>
      <c r="F16" s="2351"/>
      <c r="G16" s="2351"/>
      <c r="H16" s="2351"/>
      <c r="I16" s="1753"/>
    </row>
    <row r="17" ht="14.25" spans="1:36">
      <c r="A17" s="2354" t="s">
        <v>869</v>
      </c>
      <c r="B17" s="2355"/>
      <c r="C17" s="2356">
        <f>SUM(C5:C16)</f>
        <v>4</v>
      </c>
      <c r="D17" s="2356">
        <f>SUM(D5:D16)</f>
        <v>6</v>
      </c>
      <c r="E17" s="641"/>
      <c r="F17" s="641"/>
      <c r="G17" s="641"/>
      <c r="H17" s="641"/>
      <c r="I17" s="641"/>
      <c r="K17" s="1582"/>
      <c r="L17" s="1582" t="s">
        <v>870</v>
      </c>
      <c r="M17" s="1582" t="s">
        <v>871</v>
      </c>
    </row>
    <row r="18" ht="31.9" customHeight="1" spans="1:36">
      <c r="A18" s="2357" t="s">
        <v>872</v>
      </c>
      <c r="B18" s="2358"/>
      <c r="C18" s="2359">
        <f>ROUND(C17/SUM(C17:D17),2)</f>
        <v>0.4</v>
      </c>
      <c r="D18" s="2359">
        <f>1-C18</f>
        <v>0.6</v>
      </c>
      <c r="E18" s="2360" t="s">
        <v>873</v>
      </c>
      <c r="F18" s="2361"/>
      <c r="G18" s="2361"/>
      <c r="H18" s="2361"/>
      <c r="I18" s="2361"/>
      <c r="K18" s="1582" t="s">
        <v>505</v>
      </c>
      <c r="L18" s="1582">
        <f>IF(C1="",'数据-汇总表'!E3,SUMIF(项目类型,C1,'数据-汇总表'!E17:E26)+SUMIF(项目类型,C1,'数据-汇总表'!I17:I26))</f>
        <v>50.74</v>
      </c>
      <c r="M18" s="1582">
        <f>IF(C1="",'数据-汇总表'!E3,SUMIF(项目类型,C1,'数据-汇总表'!E17:E26))</f>
        <v>50.74</v>
      </c>
    </row>
    <row r="19" ht="14.25" spans="1:36">
      <c r="A19" s="933" t="s">
        <v>874</v>
      </c>
      <c r="B19" s="2362" t="s">
        <v>875</v>
      </c>
      <c r="C19" s="2363">
        <f ca="1">SUMIF(INDIRECT("'"&amp;C4&amp;"'"&amp;"!A:A"),结果表!B19,INDIRECT("'"&amp;C4&amp;"'"&amp;"!B:B"))</f>
        <v>141.017</v>
      </c>
      <c r="D19" s="1053">
        <f ca="1">SUMIF(INDIRECT("'"&amp;D4&amp;"'"&amp;"!A:A"),结果表!B19,INDIRECT("'"&amp;D4&amp;"'"&amp;"!B:B"))</f>
        <v>116.8576</v>
      </c>
      <c r="E19" s="933" t="s">
        <v>876</v>
      </c>
      <c r="F19" s="2362" t="s">
        <v>875</v>
      </c>
      <c r="G19" s="2364">
        <f ca="1">ROUND(C19*$C$18+D19*$D$18,0)</f>
        <v>127</v>
      </c>
      <c r="H19" s="2365" t="s">
        <v>877</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878</v>
      </c>
      <c r="C20" s="1303">
        <f ca="1">SUMIF(INDIRECT("'"&amp;C4&amp;"'"&amp;"!A:A"),结果表!B20,INDIRECT("'"&amp;C4&amp;"'"&amp;"!B:B"))</f>
        <v>27792</v>
      </c>
      <c r="D20" s="1306">
        <f ca="1">SUMIF(INDIRECT("'"&amp;D4&amp;"'"&amp;"!A:A"),结果表!B20,INDIRECT("'"&amp;D4&amp;"'"&amp;"!B:B"))</f>
        <v>23031</v>
      </c>
      <c r="E20" s="2366"/>
      <c r="F20" s="2367" t="s">
        <v>878</v>
      </c>
      <c r="G20" s="2368">
        <f ca="1">ROUND(C20*$C$18+D20*$D$18,0)</f>
        <v>24935</v>
      </c>
      <c r="H20" s="1630" t="s">
        <v>879</v>
      </c>
      <c r="I20" s="641"/>
    </row>
    <row r="21" ht="15" customHeight="1" spans="1:36">
      <c r="A21" s="941"/>
      <c r="B21" s="2369" t="s">
        <v>880</v>
      </c>
      <c r="C21" s="2370" t="e">
        <f ca="1">ROUND(C19*10000/L19,0)</f>
        <v>#DIV/0!</v>
      </c>
      <c r="D21" s="2371" t="e">
        <f ca="1">ROUND(D19*10000/L19,0)</f>
        <v>#DIV/0!</v>
      </c>
      <c r="E21" s="941"/>
      <c r="F21" s="2369" t="s">
        <v>880</v>
      </c>
      <c r="G21" s="2372" t="e">
        <f ca="1">ROUND(G19*10000/L19,0)</f>
        <v>#DIV/0!</v>
      </c>
      <c r="H21" s="2373" t="s">
        <v>879</v>
      </c>
      <c r="I21" s="641"/>
    </row>
    <row r="22" ht="15" spans="1:36">
      <c r="A22" s="2374" t="s">
        <v>881</v>
      </c>
      <c r="B22" s="2375"/>
      <c r="C22" s="2376"/>
      <c r="D22" s="2377">
        <f ca="1">IF(C19&lt;D19,D19/C19-1,C19/D19-1)</f>
        <v>0.206742223013308</v>
      </c>
      <c r="E22" s="641"/>
      <c r="F22" s="641"/>
      <c r="G22" s="641"/>
      <c r="H22" s="641"/>
      <c r="I22" s="641"/>
    </row>
    <row r="23" ht="14.25" spans="1:36">
      <c r="A23" s="1604"/>
      <c r="B23" s="1604"/>
      <c r="C23" s="1604"/>
      <c r="D23" s="1604"/>
      <c r="E23" s="641"/>
      <c r="F23" s="641"/>
      <c r="G23" s="641"/>
      <c r="H23" s="641"/>
      <c r="I23" s="641"/>
    </row>
    <row r="24" ht="14.25" spans="1:36">
      <c r="A24" s="2378" t="s">
        <v>882</v>
      </c>
      <c r="B24" s="2362" t="s">
        <v>875</v>
      </c>
      <c r="C24" s="2364">
        <f>IF(B30=0,0,D30)</f>
        <v>0</v>
      </c>
      <c r="D24" s="2379"/>
      <c r="E24" s="641"/>
      <c r="F24" s="641"/>
      <c r="G24" s="641"/>
      <c r="H24" s="641"/>
      <c r="I24" s="641"/>
    </row>
    <row r="25" ht="14.25" spans="1:36">
      <c r="A25" s="2380"/>
      <c r="B25" s="2367" t="s">
        <v>878</v>
      </c>
      <c r="C25" s="2381">
        <f>IF(B30=0,0,C30)</f>
        <v>0</v>
      </c>
      <c r="D25" s="2382"/>
      <c r="E25" s="641"/>
      <c r="F25" s="641"/>
      <c r="G25" s="641"/>
      <c r="H25" s="641"/>
      <c r="I25" s="641"/>
    </row>
    <row r="26" ht="13.5" customHeight="1" spans="1:36">
      <c r="A26" s="2383" t="s">
        <v>883</v>
      </c>
      <c r="B26" s="2384" t="s">
        <v>884</v>
      </c>
      <c r="C26" s="2384" t="s">
        <v>885</v>
      </c>
      <c r="D26" s="2385" t="s">
        <v>886</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887</v>
      </c>
      <c r="B30" s="2384"/>
      <c r="C30" s="2384"/>
      <c r="D30" s="2384"/>
      <c r="E30" s="2386" t="s">
        <v>888</v>
      </c>
      <c r="F30" s="641"/>
      <c r="G30" s="641"/>
      <c r="H30" s="641"/>
      <c r="I30" s="641"/>
    </row>
    <row r="31" s="2331" customFormat="1" ht="26.45" customHeight="1" spans="1:36">
      <c r="A31" s="2387"/>
      <c r="B31" s="2388"/>
      <c r="C31" s="2388"/>
      <c r="D31" s="2388"/>
      <c r="E31" s="2388"/>
      <c r="F31" s="2388"/>
      <c r="G31" s="2388"/>
      <c r="H31" s="2388"/>
      <c r="I31" s="2389" t="s">
        <v>889</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890</v>
      </c>
      <c r="B32" s="2394"/>
      <c r="C32" s="2395">
        <f ca="1">IF(D32="总价",G19-C24,G20-C25)</f>
        <v>24935</v>
      </c>
      <c r="D32" s="2396" t="s">
        <v>891</v>
      </c>
      <c r="E32" s="641"/>
      <c r="F32" s="641"/>
      <c r="G32" s="641"/>
      <c r="H32" s="641"/>
      <c r="I32" s="641"/>
    </row>
    <row r="33" ht="15" spans="1:15">
      <c r="A33" s="1841" t="s">
        <v>892</v>
      </c>
      <c r="B33" s="1644"/>
      <c r="C33" s="2397" t="s">
        <v>893</v>
      </c>
      <c r="D33" s="2398" t="s">
        <v>250</v>
      </c>
      <c r="E33" s="2399" t="s">
        <v>894</v>
      </c>
      <c r="F33" s="2400" t="str">
        <f>IF(D32="楼面单价","取值（单价）","取值（总价）")</f>
        <v>取值（单价）</v>
      </c>
      <c r="G33" s="641"/>
      <c r="H33" s="641"/>
      <c r="I33" s="641"/>
    </row>
    <row r="34" ht="15" spans="1:15">
      <c r="A34" s="2401"/>
      <c r="B34" s="2402" t="s">
        <v>895</v>
      </c>
      <c r="C34" s="2403">
        <f ca="1">IF(C33="自定义",F34,C32-C35)</f>
        <v>20596</v>
      </c>
      <c r="D34" s="2404">
        <f ca="1">IF(C33="自定义",ROUND(C34/C32,3),IF(C33="收益比率",SUMIF(INDIRECT("'"&amp;D33&amp;"'"&amp;"!b:b"),"土地收益比率",INDIRECT("'"&amp;D33&amp;"'"&amp;"!c:c")),SUMIF(INDIRECT("'"&amp;D33&amp;"'"&amp;"!b:b"),"土地成本比率",INDIRECT("'"&amp;D33&amp;"'"&amp;"!c:c"))))</f>
        <v>0.826</v>
      </c>
      <c r="E34" s="2405" t="s">
        <v>896</v>
      </c>
      <c r="F34" s="2406"/>
      <c r="G34" s="641"/>
      <c r="H34" s="641"/>
      <c r="I34" s="641"/>
    </row>
    <row r="35" ht="15.75" spans="1:15">
      <c r="A35" s="2407"/>
      <c r="B35" s="2408" t="s">
        <v>897</v>
      </c>
      <c r="C35" s="2409">
        <f ca="1">IF(C33="自定义",F35,ROUND(C32*D35,0))</f>
        <v>4339</v>
      </c>
      <c r="D35" s="2410">
        <f ca="1">IF(C33="自定义",ROUND(C35/C32,3),IF(C33="收益比率",SUMIF(INDIRECT("'"&amp;D33&amp;"'"&amp;"!b:b"),"建筑物收益比率",INDIRECT("'"&amp;D33&amp;"'"&amp;"!c:c")),SUMIF(INDIRECT("'"&amp;D33&amp;"'"&amp;"!b:b"),"建筑物成本比率",INDIRECT("'"&amp;D33&amp;"'"&amp;"!c:c"))))</f>
        <v>0.174</v>
      </c>
      <c r="E35" s="2411" t="s">
        <v>898</v>
      </c>
      <c r="F35" s="2412"/>
      <c r="G35" s="641"/>
      <c r="H35" s="641"/>
      <c r="I35" s="641"/>
    </row>
    <row r="36" ht="15.75" spans="1:15">
      <c r="A36" s="2413" t="s">
        <v>899</v>
      </c>
      <c r="B36" s="2414" t="s">
        <v>900</v>
      </c>
      <c r="C36" s="2415"/>
      <c r="D36" s="2416"/>
      <c r="E36" s="2417"/>
      <c r="F36" s="2418"/>
      <c r="G36" s="641"/>
      <c r="H36" s="641"/>
      <c r="I36" s="641"/>
    </row>
    <row r="37" ht="15.75" spans="1:15">
      <c r="A37" s="2419"/>
      <c r="B37" s="2420" t="s">
        <v>901</v>
      </c>
      <c r="C37" s="2421"/>
      <c r="D37" s="2422"/>
      <c r="E37" s="2422"/>
      <c r="F37" s="2418"/>
      <c r="G37" s="641"/>
      <c r="H37" s="641"/>
      <c r="I37" s="641"/>
    </row>
    <row r="38" ht="15.75" spans="1:15">
      <c r="A38" s="2423"/>
      <c r="B38" s="2424" t="s">
        <v>902</v>
      </c>
      <c r="C38" s="2425"/>
      <c r="D38" s="2426" t="s">
        <v>903</v>
      </c>
      <c r="E38" s="2422"/>
      <c r="F38" s="2418"/>
      <c r="G38" s="641"/>
      <c r="H38" s="641"/>
      <c r="I38" s="641"/>
    </row>
    <row r="39" ht="14.25" spans="1:15">
      <c r="A39" s="2366" t="s">
        <v>904</v>
      </c>
      <c r="B39" s="2427" t="s">
        <v>884</v>
      </c>
      <c r="C39" s="2428" t="s">
        <v>885</v>
      </c>
      <c r="D39" s="2428" t="s">
        <v>905</v>
      </c>
      <c r="E39" s="2429" t="s">
        <v>886</v>
      </c>
      <c r="F39" s="2418"/>
      <c r="G39" s="641"/>
      <c r="H39" s="641"/>
      <c r="I39" s="641"/>
    </row>
    <row r="40" ht="14.25" spans="1:15">
      <c r="A40" s="2430" t="s">
        <v>906</v>
      </c>
      <c r="B40" s="2431"/>
      <c r="C40" s="663"/>
      <c r="D40" s="663"/>
      <c r="E40" s="2432"/>
      <c r="F40" s="2418"/>
      <c r="G40" s="641"/>
      <c r="H40" s="641"/>
      <c r="I40" s="641"/>
    </row>
    <row r="41" ht="14.25" spans="1:15">
      <c r="A41" s="2430" t="s">
        <v>907</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908</v>
      </c>
      <c r="B44" s="2440"/>
      <c r="C44" s="2440"/>
      <c r="D44" s="2441"/>
      <c r="E44" s="2441"/>
      <c r="F44" s="2442"/>
      <c r="G44" s="2442"/>
      <c r="H44" s="2442"/>
      <c r="I44" s="2442"/>
      <c r="J44" s="2265" t="s">
        <v>909</v>
      </c>
      <c r="K44" s="533"/>
      <c r="L44" s="533"/>
      <c r="M44" s="533"/>
      <c r="N44" s="533"/>
      <c r="O44" s="533"/>
    </row>
    <row r="45" ht="14.25" customHeight="1" spans="1:15">
      <c r="A45" s="2443" t="s">
        <v>910</v>
      </c>
      <c r="B45" s="2444"/>
      <c r="C45" s="2445"/>
      <c r="D45" s="1581">
        <f ca="1">ROUND(H101*F45,0)</f>
        <v>127</v>
      </c>
      <c r="E45" s="2446" t="s">
        <v>911</v>
      </c>
      <c r="F45" s="2447">
        <v>1</v>
      </c>
      <c r="G45" s="1597" t="s">
        <v>912</v>
      </c>
      <c r="H45" s="641"/>
      <c r="I45" s="641"/>
      <c r="J45" s="2448" t="s">
        <v>913</v>
      </c>
      <c r="K45" s="2448"/>
      <c r="L45" s="2448"/>
      <c r="M45" s="2448"/>
      <c r="N45" s="2448"/>
      <c r="O45" s="2448"/>
    </row>
    <row r="46" ht="14.25" customHeight="1" spans="1:15">
      <c r="A46" s="2449" t="s">
        <v>914</v>
      </c>
      <c r="B46" s="2450"/>
      <c r="C46" s="2450"/>
      <c r="D46" s="2450"/>
      <c r="E46" s="2450"/>
      <c r="F46" s="2450"/>
      <c r="G46" s="2451"/>
      <c r="H46" s="2452"/>
      <c r="I46" s="642"/>
      <c r="J46" s="2045">
        <v>1</v>
      </c>
      <c r="K46" s="2453" t="s">
        <v>915</v>
      </c>
      <c r="L46" s="2453"/>
      <c r="M46" s="2454"/>
      <c r="N46" s="2454"/>
      <c r="O46" s="2454"/>
    </row>
    <row r="47" ht="12" customHeight="1" spans="1:15">
      <c r="A47" s="2455" t="s">
        <v>916</v>
      </c>
      <c r="B47" s="2456"/>
      <c r="C47" s="2457"/>
      <c r="D47" s="1620" t="s">
        <v>917</v>
      </c>
      <c r="E47" s="1582" t="s">
        <v>918</v>
      </c>
      <c r="F47" s="2458" t="s">
        <v>919</v>
      </c>
      <c r="G47" s="2459" t="s">
        <v>920</v>
      </c>
      <c r="H47" s="2460"/>
      <c r="I47" s="642"/>
      <c r="J47" s="2045">
        <v>2</v>
      </c>
      <c r="K47" s="2453" t="s">
        <v>921</v>
      </c>
      <c r="L47" s="2453"/>
      <c r="M47" s="2461">
        <f>'数据-取费表'!B2</f>
        <v>46013</v>
      </c>
      <c r="N47" s="2461"/>
      <c r="O47" s="2461"/>
    </row>
    <row r="48" ht="24.75" spans="1:15">
      <c r="A48" s="2462" t="s">
        <v>922</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923</v>
      </c>
      <c r="H48" s="2465"/>
      <c r="I48" s="2452"/>
      <c r="J48" s="2045">
        <v>3</v>
      </c>
      <c r="K48" s="2453" t="s">
        <v>924</v>
      </c>
      <c r="L48" s="2453"/>
      <c r="M48" s="2466">
        <f ca="1">H101</f>
        <v>127</v>
      </c>
      <c r="N48" s="2466"/>
      <c r="O48" s="2466"/>
    </row>
    <row r="49" ht="25.5" customHeight="1" spans="1:35">
      <c r="A49" s="2462" t="s">
        <v>925</v>
      </c>
      <c r="B49" s="1626" t="s">
        <v>926</v>
      </c>
      <c r="C49" s="1626"/>
      <c r="D49" s="2467">
        <v>0</v>
      </c>
      <c r="E49" s="1648" t="s">
        <v>927</v>
      </c>
      <c r="F49" s="2468" t="s">
        <v>124</v>
      </c>
      <c r="G49" s="2469"/>
      <c r="H49" s="2470" t="s">
        <v>928</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127</v>
      </c>
      <c r="N49" s="2466"/>
      <c r="O49" s="2466"/>
    </row>
    <row r="50" ht="25.5" customHeight="1" spans="1:35">
      <c r="A50" s="2472"/>
      <c r="B50" s="1626" t="s">
        <v>929</v>
      </c>
      <c r="C50" s="1626"/>
      <c r="D50" s="2473"/>
      <c r="E50" s="1664"/>
      <c r="F50" s="2468"/>
      <c r="G50" s="2474"/>
      <c r="H50" s="2475" t="s">
        <v>930</v>
      </c>
      <c r="I50" s="2471"/>
      <c r="J50" s="2448" t="s">
        <v>931</v>
      </c>
      <c r="K50" s="2448"/>
      <c r="L50" s="2448"/>
      <c r="M50" s="2448"/>
      <c r="N50" s="2448"/>
      <c r="O50" s="2448"/>
    </row>
    <row r="51" ht="20.45" customHeight="1" spans="1:35">
      <c r="A51" s="2476"/>
      <c r="B51" s="1626" t="s">
        <v>932</v>
      </c>
      <c r="C51" s="1626"/>
      <c r="D51" s="1620"/>
      <c r="E51" s="1653"/>
      <c r="F51" s="2468"/>
      <c r="G51" s="2477"/>
      <c r="H51" s="2475" t="s">
        <v>933</v>
      </c>
      <c r="I51" s="2471"/>
      <c r="J51" s="2453" t="s">
        <v>934</v>
      </c>
      <c r="K51" s="2453" t="s">
        <v>935</v>
      </c>
      <c r="L51" s="2453"/>
      <c r="M51" s="2453" t="s">
        <v>936</v>
      </c>
      <c r="N51" s="2453" t="s">
        <v>937</v>
      </c>
      <c r="O51" s="2453" t="s">
        <v>938</v>
      </c>
    </row>
    <row r="52" ht="24" customHeight="1" spans="1:35">
      <c r="A52" s="2478" t="s">
        <v>939</v>
      </c>
      <c r="B52" s="1626" t="s">
        <v>940</v>
      </c>
      <c r="C52" s="1626"/>
      <c r="D52" s="1620">
        <f ca="1">ROUND(D45*'数据-取费表'!B41/(1+'数据-取费表'!C42),0)</f>
        <v>7</v>
      </c>
      <c r="E52" s="1642" t="s">
        <v>941</v>
      </c>
      <c r="F52" s="2479">
        <f>'数据-取费表'!B41</f>
        <v>0.056</v>
      </c>
      <c r="G52" s="2480"/>
      <c r="H52" s="1687"/>
      <c r="I52" s="2481"/>
      <c r="J52" s="2045">
        <v>1</v>
      </c>
      <c r="K52" s="2045" t="s">
        <v>942</v>
      </c>
      <c r="L52" s="2045"/>
      <c r="M52" s="2482" t="b">
        <f ca="1">D48</f>
        <v>0</v>
      </c>
      <c r="N52" s="2045" t="str">
        <f>E48</f>
        <v>销售额×税（费）率</v>
      </c>
      <c r="O52" s="2483">
        <f>F48</f>
        <v>0.056</v>
      </c>
    </row>
    <row r="53" ht="12" customHeight="1" spans="1:35">
      <c r="A53" s="2478" t="s">
        <v>943</v>
      </c>
      <c r="B53" s="1625" t="s">
        <v>944</v>
      </c>
      <c r="C53" s="2484"/>
      <c r="D53" s="1620">
        <f ca="1">ROUND(D45*'数据-取费表'!B41/(1+'数据-取费表'!C42),0)</f>
        <v>7</v>
      </c>
      <c r="E53" s="1642" t="s">
        <v>941</v>
      </c>
      <c r="F53" s="2479">
        <f>'数据-取费表'!B41</f>
        <v>0.056</v>
      </c>
      <c r="G53" s="2480"/>
      <c r="H53" s="1687"/>
      <c r="I53" s="2481"/>
      <c r="J53" s="2045">
        <v>2</v>
      </c>
      <c r="K53" s="2045" t="s">
        <v>945</v>
      </c>
      <c r="L53" s="2045"/>
      <c r="M53" s="2482">
        <f ca="1" t="shared" ref="M53:O54" si="0">D55</f>
        <v>0</v>
      </c>
      <c r="N53" s="2045" t="str">
        <f t="shared" si="0"/>
        <v>销售额×税（费）率</v>
      </c>
      <c r="O53" s="2483" t="str">
        <f t="shared" si="0"/>
        <v>免征</v>
      </c>
    </row>
    <row r="54" ht="12" customHeight="1" spans="1:35">
      <c r="A54" s="2478" t="s">
        <v>946</v>
      </c>
      <c r="B54" s="1625" t="s">
        <v>947</v>
      </c>
      <c r="C54" s="2484"/>
      <c r="D54" s="1620">
        <f ca="1">C68</f>
        <v>7</v>
      </c>
      <c r="E54" s="1653" t="s">
        <v>948</v>
      </c>
      <c r="F54" s="2479">
        <f>'数据-取费表'!B41</f>
        <v>0.056</v>
      </c>
      <c r="G54" s="2480"/>
      <c r="H54" s="2485"/>
      <c r="I54" s="2481"/>
      <c r="J54" s="2045">
        <v>3</v>
      </c>
      <c r="K54" s="2045" t="s">
        <v>949</v>
      </c>
      <c r="L54" s="2045"/>
      <c r="M54" s="2482">
        <f ca="1" t="shared" si="0"/>
        <v>72</v>
      </c>
      <c r="N54" s="2045" t="str">
        <f t="shared" si="0"/>
        <v>增值额×税（费）率</v>
      </c>
      <c r="O54" s="2486" t="str">
        <f t="shared" si="0"/>
        <v>免征</v>
      </c>
    </row>
    <row r="55" ht="24" customHeight="1" spans="1:35">
      <c r="A55" s="2478" t="s">
        <v>950</v>
      </c>
      <c r="B55" s="1642"/>
      <c r="C55" s="1642"/>
      <c r="D55" s="1628">
        <f ca="1">IF(H55="个人住宅",0,ROUND(D45*I55,0))</f>
        <v>0</v>
      </c>
      <c r="E55" s="1642" t="s">
        <v>951</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952</v>
      </c>
      <c r="B56" s="1642"/>
      <c r="C56" s="1642"/>
      <c r="D56" s="1628">
        <f ca="1">IF(H56="个人住宅",D57,D58)</f>
        <v>72</v>
      </c>
      <c r="E56" s="1642" t="s">
        <v>953</v>
      </c>
      <c r="F56" s="2479" t="str">
        <f>IF(H56="正常",F58,"免征")</f>
        <v>免征</v>
      </c>
      <c r="G56" s="2490" t="s">
        <v>954</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925</v>
      </c>
      <c r="B57" s="1625" t="s">
        <v>955</v>
      </c>
      <c r="C57" s="2484"/>
      <c r="D57" s="2467">
        <v>0</v>
      </c>
      <c r="E57" s="1648" t="s">
        <v>927</v>
      </c>
      <c r="F57" s="1582"/>
      <c r="G57" s="2480"/>
      <c r="H57" s="2493"/>
      <c r="I57" s="2492"/>
      <c r="J57" s="2045">
        <f>IF(AND(J55="",J56=""),4,IF(项目基本情况!K6="上海银行",结果表!J56+1,结果表!J55+1))</f>
        <v>5</v>
      </c>
      <c r="K57" s="2045" t="s">
        <v>956</v>
      </c>
      <c r="L57" s="2494" t="s">
        <v>957</v>
      </c>
      <c r="M57" s="2495"/>
      <c r="N57" s="2496">
        <f ca="1">SUMIF(M52:M56,"&lt;9e307")</f>
        <v>73</v>
      </c>
      <c r="O57" s="2497"/>
      <c r="P57" s="2498">
        <f ca="1">N57/M49</f>
        <v>0.574803149606299</v>
      </c>
    </row>
    <row r="58" ht="24.75" spans="1:35">
      <c r="A58" s="2478" t="s">
        <v>939</v>
      </c>
      <c r="B58" s="1625" t="s">
        <v>958</v>
      </c>
      <c r="C58" s="1626"/>
      <c r="D58" s="1628">
        <f ca="1">IF(H58="转让取得",C81,C97)</f>
        <v>72</v>
      </c>
      <c r="E58" s="1642" t="s">
        <v>953</v>
      </c>
      <c r="F58" s="1582" t="s">
        <v>124</v>
      </c>
      <c r="G58" s="2480"/>
      <c r="H58" s="2491"/>
      <c r="I58" s="2492"/>
      <c r="J58" s="2045"/>
      <c r="K58" s="2045"/>
      <c r="L58" s="2494" t="s">
        <v>959</v>
      </c>
      <c r="M58" s="2499"/>
      <c r="N58" s="2500" t="str">
        <f ca="1">NUMBERSTRING(INT(N57*10000),2)&amp;"元整"</f>
        <v>柒拾叁万元整</v>
      </c>
      <c r="O58" s="2501"/>
    </row>
    <row r="59" ht="24.75" spans="1:35">
      <c r="A59" s="2502" t="s">
        <v>960</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954</v>
      </c>
      <c r="H59" s="2508"/>
      <c r="I59" s="2509" t="s">
        <v>961</v>
      </c>
      <c r="J59" s="2021">
        <f>J57+1</f>
        <v>6</v>
      </c>
      <c r="K59" s="2045" t="s">
        <v>962</v>
      </c>
      <c r="L59" s="2045" t="s">
        <v>957</v>
      </c>
      <c r="M59" s="2510"/>
      <c r="N59" s="2511">
        <f ca="1">M49-N57</f>
        <v>54</v>
      </c>
      <c r="O59" s="2512"/>
    </row>
    <row r="60" ht="12" customHeight="1" spans="1:35">
      <c r="A60" s="2513"/>
      <c r="B60" s="1604"/>
      <c r="C60" s="1604"/>
      <c r="D60" s="1604"/>
      <c r="E60" s="2514"/>
      <c r="F60" s="2492"/>
      <c r="G60" s="2492"/>
      <c r="H60" s="642"/>
      <c r="I60" s="641"/>
      <c r="J60" s="2026"/>
      <c r="K60" s="2045"/>
      <c r="L60" s="2494" t="s">
        <v>959</v>
      </c>
      <c r="M60" s="2499"/>
      <c r="N60" s="2500" t="str">
        <f ca="1">NUMBERSTRING(INT(N59*10000),2)&amp;"元整"</f>
        <v>伍拾肆万元整</v>
      </c>
      <c r="O60" s="2501"/>
    </row>
    <row r="61" ht="14.25" spans="1:35">
      <c r="A61" s="2515" t="s">
        <v>963</v>
      </c>
      <c r="B61" s="2515"/>
      <c r="C61" s="2515"/>
      <c r="D61" s="2515"/>
      <c r="E61" s="2515"/>
      <c r="F61" s="2492"/>
      <c r="G61" s="2492"/>
      <c r="H61" s="642"/>
      <c r="I61" s="641"/>
      <c r="J61" s="2045">
        <f>J59+1</f>
        <v>7</v>
      </c>
      <c r="K61" s="2045" t="s">
        <v>964</v>
      </c>
      <c r="L61" s="2045"/>
      <c r="M61" s="2516"/>
      <c r="N61" s="2517">
        <f ca="1">ROUND(N59*10000/'数据-汇总表'!E3,0)</f>
        <v>10642</v>
      </c>
      <c r="O61" s="2518"/>
    </row>
    <row r="62" ht="13.5" spans="1:35">
      <c r="A62" s="2519" t="s">
        <v>965</v>
      </c>
      <c r="B62" s="1972"/>
      <c r="C62" s="1972"/>
      <c r="D62" s="1972" t="s">
        <v>966</v>
      </c>
      <c r="E62" s="2520" t="s">
        <v>920</v>
      </c>
      <c r="F62" s="2492"/>
      <c r="G62" s="2492"/>
      <c r="H62" s="642"/>
      <c r="I62" s="641"/>
    </row>
    <row r="63" ht="13.5" spans="1:35">
      <c r="A63" s="2521" t="s">
        <v>967</v>
      </c>
      <c r="B63" s="2064" t="s">
        <v>968</v>
      </c>
      <c r="C63" s="2522">
        <f ca="1">ROUND((C64+C65)/(1+'数据-取费表'!C42),0)</f>
        <v>121</v>
      </c>
      <c r="D63" s="2064"/>
      <c r="E63" s="2523"/>
      <c r="F63" s="2492"/>
      <c r="G63" s="2492"/>
      <c r="H63" s="642"/>
      <c r="I63" s="641"/>
      <c r="J63" s="2524" t="s">
        <v>969</v>
      </c>
      <c r="K63" s="2524" t="s">
        <v>970</v>
      </c>
      <c r="L63" s="2524">
        <f ca="1">IF(M49&gt;10000,M49*0.5%,IF(AND(M49&gt;1000,M49&lt;=10000),M49*1%,IF(AND(M49&gt;100,M49&lt;=1000),M49*3%,IF(AND(M49&gt;10,M49&lt;=100),M49*5%,M49*8%))))</f>
        <v>3.81</v>
      </c>
      <c r="M63" s="1582">
        <f ca="1">ROUND(L63,1)</f>
        <v>3.8</v>
      </c>
      <c r="N63" s="2525"/>
      <c r="Z63" s="2332"/>
      <c r="AI63" s="2333"/>
    </row>
    <row r="64" ht="14.25" customHeight="1" spans="1:35">
      <c r="A64" s="2526" t="s">
        <v>971</v>
      </c>
      <c r="B64" s="1940" t="s">
        <v>972</v>
      </c>
      <c r="C64" s="2527">
        <f ca="1">D45</f>
        <v>127</v>
      </c>
      <c r="D64" s="1940" t="s">
        <v>124</v>
      </c>
      <c r="E64" s="2528"/>
      <c r="F64" s="2492"/>
      <c r="G64" s="2492"/>
      <c r="H64" s="642"/>
      <c r="I64" s="641"/>
      <c r="J64" s="2524"/>
      <c r="K64" s="2524" t="s">
        <v>973</v>
      </c>
      <c r="L64" s="2524">
        <f ca="1">IF(M49&gt;2000,M49*0.5%,IF(AND(M49&gt;1000,M49&lt;=2000),M49*0.6%,IF(AND(M49&gt;500,M49&lt;=1000),M49*0.7%,IF(AND(M49&gt;200,M49&lt;=500),M49*0.8%,IF(AND(M49&gt;100,M49&lt;=200),M49*0.9%,IF(AND(M49&gt;50,M49&lt;=100),M49*1%,IF(AND(M49&gt;20,M49&lt;=50),M49*1.5%,IF(AND(M49&gt;10,M49&lt;=20),M49*2%,IF(AND(M49&gt;1,M49&lt;=10),M49*2.5%)))))))))</f>
        <v>1.143</v>
      </c>
      <c r="M64" s="1582">
        <f ca="1" t="shared" ref="M64:M65" si="1">ROUND(L64,1)</f>
        <v>1.1</v>
      </c>
      <c r="N64" s="1687" t="s">
        <v>974</v>
      </c>
      <c r="Z64" s="2332"/>
      <c r="AI64" s="2333"/>
    </row>
    <row r="65" ht="14.25" customHeight="1" spans="1:35">
      <c r="A65" s="2526" t="s">
        <v>975</v>
      </c>
      <c r="B65" s="1940" t="s">
        <v>976</v>
      </c>
      <c r="C65" s="2529"/>
      <c r="D65" s="1940"/>
      <c r="E65" s="2528"/>
      <c r="F65" s="2492"/>
      <c r="G65" s="2492"/>
      <c r="H65" s="642"/>
      <c r="I65" s="641"/>
      <c r="J65" s="2524"/>
      <c r="K65" s="2524" t="s">
        <v>977</v>
      </c>
      <c r="L65" s="2524">
        <f ca="1">IF(M49&gt;1000,M49*0.1%,IF(AND(M49&gt;500,M49&lt;=1000),M49*0.5%,IF(AND(M49&gt;50,M49&lt;=500),M49*1%,IF(AND(M49&gt;1,M49&lt;=50),M49*1.5%))))</f>
        <v>1.27</v>
      </c>
      <c r="M65" s="1582">
        <f ca="1" t="shared" si="1"/>
        <v>1.3</v>
      </c>
      <c r="N65" s="1687" t="s">
        <v>974</v>
      </c>
      <c r="Z65" s="2332"/>
      <c r="AI65" s="2333"/>
    </row>
    <row r="66" ht="14.25" customHeight="1" spans="1:35">
      <c r="A66" s="2521" t="s">
        <v>978</v>
      </c>
      <c r="B66" s="2530" t="s">
        <v>979</v>
      </c>
      <c r="C66" s="2531"/>
      <c r="D66" s="2530" t="s">
        <v>124</v>
      </c>
      <c r="E66" s="2532" t="s">
        <v>980</v>
      </c>
      <c r="F66" s="2492"/>
      <c r="G66" s="2492"/>
      <c r="H66" s="642"/>
      <c r="I66" s="641"/>
      <c r="J66" s="2524"/>
      <c r="K66" s="2524" t="s">
        <v>981</v>
      </c>
      <c r="L66" s="2524">
        <f ca="1">M49*0.5%</f>
        <v>0.635</v>
      </c>
      <c r="M66" s="1582">
        <f ca="1">IF(L66&gt;0.5,0.5,ROUND(L66,0))</f>
        <v>0.5</v>
      </c>
      <c r="N66" s="1687" t="s">
        <v>982</v>
      </c>
      <c r="Z66" s="2332"/>
      <c r="AI66" s="2333"/>
    </row>
    <row r="67" ht="14.25" customHeight="1" spans="1:35">
      <c r="A67" s="2521" t="s">
        <v>983</v>
      </c>
      <c r="B67" s="2530" t="s">
        <v>984</v>
      </c>
      <c r="C67" s="2533">
        <f ca="1">C63-C66</f>
        <v>121</v>
      </c>
      <c r="D67" s="1940" t="s">
        <v>124</v>
      </c>
      <c r="E67" s="2528"/>
      <c r="F67" s="2492"/>
      <c r="G67" s="2492"/>
      <c r="H67" s="642"/>
      <c r="I67" s="641"/>
      <c r="J67" s="2524"/>
      <c r="K67" s="2524" t="s">
        <v>985</v>
      </c>
      <c r="L67" s="2524">
        <f ca="1">IF(M49&gt;=10000,(8.25+(M49-10000)*0.01%),IF(AND(M49&gt;=8000,M49&lt;10000),(7.85+(M49-8000)*0.02%),IF(AND(M49&gt;=5000,M49&lt;8000),(6.65+(M49-5000)*0.04%),IF(AND(M49&gt;=2000,M49&lt;5000),(4.25+(PM49-2000)*0.08%),IF(AND(M49&gt;=1000,M49&lt;2000),(2.75+(M49-1000)*0.15%),IF(AND(M49&gt;=100,M49&lt;1000),(0.5+(M49-100)*0.25%),IF(AND(M49&gt;0,M49&lt;100),M49*0.5%)))))))</f>
        <v>0.5675</v>
      </c>
      <c r="M67" s="1582">
        <f ca="1">ROUND(L67*0.9,1)</f>
        <v>0.5</v>
      </c>
      <c r="N67" s="2525"/>
      <c r="Z67" s="2332"/>
      <c r="AI67" s="2333"/>
    </row>
    <row r="68" ht="14.25" customHeight="1" spans="1:35">
      <c r="A68" s="2534" t="s">
        <v>986</v>
      </c>
      <c r="B68" s="2535" t="s">
        <v>987</v>
      </c>
      <c r="C68" s="2536">
        <f ca="1">IF(C67&lt;=0,0,ROUND(C67*D68,0))</f>
        <v>7</v>
      </c>
      <c r="D68" s="2164">
        <f>'数据-取费表'!B41</f>
        <v>0.056</v>
      </c>
      <c r="E68" s="2537"/>
      <c r="F68" s="2492"/>
      <c r="G68" s="2492"/>
      <c r="H68" s="642"/>
      <c r="I68" s="641"/>
      <c r="J68" s="2524"/>
      <c r="K68" s="2524" t="s">
        <v>988</v>
      </c>
      <c r="L68" s="2524">
        <f ca="1">IF(M49&gt;10000,M49*0.5%,IF(AND(M49&gt;5000,M49&lt;=10000),M49*1%,IF(AND(M49&gt;1000,M49&lt;=5000),M49*2%,IF(AND(M49&gt;200,M49&lt;=1000),M49*3%,M49*5%))))</f>
        <v>6.35</v>
      </c>
      <c r="M68" s="1582">
        <f ca="1">ROUND(L68,1)</f>
        <v>6.4</v>
      </c>
      <c r="N68" s="2525"/>
      <c r="Z68" s="2332"/>
      <c r="AI68" s="2333"/>
    </row>
    <row r="69" ht="16.5" customHeight="1" spans="1:35">
      <c r="A69" s="2538"/>
      <c r="B69" s="2539"/>
      <c r="C69" s="2540"/>
      <c r="D69" s="2225"/>
      <c r="E69" s="2541"/>
      <c r="F69" s="2514"/>
      <c r="G69" s="2514"/>
      <c r="H69" s="2436"/>
      <c r="I69" s="1604"/>
      <c r="J69" s="2524"/>
      <c r="K69" s="2524" t="s">
        <v>989</v>
      </c>
      <c r="L69" s="2524"/>
      <c r="M69" s="1582">
        <f ca="1">ROUND(SUM(M63:M68),0)</f>
        <v>14</v>
      </c>
      <c r="N69" s="2542">
        <f ca="1">M69/M49</f>
        <v>0.110236220472441</v>
      </c>
      <c r="Z69" s="2332"/>
      <c r="AI69" s="2333"/>
    </row>
    <row r="70" s="531" customFormat="1" ht="15" spans="1:35">
      <c r="A70" s="2543" t="s">
        <v>990</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965</v>
      </c>
      <c r="B71" s="1972"/>
      <c r="C71" s="1972"/>
      <c r="D71" s="1972" t="s">
        <v>966</v>
      </c>
      <c r="E71" s="2548" t="s">
        <v>920</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967</v>
      </c>
      <c r="B72" s="2530" t="s">
        <v>991</v>
      </c>
      <c r="C72" s="2533">
        <f ca="1">ROUND(D45/(1+'数据-取费表'!C42),0)</f>
        <v>121</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978</v>
      </c>
      <c r="B73" s="2458" t="s">
        <v>992</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971</v>
      </c>
      <c r="B74" s="1940" t="s">
        <v>993</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994</v>
      </c>
      <c r="B75" s="1940" t="s">
        <v>995</v>
      </c>
      <c r="C75" s="2048"/>
      <c r="D75" s="1940" t="s">
        <v>124</v>
      </c>
      <c r="E75" s="2553" t="s">
        <v>996</v>
      </c>
      <c r="F75" s="2554"/>
      <c r="G75" s="2553" t="s">
        <v>997</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998</v>
      </c>
      <c r="B76" s="2556" t="s">
        <v>999</v>
      </c>
      <c r="C76" s="1940">
        <f>IF(F75="购房发票",ROUND(C75*H75*D76,0),0)</f>
        <v>0</v>
      </c>
      <c r="D76" s="2557">
        <v>0.05</v>
      </c>
      <c r="E76" s="1625" t="s">
        <v>1000</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1001</v>
      </c>
      <c r="B77" s="1940" t="s">
        <v>1002</v>
      </c>
      <c r="C77" s="1940">
        <f>ROUND(IF(G77="个人住宅",0,IF(G77="2016年5月1日前购买",C75*D77,C75*D77/(1+'数据-取费表'!C42))),0)</f>
        <v>0</v>
      </c>
      <c r="D77" s="2559">
        <f>'数据-取费表'!B48+'数据-取费表'!B49</f>
        <v>0.0305</v>
      </c>
      <c r="E77" s="1628" t="s">
        <v>1003</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975</v>
      </c>
      <c r="B78" s="1940" t="s">
        <v>1004</v>
      </c>
      <c r="C78" s="2562">
        <f ca="1">ROUND(D45*D78/(1+'数据-取费表'!C42),0)</f>
        <v>1</v>
      </c>
      <c r="D78" s="2563">
        <f>'数据-取费表'!B43</f>
        <v>0.006</v>
      </c>
      <c r="E78" s="2564" t="s">
        <v>1005</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983</v>
      </c>
      <c r="B79" s="2530" t="s">
        <v>1006</v>
      </c>
      <c r="C79" s="2533">
        <f ca="1">C72-C73</f>
        <v>120</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986</v>
      </c>
      <c r="B80" s="2530" t="s">
        <v>1007</v>
      </c>
      <c r="C80" s="2568">
        <f ca="1">IF(C79&lt;=0,0,C79/C73)</f>
        <v>120</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1008</v>
      </c>
      <c r="B81" s="2535" t="s">
        <v>1009</v>
      </c>
      <c r="C81" s="2569">
        <f ca="1">ROUND(IF(C79&lt;=0,0,IF(C80&gt;=200%,C79*60%-C73*35%,IF(C80&gt;=100%,C79*50%-C73*15%,IF(C80&gt;=50%,C79*40%-C73*5%,IF(C80&lt;50%,C79*30%,0))))),0)</f>
        <v>72</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1010</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965</v>
      </c>
      <c r="B84" s="1972"/>
      <c r="C84" s="1972"/>
      <c r="D84" s="1972" t="s">
        <v>966</v>
      </c>
      <c r="E84" s="2548" t="s">
        <v>920</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967</v>
      </c>
      <c r="B85" s="2530" t="s">
        <v>991</v>
      </c>
      <c r="C85" s="2533">
        <f ca="1">ROUND(D45/(1+'数据-取费表'!C42),0)</f>
        <v>121</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978</v>
      </c>
      <c r="B86" s="2458" t="s">
        <v>992</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971</v>
      </c>
      <c r="B87" s="1940" t="s">
        <v>1011</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994</v>
      </c>
      <c r="B88" s="1940" t="s">
        <v>1012</v>
      </c>
      <c r="C88" s="2578"/>
      <c r="D88" s="2563"/>
      <c r="E88" s="2579" t="s">
        <v>1013</v>
      </c>
      <c r="F88" s="2565"/>
      <c r="G88" s="2580" t="s">
        <v>1014</v>
      </c>
      <c r="H88" s="2581"/>
      <c r="I88" s="2211"/>
      <c r="J88" s="2582" t="s">
        <v>1015</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998</v>
      </c>
      <c r="B89" s="1940" t="s">
        <v>1002</v>
      </c>
      <c r="C89" s="2562">
        <f>ROUND(C88*D89,0)</f>
        <v>0</v>
      </c>
      <c r="D89" s="2563">
        <f>'数据-取费表'!B48+'数据-取费表'!B49</f>
        <v>0.0305</v>
      </c>
      <c r="E89" s="2579" t="s">
        <v>1016</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975</v>
      </c>
      <c r="B90" s="1940" t="s">
        <v>1017</v>
      </c>
      <c r="C90" s="2578"/>
      <c r="D90" s="2563"/>
      <c r="E90" s="2579" t="str">
        <f>IF(H88="-","土地取得成本中已包含该笔费用"," ")</f>
        <v> </v>
      </c>
      <c r="F90" s="2565"/>
      <c r="G90" s="2583" t="s">
        <v>1018</v>
      </c>
      <c r="H90" s="2584"/>
      <c r="I90" s="2211"/>
      <c r="J90" s="2582" t="s">
        <v>1019</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1020</v>
      </c>
      <c r="B91" s="1940" t="s">
        <v>1021</v>
      </c>
      <c r="C91" s="2562">
        <f ca="1">IF(H91="——",成本法!C33,I91)</f>
        <v>0</v>
      </c>
      <c r="D91" s="2563"/>
      <c r="E91" s="2564" t="s">
        <v>1022</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1023</v>
      </c>
      <c r="B92" s="1940" t="s">
        <v>1024</v>
      </c>
      <c r="C92" s="2562">
        <f ca="1">ROUND((C87+C90+C91)*D92,0)</f>
        <v>0</v>
      </c>
      <c r="D92" s="2587"/>
      <c r="E92" s="2564" t="s">
        <v>1025</v>
      </c>
      <c r="F92" s="2565"/>
      <c r="G92" s="2565"/>
      <c r="H92" s="2566"/>
      <c r="I92" s="2211"/>
      <c r="J92" s="2588" t="s">
        <v>1026</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1027</v>
      </c>
      <c r="B93" s="1940" t="s">
        <v>1004</v>
      </c>
      <c r="C93" s="2562">
        <f ca="1">ROUND(D45*D93/(1+'数据-取费表'!C42),0)</f>
        <v>1</v>
      </c>
      <c r="D93" s="2563">
        <f>'数据-取费表'!B43</f>
        <v>0.006</v>
      </c>
      <c r="E93" s="2564" t="s">
        <v>1005</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1028</v>
      </c>
      <c r="B94" s="1940" t="s">
        <v>1029</v>
      </c>
      <c r="C94" s="2578">
        <f ca="1">ROUND((C87+C90+C91)*D94,0)</f>
        <v>0</v>
      </c>
      <c r="D94" s="2563">
        <v>0.2</v>
      </c>
      <c r="E94" s="2589" t="s">
        <v>1030</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983</v>
      </c>
      <c r="B95" s="2530" t="s">
        <v>1006</v>
      </c>
      <c r="C95" s="2533">
        <f ca="1">ROUND(C85-C86,0)</f>
        <v>120</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986</v>
      </c>
      <c r="B96" s="2530" t="s">
        <v>1007</v>
      </c>
      <c r="C96" s="2568">
        <f ca="1">IF(C95&lt;=0,0,C95/C86)</f>
        <v>120</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1008</v>
      </c>
      <c r="B97" s="2535" t="s">
        <v>1009</v>
      </c>
      <c r="C97" s="2569">
        <f ca="1">ROUND(IF(C95&lt;=0,0,IF(C96&gt;=200%,C95*60%-C86*35%,IF(C96&gt;=100%,C95*50%-C86*15%,IF(C96&gt;=50%,C95*40%-C86*5%,IF(C96&lt;50%,C95*30%,0))))),0)</f>
        <v>72</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1031</v>
      </c>
      <c r="B99" s="1604"/>
      <c r="C99" s="1604"/>
      <c r="D99" s="1604"/>
      <c r="E99" s="2514"/>
      <c r="F99" s="2514"/>
      <c r="G99" s="2514"/>
      <c r="H99" s="2436"/>
      <c r="I99" s="641"/>
    </row>
    <row r="100" ht="18.75" customHeight="1" spans="1:35">
      <c r="A100" s="2593" t="s">
        <v>1032</v>
      </c>
      <c r="B100" s="2594"/>
      <c r="C100" s="2594"/>
      <c r="D100" s="2595"/>
      <c r="E100" s="2594" t="s">
        <v>1033</v>
      </c>
      <c r="F100" s="2594"/>
      <c r="G100" s="2594"/>
      <c r="H100" s="2595"/>
      <c r="I100" s="641"/>
    </row>
    <row r="101" ht="18.75" customHeight="1" spans="1:35">
      <c r="A101" s="2596" t="s">
        <v>1034</v>
      </c>
      <c r="B101" s="2597"/>
      <c r="C101" s="2598" t="str">
        <f>C4</f>
        <v>成本法 (元)</v>
      </c>
      <c r="D101" s="2599" t="str">
        <f>D4</f>
        <v>收益法 (元)</v>
      </c>
      <c r="E101" s="2600" t="s">
        <v>1035</v>
      </c>
      <c r="F101" s="2601"/>
      <c r="G101" s="2602" t="s">
        <v>1036</v>
      </c>
      <c r="H101" s="2603">
        <f ca="1">H118</f>
        <v>127</v>
      </c>
      <c r="I101" s="641"/>
    </row>
    <row r="102" ht="18.75" customHeight="1" spans="1:35">
      <c r="A102" s="2604" t="s">
        <v>1037</v>
      </c>
      <c r="B102" s="2605" t="s">
        <v>1036</v>
      </c>
      <c r="C102" s="2598">
        <f ca="1">IF(D32="楼面单价",ROUND(C19,0),C19)</f>
        <v>141</v>
      </c>
      <c r="D102" s="2599">
        <f ca="1">IF(D32="楼面单价",ROUND(D19,0),D19)</f>
        <v>117</v>
      </c>
      <c r="E102" s="2600"/>
      <c r="F102" s="2601"/>
      <c r="G102" s="2602" t="s">
        <v>99</v>
      </c>
      <c r="H102" s="2480">
        <f ca="1">I118</f>
        <v>24935</v>
      </c>
      <c r="I102" s="641"/>
    </row>
    <row r="103" ht="42.75" customHeight="1" spans="1:35">
      <c r="A103" s="2604"/>
      <c r="B103" s="2605" t="s">
        <v>99</v>
      </c>
      <c r="C103" s="2606">
        <f ca="1">C20</f>
        <v>27792</v>
      </c>
      <c r="D103" s="2607">
        <f ca="1">D20</f>
        <v>23031</v>
      </c>
      <c r="E103" s="2608" t="s">
        <v>1038</v>
      </c>
      <c r="F103" s="2609"/>
      <c r="G103" s="2610" t="s">
        <v>102</v>
      </c>
      <c r="H103" s="2603">
        <f>IF(D36="正常操作",H104+H105+H106,H105+H106)</f>
        <v>0</v>
      </c>
      <c r="I103" s="641"/>
    </row>
    <row r="104" ht="18.75" customHeight="1" spans="1:35">
      <c r="A104" s="2604" t="s">
        <v>1039</v>
      </c>
      <c r="B104" s="2611" t="s">
        <v>1036</v>
      </c>
      <c r="C104" s="2612">
        <f ca="1">H118</f>
        <v>127</v>
      </c>
      <c r="D104" s="2613"/>
      <c r="E104" s="2420" t="s">
        <v>1040</v>
      </c>
      <c r="F104" s="2614"/>
      <c r="G104" s="2610" t="s">
        <v>102</v>
      </c>
      <c r="H104" s="2615">
        <f>IF(D36="同一抵押权人同一抵押物续贷",C36&amp;"（续贷，未扣减，详见特别提示）",C36)</f>
        <v>0</v>
      </c>
      <c r="I104" s="641"/>
    </row>
    <row r="105" ht="18.75" customHeight="1" spans="1:35">
      <c r="A105" s="2616"/>
      <c r="B105" s="2617" t="s">
        <v>99</v>
      </c>
      <c r="C105" s="2618">
        <f ca="1">I118</f>
        <v>24935</v>
      </c>
      <c r="D105" s="2619"/>
      <c r="E105" s="2420" t="s">
        <v>1041</v>
      </c>
      <c r="F105" s="2614"/>
      <c r="G105" s="2610" t="s">
        <v>102</v>
      </c>
      <c r="H105" s="2620">
        <f>C37</f>
        <v>0</v>
      </c>
      <c r="I105" s="641"/>
    </row>
    <row r="106" ht="18.75" customHeight="1" spans="1:35">
      <c r="A106" s="1604" t="s">
        <v>1042</v>
      </c>
      <c r="B106" s="1604"/>
      <c r="C106" s="1604"/>
      <c r="D106" s="1604"/>
      <c r="E106" s="2621" t="s">
        <v>1043</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1036</v>
      </c>
      <c r="H107" s="2603">
        <f ca="1">IF(E107="——","——",H101-H103)</f>
        <v>127</v>
      </c>
      <c r="I107" s="641"/>
    </row>
    <row r="108" ht="18.75" customHeight="1" spans="1:35">
      <c r="A108" s="641"/>
      <c r="B108" s="641"/>
      <c r="C108" s="641"/>
      <c r="D108" s="641"/>
      <c r="E108" s="2622"/>
      <c r="F108" s="2601"/>
      <c r="G108" s="2602" t="s">
        <v>99</v>
      </c>
      <c r="H108" s="2480">
        <f ca="1">IF(H107=H101,H102,ROUND(H107*10000/'数据-汇总表'!E3,0))</f>
        <v>24935</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1036</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1036</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1042</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1044</v>
      </c>
      <c r="B115" s="2632"/>
      <c r="C115" s="2632"/>
      <c r="D115" s="2632"/>
      <c r="E115" s="2632"/>
      <c r="F115" s="2632"/>
      <c r="G115" s="2632"/>
      <c r="H115" s="2632"/>
      <c r="I115" s="2633"/>
    </row>
    <row r="116" ht="27" customHeight="1" spans="1:27">
      <c r="A116" s="2255" t="s">
        <v>1045</v>
      </c>
      <c r="B116" s="2634" t="s">
        <v>1046</v>
      </c>
      <c r="C116" s="2634" t="s">
        <v>1047</v>
      </c>
      <c r="D116" s="2635" t="s">
        <v>1048</v>
      </c>
      <c r="E116" s="2636"/>
      <c r="F116" s="2637" t="s">
        <v>1049</v>
      </c>
      <c r="G116" s="2637"/>
      <c r="H116" s="2255" t="s">
        <v>1050</v>
      </c>
      <c r="I116" s="2255"/>
    </row>
    <row r="117" ht="18.75" customHeight="1" spans="1:27">
      <c r="A117" s="2255"/>
      <c r="B117" s="2638"/>
      <c r="C117" s="2638"/>
      <c r="D117" s="2255" t="s">
        <v>1051</v>
      </c>
      <c r="E117" s="2255" t="s">
        <v>878</v>
      </c>
      <c r="F117" s="2255" t="s">
        <v>1051</v>
      </c>
      <c r="G117" s="2255" t="s">
        <v>878</v>
      </c>
      <c r="H117" s="2255" t="s">
        <v>1051</v>
      </c>
      <c r="I117" s="2255" t="s">
        <v>878</v>
      </c>
    </row>
    <row r="118" ht="24.75" customHeight="1" spans="1:27">
      <c r="A118" s="2639" t="str">
        <f>项目基本情况!S2</f>
        <v>北京市房地产</v>
      </c>
      <c r="B118" s="2255">
        <f>M18</f>
        <v>50.74</v>
      </c>
      <c r="C118" s="2255">
        <f>M19</f>
        <v>0</v>
      </c>
      <c r="D118" s="2255">
        <f ca="1">ROUND(IF(D32="总价",C34,E118*B118/10000),0)</f>
        <v>105</v>
      </c>
      <c r="E118" s="2255">
        <f ca="1">ROUND(IF(C33="自定义",IF(D32="楼面单价",C34,D118*10000/B118),I118-G118),0)</f>
        <v>20596</v>
      </c>
      <c r="F118" s="2255">
        <f ca="1">ROUND(IF(D32="总价",C35,G118*B118/10000),0)</f>
        <v>22</v>
      </c>
      <c r="G118" s="2255">
        <f ca="1">ROUND(IF(D32="楼面单价",C35,F118*10000/B118),0)</f>
        <v>4339</v>
      </c>
      <c r="H118" s="2255">
        <f ca="1">ROUND(IF(D32="总价",C32,I118*B118/10000),0)</f>
        <v>127</v>
      </c>
      <c r="I118" s="2255">
        <f ca="1">ROUND(IF(D32="楼面单价",C32,H118*10000/B118),0)</f>
        <v>24935</v>
      </c>
    </row>
    <row r="119" ht="18.75" customHeight="1" spans="1:27">
      <c r="A119" s="2255" t="s">
        <v>1052</v>
      </c>
      <c r="B119" s="2255"/>
      <c r="C119" s="2255"/>
      <c r="D119" s="2640" t="str">
        <f ca="1">NUMBERSTRING(INT(D118*10000),2)&amp;"元整"</f>
        <v>壹佰零伍万元整</v>
      </c>
      <c r="E119" s="2641"/>
      <c r="F119" s="2640" t="str">
        <f ca="1">NUMBERSTRING(INT(F118*10000),2)&amp;"元整"</f>
        <v>贰拾贰万元整</v>
      </c>
      <c r="G119" s="2641"/>
      <c r="H119" s="2640" t="str">
        <f ca="1">NUMBERSTRING(INT(H118*10000),2)&amp;"元整"</f>
        <v>壹佰贰拾柒万元整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1052</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127</v>
      </c>
      <c r="E122" s="2643"/>
      <c r="F122" s="2643"/>
      <c r="G122" s="2643"/>
      <c r="H122" s="2643"/>
      <c r="I122" s="2644"/>
      <c r="AA122" s="550"/>
    </row>
    <row r="123" ht="18.75" customHeight="1" spans="1:27">
      <c r="A123" s="2255" t="s">
        <v>1052</v>
      </c>
      <c r="B123" s="2255"/>
      <c r="C123" s="2255"/>
      <c r="D123" s="2640" t="str">
        <f ca="1">NUMBERSTRING(INT(D122*10000),2)&amp;"元整"</f>
        <v>壹佰贰拾柒万元整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1052</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1052</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1053</v>
      </c>
      <c r="B129" s="2647"/>
      <c r="C129" s="2648" t="s">
        <v>1054</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1055</v>
      </c>
      <c r="G135" s="2661"/>
      <c r="H135" s="2661"/>
      <c r="I135" s="2662" t="s">
        <v>1056</v>
      </c>
    </row>
    <row r="136" customHeight="1" spans="1:35">
      <c r="A136" s="550"/>
      <c r="B136" s="2663" t="s">
        <v>1057</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1058</v>
      </c>
    </row>
    <row r="139" customHeight="1" spans="1:35">
      <c r="A139" s="550"/>
      <c r="B139" s="2663" t="s">
        <v>1059</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1058</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1060</v>
      </c>
      <c r="B1" s="2294"/>
      <c r="C1" s="358"/>
      <c r="D1" s="358"/>
      <c r="E1" s="358"/>
      <c r="F1" s="358"/>
      <c r="G1" s="2296">
        <f>MATCH(B1,'数据-取费表'!A6:A16,0)+5</f>
        <v>7</v>
      </c>
    </row>
    <row r="2" s="348" customFormat="1" ht="18" customHeight="1" spans="1:9">
      <c r="A2" s="360" t="s">
        <v>1061</v>
      </c>
      <c r="B2" s="361">
        <f ca="1">IF(D2="——",C52,C52-E2)</f>
        <v>13627</v>
      </c>
      <c r="C2" s="359" t="s">
        <v>1062</v>
      </c>
      <c r="D2" s="2298" t="s">
        <v>124</v>
      </c>
      <c r="E2" s="2299" t="e">
        <f ca="1">SUMIF(INDIRECT("'"&amp;G2&amp;"'"&amp;"!A:A"),"承租人权益价值",INDIRECT("'"&amp;G2&amp;"'"&amp;"!c:c"))</f>
        <v>#REF!</v>
      </c>
      <c r="F2" s="2300" t="s">
        <v>1062</v>
      </c>
      <c r="G2" s="2301"/>
    </row>
    <row r="3" s="348" customFormat="1" ht="18" customHeight="1" spans="1:9">
      <c r="A3" s="363" t="s">
        <v>1063</v>
      </c>
      <c r="B3" s="364">
        <f ca="1">ROUND(B2*10000/(IF(B1="",'数据-汇总表'!E3,INDIRECT("'数据-取费表'!k"&amp;$G$1))),0)</f>
        <v>2685652</v>
      </c>
      <c r="C3" s="359" t="s">
        <v>1064</v>
      </c>
      <c r="D3" s="359"/>
      <c r="E3" s="359"/>
      <c r="F3" s="359"/>
      <c r="G3" s="359"/>
    </row>
    <row r="4" s="349" customFormat="1" ht="15.75" spans="1:9">
      <c r="A4" s="365" t="s">
        <v>1065</v>
      </c>
      <c r="B4" s="366"/>
      <c r="C4" s="366"/>
      <c r="D4" s="366"/>
      <c r="E4" s="366"/>
      <c r="F4" s="366"/>
      <c r="G4" s="367"/>
    </row>
    <row r="5" s="350" customFormat="1" ht="13.5" customHeight="1" spans="1:9">
      <c r="A5" s="368" t="s">
        <v>1066</v>
      </c>
      <c r="B5" s="369" t="s">
        <v>1067</v>
      </c>
      <c r="C5" s="370">
        <f ca="1">C6+C7+C8</f>
        <v>10148</v>
      </c>
      <c r="D5" s="370" t="s">
        <v>1068</v>
      </c>
      <c r="E5" s="371" t="s">
        <v>1069</v>
      </c>
      <c r="F5" s="371" t="s">
        <v>966</v>
      </c>
      <c r="G5" s="372"/>
    </row>
    <row r="6" s="350" customFormat="1" ht="13.5" customHeight="1" spans="1:9">
      <c r="A6" s="373" t="s">
        <v>1070</v>
      </c>
      <c r="B6" s="374" t="s">
        <v>1071</v>
      </c>
      <c r="C6" s="375"/>
      <c r="D6" s="376"/>
      <c r="E6" s="377"/>
      <c r="F6" s="377"/>
      <c r="G6" s="378"/>
    </row>
    <row r="7" s="350" customFormat="1" ht="13.5" customHeight="1" spans="1:9">
      <c r="A7" s="373" t="s">
        <v>1072</v>
      </c>
      <c r="B7" s="374" t="s">
        <v>1073</v>
      </c>
      <c r="C7" s="379">
        <f>ROUND(C6*F7,0)</f>
        <v>0</v>
      </c>
      <c r="D7" s="379"/>
      <c r="E7" s="377"/>
      <c r="F7" s="380">
        <f>IF(项目基本情况!B8="出让",0,'数据-取费表'!B48+'数据-取费表'!B49)</f>
        <v>0.0305</v>
      </c>
      <c r="G7" s="378"/>
    </row>
    <row r="8" s="351" customFormat="1" spans="1:9">
      <c r="A8" s="373" t="s">
        <v>1074</v>
      </c>
      <c r="B8" s="374" t="s">
        <v>1075</v>
      </c>
      <c r="C8" s="379">
        <f ca="1">IF(G8="已包含在土地购买价格中","0",IF(B1="",'数据-取费表'!B29,IF(G9="全部缴纳",C9+C10,H9)))</f>
        <v>10148</v>
      </c>
      <c r="D8" s="381"/>
      <c r="E8" s="379"/>
      <c r="F8" s="380"/>
      <c r="G8" s="2302"/>
    </row>
    <row r="9" s="350" customFormat="1" ht="13.5" customHeight="1" spans="1:9">
      <c r="A9" s="383" t="s">
        <v>1076</v>
      </c>
      <c r="B9" s="384" t="s">
        <v>1077</v>
      </c>
      <c r="C9" s="385">
        <f ca="1">ROUND(D9*E9/10000,0)</f>
        <v>0</v>
      </c>
      <c r="D9" s="386">
        <f ca="1">IF(B1="",'数据-汇总表'!E5,IF(INDIRECT("'数据-取费表'!c"&amp;$G$1)="住宅",INDIRECT("'数据-取费表'!k"&amp;$G$1),0))</f>
        <v>0</v>
      </c>
      <c r="E9" s="385">
        <f>'数据-取费表'!B27</f>
        <v>0</v>
      </c>
      <c r="F9" s="380"/>
      <c r="G9" s="2328"/>
      <c r="H9" s="2329"/>
      <c r="I9" s="2330" t="s">
        <v>1078</v>
      </c>
    </row>
    <row r="10" s="350" customFormat="1" ht="13.5" customHeight="1" spans="1:9">
      <c r="A10" s="383" t="s">
        <v>1079</v>
      </c>
      <c r="B10" s="384" t="s">
        <v>1080</v>
      </c>
      <c r="C10" s="385">
        <f ca="1">ROUND(D10*E10/10000,0)</f>
        <v>1</v>
      </c>
      <c r="D10" s="386">
        <f ca="1">IF(B1="",'数据-汇总表'!E6,IF(INDIRECT("'数据-取费表'!c"&amp;$G$1)="住宅",INDIRECT("'数据-取费表'!s"&amp;$G$1),INDIRECT("'数据-取费表'!k"&amp;$G$1)+INDIRECT("'数据-取费表'!s"&amp;$G$1)))</f>
        <v>50.74</v>
      </c>
      <c r="E10" s="385">
        <f>'数据-取费表'!B28</f>
        <v>200</v>
      </c>
      <c r="F10" s="380"/>
      <c r="G10" s="387"/>
    </row>
    <row r="11" s="350" customFormat="1" ht="13.5" hidden="1" customHeight="1" spans="1:9">
      <c r="A11" s="388" t="s">
        <v>1081</v>
      </c>
      <c r="B11" s="374" t="s">
        <v>1082</v>
      </c>
      <c r="C11" s="370"/>
      <c r="D11" s="377"/>
      <c r="E11" s="377"/>
      <c r="F11" s="377"/>
      <c r="G11" s="378"/>
    </row>
    <row r="12" s="350" customFormat="1" ht="13.5" hidden="1" customHeight="1" spans="1:9">
      <c r="A12" s="388" t="s">
        <v>1083</v>
      </c>
      <c r="B12" s="374" t="s">
        <v>1002</v>
      </c>
      <c r="C12" s="370">
        <v>0</v>
      </c>
      <c r="D12" s="377"/>
      <c r="E12" s="389"/>
      <c r="F12" s="380">
        <v>0.0305</v>
      </c>
      <c r="G12" s="378"/>
    </row>
    <row r="13" s="350" customFormat="1" ht="13.5" hidden="1" customHeight="1" spans="1:9">
      <c r="A13" s="388" t="s">
        <v>1084</v>
      </c>
      <c r="B13" s="374" t="s">
        <v>1085</v>
      </c>
      <c r="C13" s="370"/>
      <c r="D13" s="377"/>
      <c r="E13" s="377"/>
      <c r="F13" s="377"/>
      <c r="G13" s="378"/>
    </row>
    <row r="14" s="350" customFormat="1" ht="13.5" hidden="1" customHeight="1" spans="1:9">
      <c r="A14" s="388" t="s">
        <v>1086</v>
      </c>
      <c r="B14" s="374" t="s">
        <v>1075</v>
      </c>
      <c r="C14" s="370"/>
      <c r="D14" s="377"/>
      <c r="E14" s="377"/>
      <c r="F14" s="377"/>
      <c r="G14" s="378" t="s">
        <v>1087</v>
      </c>
    </row>
    <row r="15" s="350" customFormat="1" ht="13.5" hidden="1" customHeight="1" spans="1:9">
      <c r="A15" s="388" t="s">
        <v>1088</v>
      </c>
      <c r="B15" s="374" t="s">
        <v>1089</v>
      </c>
      <c r="C15" s="379"/>
      <c r="D15" s="377"/>
      <c r="E15" s="377"/>
      <c r="F15" s="377"/>
      <c r="G15" s="378" t="s">
        <v>1090</v>
      </c>
    </row>
    <row r="16" s="350" customFormat="1" ht="13.5" hidden="1" customHeight="1" spans="1:9">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f ca="1">IF(G19="已包含在土地取得成本中","0",ROUND(D19*E19/10000,0))</f>
        <v>1</v>
      </c>
      <c r="D19" s="371">
        <f ca="1">D9+D10</f>
        <v>50.74</v>
      </c>
      <c r="E19" s="370">
        <f>'数据-取费表'!B31</f>
        <v>200</v>
      </c>
      <c r="F19" s="392"/>
      <c r="G19" s="2302"/>
    </row>
    <row r="20" s="350" customFormat="1" ht="13.5" customHeight="1" spans="1:7">
      <c r="A20" s="368" t="s">
        <v>1099</v>
      </c>
      <c r="B20" s="369" t="s">
        <v>1100</v>
      </c>
      <c r="C20" s="393">
        <f ca="1">ROUND((C5+C19)*F20,0)</f>
        <v>203</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651</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2">
        <f ca="1">ROUND(IF('数据-取费表'!B22&lt;=1,C5*F22*'数据-取费表'!B23,C5*(POWER((1+F22),'数据-取费表'!B23)-1)),0)</f>
        <v>645</v>
      </c>
      <c r="D23" s="403"/>
      <c r="E23" s="403"/>
      <c r="F23" s="404"/>
      <c r="G23" s="405" t="s">
        <v>1109</v>
      </c>
    </row>
    <row r="24" s="350" customFormat="1" ht="13.5" customHeight="1" spans="1:7">
      <c r="A24" s="401" t="s">
        <v>1072</v>
      </c>
      <c r="B24" s="374" t="s">
        <v>1110</v>
      </c>
      <c r="C24" s="402">
        <f ca="1">ROUND(IF('数据-取费表'!B22&lt;=1,C19*F22*('数据-取费表'!B19/2+'数据-取费表'!B21),C19*(POWER((1+F22),('数据-取费表'!B19/2+'数据-取费表'!B21))-1)),0)</f>
        <v>0</v>
      </c>
      <c r="D24" s="403"/>
      <c r="E24" s="403"/>
      <c r="F24" s="404"/>
      <c r="G24" s="405" t="s">
        <v>1111</v>
      </c>
    </row>
    <row r="25" s="350" customFormat="1" ht="24" spans="1:7">
      <c r="A25" s="401" t="s">
        <v>1074</v>
      </c>
      <c r="B25" s="374" t="s">
        <v>1112</v>
      </c>
      <c r="C25" s="402">
        <f ca="1">ROUND(IF('数据-取费表'!B22&lt;=1,C20*F22*'数据-取费表'!B23/2,C20*(POWER((1+F22),'数据-取费表'!B23/2)-1)),0)</f>
        <v>6</v>
      </c>
      <c r="D25" s="403"/>
      <c r="E25" s="406"/>
      <c r="F25" s="404"/>
      <c r="G25" s="407" t="s">
        <v>1113</v>
      </c>
    </row>
    <row r="26" s="350" customFormat="1" spans="1:7">
      <c r="A26" s="401" t="s">
        <v>1114</v>
      </c>
      <c r="B26" s="374" t="s">
        <v>1115</v>
      </c>
      <c r="C26" s="403">
        <f ca="1">ROUND(IF('数据-取费表'!B22&lt;=1,F21*F22*'数据-取费表'!B23/2,F21*(POWER((1+F22),'数据-取费表'!B23/2)-1)),4)</f>
        <v>0.0006</v>
      </c>
      <c r="D26" s="403"/>
      <c r="E26" s="406"/>
      <c r="F26" s="404"/>
      <c r="G26" s="408"/>
    </row>
    <row r="27" s="350" customFormat="1" ht="24.75" spans="1:7">
      <c r="A27" s="368" t="s">
        <v>1116</v>
      </c>
      <c r="B27" s="409" t="s">
        <v>1117</v>
      </c>
      <c r="C27" s="410">
        <f ca="1">C28</f>
        <v>1553</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ROUND((C5+C19+C20)*F27*'数据-取费表'!B21/'数据-取费表'!B20,0)</f>
        <v>1553</v>
      </c>
      <c r="D28" s="396"/>
      <c r="E28" s="397"/>
      <c r="F28" s="411"/>
      <c r="G28" s="412"/>
    </row>
    <row r="29" s="350" customFormat="1" ht="13.5" customHeight="1" spans="1:7">
      <c r="A29" s="401" t="s">
        <v>1072</v>
      </c>
      <c r="B29" s="413" t="s">
        <v>1120</v>
      </c>
      <c r="C29" s="403">
        <f ca="1">ROUND(C21*F27*'数据-取费表'!B21/'数据-取费表'!B20,4)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13602</v>
      </c>
      <c r="D31" s="416"/>
      <c r="E31" s="370"/>
      <c r="F31" s="417"/>
      <c r="G31" s="398" t="s">
        <v>1125</v>
      </c>
    </row>
    <row r="32" s="349" customFormat="1" ht="15.75" spans="1:7">
      <c r="A32" s="418" t="s">
        <v>1126</v>
      </c>
      <c r="B32" s="419"/>
      <c r="C32" s="419"/>
      <c r="D32" s="419"/>
      <c r="E32" s="419"/>
      <c r="F32" s="419"/>
      <c r="G32" s="420"/>
    </row>
    <row r="33" s="350" customFormat="1" ht="13.5" customHeight="1" spans="1:7">
      <c r="A33" s="368" t="s">
        <v>1066</v>
      </c>
      <c r="B33" s="369" t="s">
        <v>1127</v>
      </c>
      <c r="C33" s="421">
        <f ca="1">SUM(C34:C38)</f>
        <v>25</v>
      </c>
      <c r="D33" s="393"/>
      <c r="E33" s="371"/>
      <c r="F33" s="406"/>
      <c r="G33" s="398"/>
    </row>
    <row r="34" s="352" customFormat="1" ht="13.5" customHeight="1" spans="1:7">
      <c r="A34" s="401" t="s">
        <v>1070</v>
      </c>
      <c r="B34" s="374" t="s">
        <v>1128</v>
      </c>
      <c r="C34" s="379">
        <f ca="1">IF(B1="",IF(F34=100%,'数据-取费表'!M16,'数据-取费表'!O16),IF(F34=100%,INDIRECT("'数据-取费表'!m"&amp;$G$1)+INDIRECT("'数据-取费表'!t"&amp;$G$1),INDIRECT("'数据-取费表'!o"&amp;$G$1)+INDIRECT("'数据-取费表'!aq"&amp;$G$1)))</f>
        <v>23</v>
      </c>
      <c r="D34" s="376"/>
      <c r="E34" s="379"/>
      <c r="F34" s="422">
        <f ca="1">IF('数据-取费表'!B24=0,1,IF(B1="",'数据-取费表'!N16,INDIRECT("'数据-取费表'!n"&amp;$G$1)))</f>
        <v>1</v>
      </c>
      <c r="G34" s="378" t="s">
        <v>1129</v>
      </c>
    </row>
    <row r="35" ht="13.5" customHeight="1" spans="1:7">
      <c r="A35" s="401" t="s">
        <v>1072</v>
      </c>
      <c r="B35" s="374" t="s">
        <v>1130</v>
      </c>
      <c r="C35" s="379">
        <f ca="1">ROUND(C34*F35,0)</f>
        <v>1</v>
      </c>
      <c r="D35" s="379"/>
      <c r="E35" s="379"/>
      <c r="F35" s="423">
        <f>'数据-取费表'!B33</f>
        <v>0.05</v>
      </c>
      <c r="G35" s="378" t="s">
        <v>1131</v>
      </c>
    </row>
    <row r="36" ht="24" spans="1:7">
      <c r="A36" s="401" t="s">
        <v>1074</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v>
      </c>
      <c r="D37" s="376">
        <f ca="1">D19</f>
        <v>50.74</v>
      </c>
      <c r="E37" s="414">
        <f>'数据-取费表'!B35</f>
        <v>200</v>
      </c>
      <c r="F37" s="423"/>
      <c r="G37" s="425" t="s">
        <v>1135</v>
      </c>
    </row>
    <row r="38" ht="13.5" customHeight="1" spans="1:7">
      <c r="A38" s="401" t="s">
        <v>1136</v>
      </c>
      <c r="B38" s="374" t="s">
        <v>1002</v>
      </c>
      <c r="C38" s="379">
        <f ca="1">ROUND(C34*F38,0)</f>
        <v>0</v>
      </c>
      <c r="D38" s="379"/>
      <c r="E38" s="379"/>
      <c r="F38" s="423">
        <f>'数据-取费表'!B36</f>
        <v>0.02</v>
      </c>
      <c r="G38" s="378" t="s">
        <v>1131</v>
      </c>
    </row>
    <row r="39" s="350" customFormat="1" ht="13.5" customHeight="1" spans="1:7">
      <c r="A39" s="368" t="s">
        <v>1097</v>
      </c>
      <c r="B39" s="369" t="s">
        <v>1100</v>
      </c>
      <c r="C39" s="393">
        <f ca="1">ROUND(C33*F20,0)</f>
        <v>1</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1</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ROUND(IF('数据-取费表'!B22&lt;=1,C33*F22*'数据-取费表'!B21/2,C33*(POWER((1+F22),'数据-取费表'!B21/2)-1)),0)</f>
        <v>1</v>
      </c>
      <c r="D42" s="403"/>
      <c r="E42" s="403"/>
      <c r="F42" s="404"/>
      <c r="G42" s="427" t="s">
        <v>1140</v>
      </c>
    </row>
    <row r="43" ht="13.5" customHeight="1" spans="1:7">
      <c r="A43" s="401" t="s">
        <v>1072</v>
      </c>
      <c r="B43" s="374" t="s">
        <v>1110</v>
      </c>
      <c r="C43" s="403">
        <f ca="1">ROUND(IF('数据-取费表'!B22&lt;=1,C39*F22*'数据-取费表'!B21/2,C39*(POWER((1+F22),'数据-取费表'!B21/2)-1)),0)</f>
        <v>0</v>
      </c>
      <c r="D43" s="403"/>
      <c r="E43" s="403"/>
      <c r="F43" s="404"/>
      <c r="G43" s="428"/>
    </row>
    <row r="44" ht="13.5" customHeight="1" spans="1:7">
      <c r="A44" s="401" t="s">
        <v>1074</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4</v>
      </c>
      <c r="D45" s="396">
        <f ca="1">C47</f>
        <v>0.003</v>
      </c>
      <c r="E45" s="397" t="s">
        <v>1138</v>
      </c>
      <c r="F45" s="411">
        <f ca="1">F27</f>
        <v>0.15</v>
      </c>
      <c r="G45" s="412" t="s">
        <v>1141</v>
      </c>
    </row>
    <row r="46" s="350" customFormat="1" ht="13.5" customHeight="1" spans="1:7">
      <c r="A46" s="401" t="s">
        <v>1070</v>
      </c>
      <c r="B46" s="413" t="s">
        <v>1142</v>
      </c>
      <c r="C46" s="414">
        <f ca="1">ROUND((C33+C39)*F27,0)</f>
        <v>4</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34</v>
      </c>
      <c r="D49" s="393"/>
      <c r="E49" s="393"/>
      <c r="F49" s="431"/>
      <c r="G49" s="398" t="s">
        <v>1146</v>
      </c>
    </row>
    <row r="50" s="352" customFormat="1" ht="24" spans="1:7">
      <c r="A50" s="368" t="s">
        <v>1147</v>
      </c>
      <c r="B50" s="369" t="s">
        <v>1148</v>
      </c>
      <c r="C50" s="393"/>
      <c r="D50" s="393"/>
      <c r="E50" s="393"/>
      <c r="F50" s="431">
        <f>IF('数据-取费表'!B24=0,'数据-取费表'!N16,1)</f>
        <v>0.74</v>
      </c>
      <c r="G50" s="412" t="s">
        <v>1149</v>
      </c>
    </row>
    <row r="51" ht="16.5" customHeight="1" spans="1:7">
      <c r="A51" s="368" t="s">
        <v>1150</v>
      </c>
      <c r="B51" s="369" t="s">
        <v>1151</v>
      </c>
      <c r="C51" s="393">
        <f ca="1">ROUND(C49*F50,0)</f>
        <v>25</v>
      </c>
      <c r="D51" s="393"/>
      <c r="E51" s="393"/>
      <c r="F51" s="431"/>
      <c r="G51" s="398" t="s">
        <v>1152</v>
      </c>
    </row>
    <row r="52" s="349" customFormat="1" ht="16.5" spans="1:7">
      <c r="A52" s="432" t="s">
        <v>1153</v>
      </c>
      <c r="B52" s="433"/>
      <c r="C52" s="434">
        <f ca="1">C31+C51</f>
        <v>13627</v>
      </c>
      <c r="D52" s="433"/>
      <c r="E52" s="433"/>
      <c r="F52" s="433"/>
      <c r="G52" s="435"/>
    </row>
    <row r="55" ht="15" spans="1:7">
      <c r="B55" s="436" t="s">
        <v>1154</v>
      </c>
      <c r="C55" s="437"/>
    </row>
    <row r="56" spans="1:7">
      <c r="B56" s="438" t="s">
        <v>1155</v>
      </c>
      <c r="C56" s="440">
        <f ca="1">1-C57</f>
        <v>0.998</v>
      </c>
    </row>
    <row r="57" spans="1:7">
      <c r="B57" s="438" t="s">
        <v>1156</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1158</v>
      </c>
      <c r="C1" s="1071" t="s">
        <v>1159</v>
      </c>
      <c r="D1" s="1072">
        <v>208</v>
      </c>
      <c r="E1" s="1073" t="s">
        <v>1160</v>
      </c>
      <c r="F1" s="1074" t="s">
        <v>1161</v>
      </c>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IF(C2="——",C50,ROUND(B2*10000/D3,0))</f>
        <v>#N/A</v>
      </c>
      <c r="C3" s="1086" t="s">
        <v>1163</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2303" t="s">
        <v>1170</v>
      </c>
      <c r="Q4" s="2304"/>
      <c r="R4" s="2305" t="s">
        <v>1166</v>
      </c>
      <c r="S4" s="2306"/>
      <c r="T4" s="2305" t="s">
        <v>1167</v>
      </c>
      <c r="U4" s="2306"/>
      <c r="V4" s="890" t="s">
        <v>1168</v>
      </c>
      <c r="W4" s="890"/>
      <c r="X4" s="2307"/>
      <c r="Y4" s="2305" t="s">
        <v>1170</v>
      </c>
      <c r="Z4" s="2306"/>
      <c r="AA4" s="2307" t="s">
        <v>1166</v>
      </c>
      <c r="AB4" s="2307" t="s">
        <v>1167</v>
      </c>
      <c r="AC4" s="2308" t="s">
        <v>1168</v>
      </c>
    </row>
    <row r="5" ht="15" spans="1:29">
      <c r="A5" s="711"/>
      <c r="B5" s="712"/>
      <c r="C5" s="713" t="s">
        <v>1171</v>
      </c>
      <c r="D5" s="714"/>
      <c r="E5" s="715" t="s">
        <v>1172</v>
      </c>
      <c r="F5" s="716"/>
      <c r="G5" s="713" t="s">
        <v>1173</v>
      </c>
      <c r="H5" s="714"/>
      <c r="I5" s="713" t="s">
        <v>1174</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1175</v>
      </c>
      <c r="D6" s="1035"/>
      <c r="E6" s="1036" t="s">
        <v>1175</v>
      </c>
      <c r="F6" s="1037"/>
      <c r="G6" s="1034" t="s">
        <v>1175</v>
      </c>
      <c r="H6" s="1035"/>
      <c r="I6" s="1034" t="s">
        <v>1175</v>
      </c>
      <c r="J6" s="1035"/>
      <c r="K6" s="701" t="s">
        <v>1176</v>
      </c>
      <c r="L6" s="702"/>
      <c r="M6" s="703"/>
      <c r="N6" s="703"/>
      <c r="O6" s="703"/>
      <c r="P6" s="2310"/>
      <c r="Q6" s="728"/>
      <c r="R6" s="719"/>
      <c r="S6" s="720"/>
      <c r="T6" s="729"/>
      <c r="U6" s="730"/>
      <c r="V6" s="708"/>
      <c r="W6" s="708"/>
      <c r="X6" s="709"/>
      <c r="Y6" s="729"/>
      <c r="Z6" s="730"/>
      <c r="AA6" s="731"/>
      <c r="AB6" s="731"/>
      <c r="AC6" s="2311"/>
    </row>
    <row r="7" s="668" customFormat="1" ht="15.75" spans="1:29">
      <c r="A7" s="732" t="s">
        <v>1177</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1178</v>
      </c>
      <c r="Q7" s="743"/>
      <c r="R7" s="744" t="s">
        <v>1179</v>
      </c>
      <c r="S7" s="745">
        <f t="shared" ref="S7:S15" si="0">F7</f>
        <v>100</v>
      </c>
      <c r="T7" s="744" t="s">
        <v>1179</v>
      </c>
      <c r="U7" s="745">
        <f t="shared" ref="U7:U15" si="1">H7</f>
        <v>100</v>
      </c>
      <c r="V7" s="744" t="s">
        <v>1179</v>
      </c>
      <c r="W7" s="745">
        <f t="shared" ref="W7:W15" si="2">J7</f>
        <v>100</v>
      </c>
      <c r="X7" s="746"/>
      <c r="Y7" s="742" t="s">
        <v>1178</v>
      </c>
      <c r="Z7" s="747"/>
      <c r="AA7" s="748">
        <f>D7/F7</f>
        <v>1</v>
      </c>
      <c r="AB7" s="748">
        <f>D7/H7</f>
        <v>1</v>
      </c>
      <c r="AC7" s="2313">
        <f>D7/J7</f>
        <v>1</v>
      </c>
    </row>
    <row r="8" s="668" customFormat="1" ht="15.75" spans="1:29">
      <c r="A8" s="732" t="s">
        <v>1180</v>
      </c>
      <c r="B8" s="733"/>
      <c r="C8" s="749" t="s">
        <v>1181</v>
      </c>
      <c r="D8" s="735">
        <v>100</v>
      </c>
      <c r="E8" s="749" t="s">
        <v>1182</v>
      </c>
      <c r="F8" s="737">
        <f>SUMIF(62:62,E8,63:63)-SUMIF(62:62,C8,63:63)+100</f>
        <v>102</v>
      </c>
      <c r="G8" s="749" t="s">
        <v>1182</v>
      </c>
      <c r="H8" s="735">
        <f>SUMIF(62:62,G8,63:63)-SUMIF(62:62,C8,63:63)+100</f>
        <v>102</v>
      </c>
      <c r="I8" s="749" t="s">
        <v>1182</v>
      </c>
      <c r="J8" s="735">
        <f>SUMIF(62:62,I8,63:63)-SUMIF(62:62,C8,63:63)+100</f>
        <v>102</v>
      </c>
      <c r="K8" s="739"/>
      <c r="L8" s="740"/>
      <c r="M8" s="741"/>
      <c r="N8" s="741"/>
      <c r="O8" s="741"/>
      <c r="P8" s="2312" t="s">
        <v>1183</v>
      </c>
      <c r="Q8" s="747"/>
      <c r="R8" s="744" t="s">
        <v>1179</v>
      </c>
      <c r="S8" s="745">
        <f t="shared" si="0"/>
        <v>102</v>
      </c>
      <c r="T8" s="744" t="s">
        <v>1179</v>
      </c>
      <c r="U8" s="745">
        <f t="shared" si="1"/>
        <v>102</v>
      </c>
      <c r="V8" s="744" t="s">
        <v>1179</v>
      </c>
      <c r="W8" s="745">
        <f t="shared" si="2"/>
        <v>102</v>
      </c>
      <c r="X8" s="746"/>
      <c r="Y8" s="742" t="s">
        <v>1183</v>
      </c>
      <c r="Z8" s="747"/>
      <c r="AA8" s="748">
        <f t="shared" ref="AA8:AA47" si="3">D8/F8</f>
        <v>0.980392156862745</v>
      </c>
      <c r="AB8" s="748">
        <f t="shared" ref="AB8:AB47" si="4">D8/H8</f>
        <v>0.980392156862745</v>
      </c>
      <c r="AC8" s="2313">
        <f t="shared" ref="AC8:AC47" si="5">D8/J8</f>
        <v>0.980392156862745</v>
      </c>
    </row>
    <row r="9" s="668" customFormat="1" spans="1:29">
      <c r="A9" s="750" t="s">
        <v>1184</v>
      </c>
      <c r="B9" s="751" t="s">
        <v>1185</v>
      </c>
      <c r="C9" s="2314" t="s">
        <v>1186</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1187</v>
      </c>
      <c r="Q9" s="756" t="str">
        <f t="shared" ref="Q9:Q15" si="6">B9</f>
        <v>用途</v>
      </c>
      <c r="R9" s="744" t="s">
        <v>1179</v>
      </c>
      <c r="S9" s="745">
        <f t="shared" si="0"/>
        <v>102</v>
      </c>
      <c r="T9" s="744" t="s">
        <v>1179</v>
      </c>
      <c r="U9" s="745">
        <f t="shared" si="1"/>
        <v>102</v>
      </c>
      <c r="V9" s="744" t="s">
        <v>1179</v>
      </c>
      <c r="W9" s="745">
        <f t="shared" si="2"/>
        <v>102</v>
      </c>
      <c r="X9" s="746"/>
      <c r="Y9" s="756" t="s">
        <v>1188</v>
      </c>
      <c r="Z9" s="748" t="str">
        <f t="shared" ref="Z9:Z15" si="7">Q9</f>
        <v>用途</v>
      </c>
      <c r="AA9" s="748">
        <f t="shared" si="3"/>
        <v>0.980392156862745</v>
      </c>
      <c r="AB9" s="748">
        <f t="shared" si="4"/>
        <v>0.980392156862745</v>
      </c>
      <c r="AC9" s="2313">
        <f t="shared" si="5"/>
        <v>0.980392156862745</v>
      </c>
    </row>
    <row r="10" s="669" customFormat="1" ht="27" spans="1:29">
      <c r="A10" s="757"/>
      <c r="B10" s="758" t="s">
        <v>1189</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2313">
        <f t="shared" si="5"/>
        <v>1</v>
      </c>
    </row>
    <row r="11" ht="15" spans="1:29">
      <c r="A11" s="765"/>
      <c r="B11" s="758" t="s">
        <v>1190</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2313">
        <f t="shared" si="5"/>
        <v>1</v>
      </c>
    </row>
    <row r="15" ht="68.25" spans="1:29">
      <c r="A15" s="783" t="s">
        <v>1191</v>
      </c>
      <c r="B15" s="784" t="s">
        <v>1192</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1193</v>
      </c>
      <c r="Q15" s="755" t="str">
        <f t="shared" si="6"/>
        <v>办公集聚程度</v>
      </c>
      <c r="R15" s="790" t="s">
        <v>1179</v>
      </c>
      <c r="S15" s="791">
        <f t="shared" si="0"/>
        <v>100</v>
      </c>
      <c r="T15" s="790" t="s">
        <v>1179</v>
      </c>
      <c r="U15" s="791">
        <f t="shared" si="1"/>
        <v>100</v>
      </c>
      <c r="V15" s="790" t="s">
        <v>1179</v>
      </c>
      <c r="W15" s="791">
        <f t="shared" si="2"/>
        <v>100</v>
      </c>
      <c r="X15" s="709"/>
      <c r="Y15" s="789" t="s">
        <v>1193</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1194</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1195</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1196</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1197</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1198</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1179</v>
      </c>
      <c r="S25" s="791">
        <f>F25</f>
        <v>100</v>
      </c>
      <c r="T25" s="790" t="s">
        <v>1179</v>
      </c>
      <c r="U25" s="791">
        <f>H25</f>
        <v>100</v>
      </c>
      <c r="V25" s="790" t="s">
        <v>1179</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1199</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1179</v>
      </c>
      <c r="S27" s="791">
        <f>F27</f>
        <v>100</v>
      </c>
      <c r="T27" s="790" t="s">
        <v>1179</v>
      </c>
      <c r="U27" s="791">
        <f>H27</f>
        <v>100</v>
      </c>
      <c r="V27" s="790" t="s">
        <v>1179</v>
      </c>
      <c r="W27" s="791">
        <f>J27</f>
        <v>100</v>
      </c>
      <c r="X27" s="709"/>
      <c r="Y27" s="797"/>
      <c r="Z27" s="708" t="str">
        <f>Q27</f>
        <v>楼层</v>
      </c>
      <c r="AA27" s="708">
        <f t="shared" si="3"/>
        <v>1</v>
      </c>
      <c r="AB27" s="708">
        <f t="shared" si="4"/>
        <v>1</v>
      </c>
      <c r="AC27" s="2317">
        <f t="shared" si="5"/>
        <v>1</v>
      </c>
    </row>
    <row r="28" s="668" customFormat="1" ht="15" spans="1:29">
      <c r="A28" s="771"/>
      <c r="B28" s="798" t="s">
        <v>1200</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1179</v>
      </c>
      <c r="S28" s="745">
        <f>F28</f>
        <v>100</v>
      </c>
      <c r="T28" s="744" t="s">
        <v>1179</v>
      </c>
      <c r="U28" s="745">
        <f>H28</f>
        <v>100</v>
      </c>
      <c r="V28" s="744" t="s">
        <v>1179</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1179</v>
      </c>
      <c r="S29" s="791">
        <f t="shared" ref="S29:S47" si="12">F29</f>
        <v>100</v>
      </c>
      <c r="T29" s="790" t="s">
        <v>1179</v>
      </c>
      <c r="U29" s="791">
        <f t="shared" ref="U29:U47" si="13">H29</f>
        <v>100</v>
      </c>
      <c r="V29" s="790" t="s">
        <v>1179</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1179</v>
      </c>
      <c r="S32" s="791">
        <f t="shared" si="12"/>
        <v>100</v>
      </c>
      <c r="T32" s="790" t="s">
        <v>1179</v>
      </c>
      <c r="U32" s="791">
        <f t="shared" si="13"/>
        <v>100</v>
      </c>
      <c r="V32" s="790" t="s">
        <v>1179</v>
      </c>
      <c r="W32" s="791">
        <f t="shared" si="14"/>
        <v>100</v>
      </c>
      <c r="X32" s="709"/>
      <c r="Y32" s="797"/>
      <c r="Z32" s="708">
        <f t="shared" si="15"/>
        <v>111</v>
      </c>
      <c r="AA32" s="708">
        <f t="shared" si="3"/>
        <v>1</v>
      </c>
      <c r="AB32" s="708">
        <f t="shared" si="4"/>
        <v>1</v>
      </c>
      <c r="AC32" s="2317">
        <f t="shared" si="5"/>
        <v>1</v>
      </c>
    </row>
    <row r="33" ht="15" spans="1:29">
      <c r="A33" s="783" t="s">
        <v>1201</v>
      </c>
      <c r="B33" s="751" t="s">
        <v>1202</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1203</v>
      </c>
      <c r="Q33" s="755" t="str">
        <f t="shared" si="11"/>
        <v>建筑类型</v>
      </c>
      <c r="R33" s="790" t="s">
        <v>1179</v>
      </c>
      <c r="S33" s="791">
        <f t="shared" si="12"/>
        <v>100</v>
      </c>
      <c r="T33" s="790" t="s">
        <v>1179</v>
      </c>
      <c r="U33" s="791">
        <f t="shared" si="13"/>
        <v>100</v>
      </c>
      <c r="V33" s="790" t="s">
        <v>1179</v>
      </c>
      <c r="W33" s="791">
        <f t="shared" si="14"/>
        <v>100</v>
      </c>
      <c r="X33" s="709"/>
      <c r="Y33" s="822" t="s">
        <v>1203</v>
      </c>
      <c r="Z33" s="708" t="str">
        <f t="shared" si="15"/>
        <v>建筑类型</v>
      </c>
      <c r="AA33" s="708">
        <f t="shared" si="3"/>
        <v>1</v>
      </c>
      <c r="AB33" s="708">
        <f t="shared" si="4"/>
        <v>1</v>
      </c>
      <c r="AC33" s="2317">
        <f t="shared" si="5"/>
        <v>1</v>
      </c>
    </row>
    <row r="34" s="670" customFormat="1" ht="15" spans="1:29">
      <c r="A34" s="842"/>
      <c r="B34" s="758" t="s">
        <v>1204</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1179</v>
      </c>
      <c r="S34" s="831" t="e">
        <f t="shared" si="12"/>
        <v>#N/A</v>
      </c>
      <c r="T34" s="830" t="s">
        <v>1179</v>
      </c>
      <c r="U34" s="831" t="e">
        <f t="shared" si="13"/>
        <v>#N/A</v>
      </c>
      <c r="V34" s="830" t="s">
        <v>1179</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1205</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1179</v>
      </c>
      <c r="S35" s="791">
        <f t="shared" si="12"/>
        <v>100</v>
      </c>
      <c r="T35" s="790" t="s">
        <v>1179</v>
      </c>
      <c r="U35" s="791">
        <f t="shared" si="13"/>
        <v>100</v>
      </c>
      <c r="V35" s="790" t="s">
        <v>1179</v>
      </c>
      <c r="W35" s="791">
        <f t="shared" si="14"/>
        <v>100</v>
      </c>
      <c r="X35" s="709"/>
      <c r="Y35" s="822"/>
      <c r="Z35" s="708" t="str">
        <f t="shared" si="15"/>
        <v>建筑结构</v>
      </c>
      <c r="AA35" s="708">
        <f t="shared" si="3"/>
        <v>1</v>
      </c>
      <c r="AB35" s="708">
        <f t="shared" si="4"/>
        <v>1</v>
      </c>
      <c r="AC35" s="2317">
        <f t="shared" si="5"/>
        <v>1</v>
      </c>
    </row>
    <row r="36" ht="15" spans="1:29">
      <c r="A36" s="837"/>
      <c r="B36" s="758" t="s">
        <v>1206</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1179</v>
      </c>
      <c r="S37" s="791" t="e">
        <f t="shared" si="12"/>
        <v>#N/A</v>
      </c>
      <c r="T37" s="790" t="s">
        <v>1179</v>
      </c>
      <c r="U37" s="791" t="e">
        <f t="shared" si="13"/>
        <v>#N/A</v>
      </c>
      <c r="V37" s="790" t="s">
        <v>1179</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1207</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1179</v>
      </c>
      <c r="S38" s="745">
        <f t="shared" si="12"/>
        <v>100</v>
      </c>
      <c r="T38" s="744" t="s">
        <v>1179</v>
      </c>
      <c r="U38" s="745">
        <f t="shared" si="13"/>
        <v>100</v>
      </c>
      <c r="V38" s="744" t="s">
        <v>1179</v>
      </c>
      <c r="W38" s="745">
        <f t="shared" si="14"/>
        <v>100</v>
      </c>
      <c r="X38" s="746"/>
      <c r="Y38" s="822"/>
      <c r="Z38" s="748" t="str">
        <f t="shared" si="15"/>
        <v>写字楼等级</v>
      </c>
      <c r="AA38" s="748">
        <f t="shared" si="3"/>
        <v>1</v>
      </c>
      <c r="AB38" s="748">
        <f t="shared" si="4"/>
        <v>1</v>
      </c>
      <c r="AC38" s="2313">
        <f t="shared" si="5"/>
        <v>1</v>
      </c>
    </row>
    <row r="39" ht="15" spans="1:29">
      <c r="A39" s="837"/>
      <c r="B39" s="758" t="s">
        <v>1208</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1203</v>
      </c>
      <c r="Q39" s="755" t="str">
        <f t="shared" si="11"/>
        <v>物业管理</v>
      </c>
      <c r="R39" s="790" t="s">
        <v>1179</v>
      </c>
      <c r="S39" s="791">
        <f t="shared" si="12"/>
        <v>100</v>
      </c>
      <c r="T39" s="790" t="s">
        <v>1179</v>
      </c>
      <c r="U39" s="791">
        <f t="shared" si="13"/>
        <v>100</v>
      </c>
      <c r="V39" s="790" t="s">
        <v>1179</v>
      </c>
      <c r="W39" s="791">
        <f t="shared" si="14"/>
        <v>100</v>
      </c>
      <c r="X39" s="709"/>
      <c r="Y39" s="822" t="s">
        <v>1203</v>
      </c>
      <c r="Z39" s="708" t="str">
        <f t="shared" si="15"/>
        <v>物业管理</v>
      </c>
      <c r="AA39" s="708">
        <f t="shared" si="3"/>
        <v>1</v>
      </c>
      <c r="AB39" s="708">
        <f t="shared" si="4"/>
        <v>1</v>
      </c>
      <c r="AC39" s="2317">
        <f t="shared" si="5"/>
        <v>1</v>
      </c>
    </row>
    <row r="40" ht="15" spans="1:29">
      <c r="A40" s="837"/>
      <c r="B40" s="758" t="s">
        <v>1209</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1179</v>
      </c>
      <c r="S40" s="791">
        <f t="shared" si="12"/>
        <v>100</v>
      </c>
      <c r="T40" s="790" t="s">
        <v>1179</v>
      </c>
      <c r="U40" s="791">
        <f t="shared" si="13"/>
        <v>100</v>
      </c>
      <c r="V40" s="790" t="s">
        <v>1179</v>
      </c>
      <c r="W40" s="791">
        <f t="shared" si="14"/>
        <v>100</v>
      </c>
      <c r="X40" s="709"/>
      <c r="Y40" s="822"/>
      <c r="Z40" s="708" t="str">
        <f t="shared" si="15"/>
        <v>市政基础设施</v>
      </c>
      <c r="AA40" s="708">
        <f t="shared" si="3"/>
        <v>1</v>
      </c>
      <c r="AB40" s="708">
        <f t="shared" si="4"/>
        <v>1</v>
      </c>
      <c r="AC40" s="2317">
        <f t="shared" si="5"/>
        <v>1</v>
      </c>
    </row>
    <row r="41" ht="15" spans="1:29">
      <c r="A41" s="837"/>
      <c r="B41" s="758" t="s">
        <v>1210</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1179</v>
      </c>
      <c r="S41" s="791">
        <f t="shared" si="12"/>
        <v>100</v>
      </c>
      <c r="T41" s="790" t="s">
        <v>1179</v>
      </c>
      <c r="U41" s="791">
        <f t="shared" si="13"/>
        <v>100</v>
      </c>
      <c r="V41" s="790" t="s">
        <v>1179</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1211</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1179</v>
      </c>
      <c r="S42" s="831">
        <f t="shared" si="12"/>
        <v>100</v>
      </c>
      <c r="T42" s="830" t="s">
        <v>1179</v>
      </c>
      <c r="U42" s="831">
        <f t="shared" si="13"/>
        <v>100</v>
      </c>
      <c r="V42" s="830" t="s">
        <v>1179</v>
      </c>
      <c r="W42" s="831">
        <f t="shared" si="14"/>
        <v>100</v>
      </c>
      <c r="X42" s="832"/>
      <c r="Y42" s="822"/>
      <c r="Z42" s="833" t="str">
        <f t="shared" si="15"/>
        <v>单套建筑面积</v>
      </c>
      <c r="AA42" s="708">
        <f t="shared" si="3"/>
        <v>1</v>
      </c>
      <c r="AB42" s="708">
        <f t="shared" si="4"/>
        <v>1</v>
      </c>
      <c r="AC42" s="2317">
        <f t="shared" si="5"/>
        <v>1</v>
      </c>
    </row>
    <row r="43" ht="15" spans="1:29">
      <c r="A43" s="837"/>
      <c r="B43" s="758" t="s">
        <v>1212</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1179</v>
      </c>
      <c r="S43" s="791">
        <f t="shared" si="12"/>
        <v>100</v>
      </c>
      <c r="T43" s="790" t="s">
        <v>1179</v>
      </c>
      <c r="U43" s="791">
        <f t="shared" si="13"/>
        <v>100</v>
      </c>
      <c r="V43" s="790" t="s">
        <v>1179</v>
      </c>
      <c r="W43" s="791">
        <f t="shared" si="14"/>
        <v>100</v>
      </c>
      <c r="X43" s="709"/>
      <c r="Y43" s="822"/>
      <c r="Z43" s="708" t="str">
        <f t="shared" si="15"/>
        <v>内部装修</v>
      </c>
      <c r="AA43" s="708">
        <f t="shared" si="3"/>
        <v>1</v>
      </c>
      <c r="AB43" s="708">
        <f t="shared" si="4"/>
        <v>1</v>
      </c>
      <c r="AC43" s="2317">
        <f t="shared" si="5"/>
        <v>1</v>
      </c>
    </row>
    <row r="44" ht="15" spans="1:29">
      <c r="A44" s="837"/>
      <c r="B44" s="758" t="s">
        <v>1213</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1179</v>
      </c>
      <c r="S44" s="791">
        <f t="shared" si="12"/>
        <v>100</v>
      </c>
      <c r="T44" s="790" t="s">
        <v>1179</v>
      </c>
      <c r="U44" s="791">
        <f t="shared" si="13"/>
        <v>100</v>
      </c>
      <c r="V44" s="790" t="s">
        <v>1179</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1179</v>
      </c>
      <c r="S45" s="745">
        <f t="shared" si="12"/>
        <v>100</v>
      </c>
      <c r="T45" s="744" t="s">
        <v>1179</v>
      </c>
      <c r="U45" s="745">
        <f t="shared" si="13"/>
        <v>100</v>
      </c>
      <c r="V45" s="744" t="s">
        <v>1179</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1179</v>
      </c>
      <c r="S46" s="791">
        <f t="shared" si="12"/>
        <v>100</v>
      </c>
      <c r="T46" s="790" t="s">
        <v>1179</v>
      </c>
      <c r="U46" s="791">
        <f t="shared" si="13"/>
        <v>100</v>
      </c>
      <c r="V46" s="790" t="s">
        <v>1179</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1179</v>
      </c>
      <c r="S47" s="791">
        <f t="shared" si="12"/>
        <v>100</v>
      </c>
      <c r="T47" s="790" t="s">
        <v>1179</v>
      </c>
      <c r="U47" s="791">
        <f t="shared" si="13"/>
        <v>100</v>
      </c>
      <c r="V47" s="790" t="s">
        <v>1179</v>
      </c>
      <c r="W47" s="791">
        <f t="shared" si="14"/>
        <v>100</v>
      </c>
      <c r="X47" s="709"/>
      <c r="Y47" s="1202"/>
      <c r="Z47" s="708">
        <f t="shared" si="15"/>
        <v>111</v>
      </c>
      <c r="AA47" s="708">
        <f t="shared" si="3"/>
        <v>1</v>
      </c>
      <c r="AB47" s="708">
        <f t="shared" si="4"/>
        <v>1</v>
      </c>
      <c r="AC47" s="2317">
        <f t="shared" si="5"/>
        <v>1</v>
      </c>
    </row>
    <row r="48" ht="15" spans="1:29">
      <c r="A48" s="845" t="s">
        <v>1214</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1215</v>
      </c>
      <c r="B49" s="1110"/>
      <c r="C49" s="1111" t="e">
        <f>R50</f>
        <v>#N/A</v>
      </c>
      <c r="D49" s="860" t="s">
        <v>1216</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1217</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1218</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1219</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1220</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1221</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1177</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1222</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1180</v>
      </c>
      <c r="B62" s="948"/>
      <c r="C62" s="949" t="s">
        <v>1223</v>
      </c>
      <c r="D62" s="2323" t="s">
        <v>1182</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1224</v>
      </c>
      <c r="B64" s="957" t="s">
        <v>1185</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1189</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1190</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1191</v>
      </c>
      <c r="B77" s="957" t="s">
        <v>1192</v>
      </c>
      <c r="C77" s="1000" t="s">
        <v>1225</v>
      </c>
      <c r="D77" s="1000" t="s">
        <v>1226</v>
      </c>
      <c r="E77" s="1000" t="s">
        <v>1227</v>
      </c>
      <c r="F77" s="1000" t="s">
        <v>1228</v>
      </c>
      <c r="G77" s="1000" t="s">
        <v>1229</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1194</v>
      </c>
      <c r="C79" s="1005" t="s">
        <v>1225</v>
      </c>
      <c r="D79" s="1005" t="s">
        <v>1226</v>
      </c>
      <c r="E79" s="1005" t="s">
        <v>1227</v>
      </c>
      <c r="F79" s="1005" t="s">
        <v>1228</v>
      </c>
      <c r="G79" s="1005" t="s">
        <v>1229</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1195</v>
      </c>
      <c r="C81" s="1005" t="s">
        <v>1225</v>
      </c>
      <c r="D81" s="1005" t="s">
        <v>1226</v>
      </c>
      <c r="E81" s="1005" t="s">
        <v>1227</v>
      </c>
      <c r="F81" s="1005" t="s">
        <v>1228</v>
      </c>
      <c r="G81" s="1005" t="s">
        <v>1229</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1196</v>
      </c>
      <c r="C83" s="797" t="s">
        <v>1230</v>
      </c>
      <c r="D83" s="797" t="s">
        <v>1231</v>
      </c>
      <c r="E83" s="797" t="s">
        <v>1232</v>
      </c>
      <c r="F83" s="797" t="s">
        <v>1233</v>
      </c>
      <c r="G83" s="797" t="s">
        <v>1234</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1197</v>
      </c>
      <c r="C85" s="1005" t="s">
        <v>1225</v>
      </c>
      <c r="D85" s="1005" t="s">
        <v>1226</v>
      </c>
      <c r="E85" s="1005" t="s">
        <v>1227</v>
      </c>
      <c r="F85" s="1005" t="s">
        <v>1228</v>
      </c>
      <c r="G85" s="1005" t="s">
        <v>1229</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1198</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1201</v>
      </c>
      <c r="B101" s="957" t="s">
        <v>1202</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1204</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1205</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1206</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1207</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1208</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1209</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1235</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1236</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1212</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1213</v>
      </c>
      <c r="C125" s="1005" t="s">
        <v>1225</v>
      </c>
      <c r="D125" s="1005" t="s">
        <v>1226</v>
      </c>
      <c r="E125" s="1005" t="s">
        <v>1227</v>
      </c>
      <c r="F125" s="1005" t="s">
        <v>1228</v>
      </c>
      <c r="G125" s="1005" t="s">
        <v>1229</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67" sqref="F67"/>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1060</v>
      </c>
      <c r="B1" s="2294">
        <v>217</v>
      </c>
      <c r="C1" s="2295" t="s">
        <v>1237</v>
      </c>
      <c r="D1" s="358"/>
      <c r="E1" s="358"/>
      <c r="F1" s="358"/>
      <c r="G1" s="2296">
        <f>MATCH(B1,'数据-取费表'!A6:A16,0)+5</f>
        <v>6</v>
      </c>
      <c r="H1" s="1261" t="str">
        <f>IF(ISERROR(FIND("住宅",B1)),"非住宅","住宅")</f>
        <v>非住宅</v>
      </c>
    </row>
    <row r="2" s="348" customFormat="1" ht="18" customHeight="1" spans="1:8">
      <c r="A2" s="360" t="s">
        <v>1061</v>
      </c>
      <c r="B2" s="2297">
        <f ca="1">ROUND(IF(D2="——",C52/10000,C52/10000-E2),4)</f>
        <v>141.017</v>
      </c>
      <c r="C2" s="359" t="s">
        <v>1062</v>
      </c>
      <c r="D2" s="2298" t="s">
        <v>124</v>
      </c>
      <c r="E2" s="2299" t="e">
        <f ca="1">SUMIF(INDIRECT("'"&amp;G2&amp;"'"&amp;"!A:A"),"承租人权益价值",INDIRECT("'"&amp;G2&amp;"'"&amp;"!c:c"))</f>
        <v>#REF!</v>
      </c>
      <c r="F2" s="2300" t="s">
        <v>1062</v>
      </c>
      <c r="G2" s="2301"/>
    </row>
    <row r="3" s="348" customFormat="1" ht="18" customHeight="1" spans="1:8">
      <c r="A3" s="363" t="s">
        <v>1063</v>
      </c>
      <c r="B3" s="364">
        <f ca="1">ROUND(B2*10000/(IF(B1="",'数据-汇总表'!E3,INDIRECT("'数据-取费表'!k"&amp;$G$1))),0)</f>
        <v>27792</v>
      </c>
      <c r="C3" s="359" t="s">
        <v>1064</v>
      </c>
      <c r="D3" s="359"/>
      <c r="E3" s="359"/>
      <c r="F3" s="359"/>
      <c r="G3" s="359"/>
    </row>
    <row r="4" s="349" customFormat="1" ht="15.75" spans="1:8">
      <c r="A4" s="365" t="s">
        <v>1065</v>
      </c>
      <c r="B4" s="366"/>
      <c r="C4" s="366"/>
      <c r="D4" s="366"/>
      <c r="E4" s="366"/>
      <c r="F4" s="366"/>
      <c r="G4" s="367"/>
    </row>
    <row r="5" s="350" customFormat="1" ht="13.5" customHeight="1" spans="1:8">
      <c r="A5" s="368" t="s">
        <v>1066</v>
      </c>
      <c r="B5" s="369" t="s">
        <v>1067</v>
      </c>
      <c r="C5" s="370">
        <f ca="1">C6+C7+C8</f>
        <v>868762.54</v>
      </c>
      <c r="D5" s="370" t="s">
        <v>1068</v>
      </c>
      <c r="E5" s="371" t="s">
        <v>1069</v>
      </c>
      <c r="F5" s="371" t="s">
        <v>966</v>
      </c>
      <c r="G5" s="372"/>
    </row>
    <row r="6" s="350" customFormat="1" ht="13.5" customHeight="1" spans="1:8">
      <c r="A6" s="373" t="s">
        <v>1070</v>
      </c>
      <c r="B6" s="374" t="s">
        <v>1071</v>
      </c>
      <c r="C6" s="375">
        <f>基准地价修正!C33*基准地价修正!D33</f>
        <v>833201.54</v>
      </c>
      <c r="D6" s="376"/>
      <c r="E6" s="377"/>
      <c r="F6" s="377"/>
      <c r="G6" s="378"/>
    </row>
    <row r="7" s="350" customFormat="1" ht="13.5" customHeight="1" spans="1:8">
      <c r="A7" s="373" t="s">
        <v>1072</v>
      </c>
      <c r="B7" s="374" t="s">
        <v>1073</v>
      </c>
      <c r="C7" s="379">
        <f>ROUND(C6*F7,0)</f>
        <v>25413</v>
      </c>
      <c r="D7" s="379"/>
      <c r="E7" s="377"/>
      <c r="F7" s="380">
        <f>IF(项目基本情况!B8="出让",0,'数据-取费表'!B48+'数据-取费表'!B49)</f>
        <v>0.0305</v>
      </c>
      <c r="G7" s="378"/>
    </row>
    <row r="8" s="351" customFormat="1" spans="1:8">
      <c r="A8" s="373" t="s">
        <v>1074</v>
      </c>
      <c r="B8" s="374" t="s">
        <v>1075</v>
      </c>
      <c r="C8" s="379">
        <f ca="1">IF(G8="已包含在土地购买价格中",0,C9+C10)</f>
        <v>10148</v>
      </c>
      <c r="D8" s="381"/>
      <c r="E8" s="379"/>
      <c r="F8" s="380"/>
      <c r="G8" s="2302" t="s">
        <v>1238</v>
      </c>
    </row>
    <row r="9" s="350" customFormat="1" ht="13.5" customHeight="1" spans="1:8">
      <c r="A9" s="383" t="s">
        <v>1076</v>
      </c>
      <c r="B9" s="384" t="s">
        <v>1077</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1079</v>
      </c>
      <c r="B10" s="384" t="s">
        <v>1080</v>
      </c>
      <c r="C10" s="385">
        <f ca="1">ROUND(D10*E10,0)</f>
        <v>10148</v>
      </c>
      <c r="D10" s="386">
        <f ca="1">IF(B1="",'数据-汇总表'!E6,IF(INDIRECT("'数据-取费表'!c"&amp;$G$1)="住宅",INDIRECT("'数据-取费表'!s"&amp;$G$1),INDIRECT("'数据-取费表'!k"&amp;$G$1)+INDIRECT("'数据-取费表'!s"&amp;$G$1)))</f>
        <v>50.74</v>
      </c>
      <c r="E10" s="385">
        <f>'数据-取费表'!B28</f>
        <v>200</v>
      </c>
      <c r="F10" s="380"/>
      <c r="G10" s="387"/>
    </row>
    <row r="11" s="350" customFormat="1" ht="13.5" hidden="1" customHeight="1" spans="1:8">
      <c r="A11" s="388" t="s">
        <v>1081</v>
      </c>
      <c r="B11" s="374" t="s">
        <v>1082</v>
      </c>
      <c r="C11" s="370"/>
      <c r="D11" s="377"/>
      <c r="E11" s="377"/>
      <c r="F11" s="377"/>
      <c r="G11" s="378"/>
    </row>
    <row r="12" s="350" customFormat="1" ht="13.5" hidden="1" customHeight="1" spans="1:8">
      <c r="A12" s="388" t="s">
        <v>1083</v>
      </c>
      <c r="B12" s="374" t="s">
        <v>1002</v>
      </c>
      <c r="C12" s="370">
        <v>0</v>
      </c>
      <c r="D12" s="377"/>
      <c r="E12" s="389"/>
      <c r="F12" s="380">
        <v>0.0305</v>
      </c>
      <c r="G12" s="378"/>
    </row>
    <row r="13" s="350" customFormat="1" ht="13.5" hidden="1" customHeight="1" spans="1:8">
      <c r="A13" s="388" t="s">
        <v>1084</v>
      </c>
      <c r="B13" s="374" t="s">
        <v>1085</v>
      </c>
      <c r="C13" s="370"/>
      <c r="D13" s="377"/>
      <c r="E13" s="377"/>
      <c r="F13" s="377"/>
      <c r="G13" s="378"/>
    </row>
    <row r="14" s="350" customFormat="1" ht="13.5" hidden="1" customHeight="1" spans="1:8">
      <c r="A14" s="388" t="s">
        <v>1086</v>
      </c>
      <c r="B14" s="374" t="s">
        <v>1075</v>
      </c>
      <c r="C14" s="370"/>
      <c r="D14" s="377"/>
      <c r="E14" s="377"/>
      <c r="F14" s="377"/>
      <c r="G14" s="378" t="s">
        <v>1087</v>
      </c>
    </row>
    <row r="15" s="350" customFormat="1" ht="13.5" hidden="1" customHeight="1" spans="1:8">
      <c r="A15" s="388" t="s">
        <v>1088</v>
      </c>
      <c r="B15" s="374" t="s">
        <v>1089</v>
      </c>
      <c r="C15" s="379"/>
      <c r="D15" s="377"/>
      <c r="E15" s="377"/>
      <c r="F15" s="377"/>
      <c r="G15" s="378" t="s">
        <v>1090</v>
      </c>
    </row>
    <row r="16" s="350" customFormat="1" ht="13.5" hidden="1" customHeight="1" spans="1:8">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t="str">
        <f ca="1">IF(G19="已包含在土地取得成本中","0",ROUND(D19*E19,0))</f>
        <v>0</v>
      </c>
      <c r="D19" s="371">
        <f ca="1">D9+D10</f>
        <v>50.74</v>
      </c>
      <c r="E19" s="370">
        <f>'数据-取费表'!B31</f>
        <v>200</v>
      </c>
      <c r="F19" s="392"/>
      <c r="G19" s="2302" t="s">
        <v>1239</v>
      </c>
    </row>
    <row r="20" s="350" customFormat="1" ht="13.5" customHeight="1" spans="1:7">
      <c r="A20" s="368" t="s">
        <v>1099</v>
      </c>
      <c r="B20" s="369" t="s">
        <v>1100</v>
      </c>
      <c r="C20" s="393">
        <f ca="1">ROUND((C5+C19)*F20,0)</f>
        <v>17375</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55780</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3">
        <f ca="1">ROUND(IF('数据-取费表'!B22&lt;=1,C5*F22*'数据-取费表'!B22,C5*(POWER((1+F22),'数据-取费表'!B22)-1)),0)</f>
        <v>55236</v>
      </c>
      <c r="D23" s="403"/>
      <c r="E23" s="403"/>
      <c r="F23" s="404"/>
      <c r="G23" s="405" t="s">
        <v>1109</v>
      </c>
    </row>
    <row r="24" s="350" customFormat="1" ht="13.5" customHeight="1" spans="1:7">
      <c r="A24" s="401" t="s">
        <v>1072</v>
      </c>
      <c r="B24" s="374" t="s">
        <v>1110</v>
      </c>
      <c r="C24" s="403">
        <f ca="1">ROUND(IF('数据-取费表'!B22&lt;=1,C19*F22*('数据-取费表'!B19/2+'数据-取费表'!B20),C19*(POWER((1+F22),('数据-取费表'!B19/2+'数据-取费表'!B20))-1)),0)</f>
        <v>0</v>
      </c>
      <c r="D24" s="403"/>
      <c r="E24" s="403"/>
      <c r="F24" s="404"/>
      <c r="G24" s="405" t="s">
        <v>1111</v>
      </c>
    </row>
    <row r="25" s="350" customFormat="1" ht="24" spans="1:7">
      <c r="A25" s="401" t="s">
        <v>1074</v>
      </c>
      <c r="B25" s="374" t="s">
        <v>1112</v>
      </c>
      <c r="C25" s="403">
        <f ca="1">ROUND(IF('数据-取费表'!B22&lt;=1,C20*F22*'数据-取费表'!B22/2,C20*(POWER((1+F22),'数据-取费表'!B22/2)-1)),0)</f>
        <v>544</v>
      </c>
      <c r="D25" s="403"/>
      <c r="E25" s="406"/>
      <c r="F25" s="404"/>
      <c r="G25" s="407" t="s">
        <v>1113</v>
      </c>
    </row>
    <row r="26" s="350" customFormat="1" spans="1:7">
      <c r="A26" s="401" t="s">
        <v>1114</v>
      </c>
      <c r="B26" s="374" t="s">
        <v>1115</v>
      </c>
      <c r="C26" s="403">
        <f ca="1">ROUND(IF('数据-取费表'!B22&lt;=1,F21*F22*'数据-取费表'!B22/2,F21*(POWER((1+F22),'数据-取费表'!B22/2)-1)),4)</f>
        <v>0.0006</v>
      </c>
      <c r="D26" s="403"/>
      <c r="E26" s="406"/>
      <c r="F26" s="404"/>
      <c r="G26" s="408"/>
    </row>
    <row r="27" s="350" customFormat="1" ht="24.75" spans="1:7">
      <c r="A27" s="368" t="s">
        <v>1116</v>
      </c>
      <c r="B27" s="409" t="s">
        <v>1117</v>
      </c>
      <c r="C27" s="410">
        <f ca="1">C28</f>
        <v>132921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ROUND((C5+C19+C20)*F27,0)</f>
        <v>132921</v>
      </c>
      <c r="D28" s="396"/>
      <c r="E28" s="397"/>
      <c r="F28" s="411"/>
      <c r="G28" s="412"/>
    </row>
    <row r="29" s="350" customFormat="1" ht="13.5" customHeight="1" spans="1:7">
      <c r="A29" s="401" t="s">
        <v>1072</v>
      </c>
      <c r="B29" s="413" t="s">
        <v>1120</v>
      </c>
      <c r="C29" s="403">
        <f ca="1">ROUND(C21*F27,4)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1164379</v>
      </c>
      <c r="D31" s="416"/>
      <c r="E31" s="370"/>
      <c r="F31" s="417"/>
      <c r="G31" s="398" t="s">
        <v>1125</v>
      </c>
    </row>
    <row r="32" s="349" customFormat="1" ht="15.75" spans="1:7">
      <c r="A32" s="418" t="s">
        <v>1240</v>
      </c>
      <c r="B32" s="419"/>
      <c r="C32" s="419"/>
      <c r="D32" s="419"/>
      <c r="E32" s="419"/>
      <c r="F32" s="419"/>
      <c r="G32" s="420"/>
    </row>
    <row r="33" s="350" customFormat="1" ht="13.5" customHeight="1" spans="1:7">
      <c r="A33" s="368" t="s">
        <v>1066</v>
      </c>
      <c r="B33" s="369" t="s">
        <v>1241</v>
      </c>
      <c r="C33" s="421">
        <f ca="1">SUM(C34:C38)</f>
        <v>254462</v>
      </c>
      <c r="D33" s="393"/>
      <c r="E33" s="371"/>
      <c r="F33" s="406"/>
      <c r="G33" s="398"/>
    </row>
    <row r="34" s="352" customFormat="1" ht="13.5" customHeight="1" spans="1:7">
      <c r="A34" s="401" t="s">
        <v>1070</v>
      </c>
      <c r="B34" s="374" t="s">
        <v>1128</v>
      </c>
      <c r="C34" s="379">
        <f ca="1">ROUND(IF(B1="",SUMPRODUCT('数据-取费表'!K6:K14,'数据-取费表'!L6:L14),INDIRECT("'数据-取费表'!l"&amp;$G$1)*INDIRECT("'数据-取费表'!k"&amp;$G$1)+'数据-取费表'!L14*INDIRECT("'数据-取费表'!S"&amp;$G$1)),0)</f>
        <v>228330</v>
      </c>
      <c r="D34" s="376"/>
      <c r="E34" s="379"/>
      <c r="F34" s="422"/>
      <c r="G34" s="378"/>
    </row>
    <row r="35" ht="13.5" customHeight="1" spans="1:7">
      <c r="A35" s="401" t="s">
        <v>1072</v>
      </c>
      <c r="B35" s="374" t="s">
        <v>1130</v>
      </c>
      <c r="C35" s="379">
        <f ca="1">ROUND(C34*F35,0)</f>
        <v>11417</v>
      </c>
      <c r="D35" s="379"/>
      <c r="E35" s="379"/>
      <c r="F35" s="423">
        <f>'数据-取费表'!B33</f>
        <v>0.05</v>
      </c>
      <c r="G35" s="378" t="s">
        <v>1131</v>
      </c>
    </row>
    <row r="36" ht="24" spans="1:7">
      <c r="A36" s="401" t="s">
        <v>1074</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10148</v>
      </c>
      <c r="D37" s="376">
        <f ca="1">D19</f>
        <v>50.74</v>
      </c>
      <c r="E37" s="414">
        <f>'数据-取费表'!B35</f>
        <v>200</v>
      </c>
      <c r="F37" s="423"/>
      <c r="G37" s="425"/>
    </row>
    <row r="38" ht="13.5" customHeight="1" spans="1:7">
      <c r="A38" s="401" t="s">
        <v>1136</v>
      </c>
      <c r="B38" s="374" t="s">
        <v>1002</v>
      </c>
      <c r="C38" s="379">
        <f ca="1">ROUND(C34*F38,0)</f>
        <v>4567</v>
      </c>
      <c r="D38" s="379"/>
      <c r="E38" s="379"/>
      <c r="F38" s="423">
        <f>'数据-取费表'!B36</f>
        <v>0.02</v>
      </c>
      <c r="G38" s="378" t="s">
        <v>1131</v>
      </c>
    </row>
    <row r="39" s="350" customFormat="1" ht="13.5" customHeight="1" spans="1:7">
      <c r="A39" s="368" t="s">
        <v>1097</v>
      </c>
      <c r="B39" s="369" t="s">
        <v>1100</v>
      </c>
      <c r="C39" s="393">
        <f ca="1">ROUND(C33*F20,0)</f>
        <v>5089</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8124</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ROUND(IF('数据-取费表'!B22&lt;=1,C33*F22*'数据-取费表'!B20/2,C33*(POWER((1+F22),'数据-取费表'!B20/2)-1)),0)</f>
        <v>7965</v>
      </c>
      <c r="D42" s="403"/>
      <c r="E42" s="403"/>
      <c r="F42" s="404"/>
      <c r="G42" s="427" t="s">
        <v>1242</v>
      </c>
    </row>
    <row r="43" ht="13.5" customHeight="1" spans="1:7">
      <c r="A43" s="401" t="s">
        <v>1072</v>
      </c>
      <c r="B43" s="374" t="s">
        <v>1110</v>
      </c>
      <c r="C43" s="403">
        <f ca="1">ROUND(IF('数据-取费表'!B22&lt;=1,C39*F22*'数据-取费表'!B20/2,C39*(POWER((1+F22),'数据-取费表'!B20/2)-1)),0)</f>
        <v>159</v>
      </c>
      <c r="D43" s="403"/>
      <c r="E43" s="403"/>
      <c r="F43" s="404"/>
      <c r="G43" s="428"/>
    </row>
    <row r="44" ht="13.5" customHeight="1" spans="1:7">
      <c r="A44" s="401" t="s">
        <v>1074</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38933</v>
      </c>
      <c r="D45" s="396">
        <f ca="1">C47</f>
        <v>0.003</v>
      </c>
      <c r="E45" s="397" t="s">
        <v>1138</v>
      </c>
      <c r="F45" s="411">
        <f ca="1">F27</f>
        <v>0.15</v>
      </c>
      <c r="G45" s="412" t="s">
        <v>1141</v>
      </c>
    </row>
    <row r="46" s="350" customFormat="1" ht="13.5" customHeight="1" spans="1:7">
      <c r="A46" s="401" t="s">
        <v>1070</v>
      </c>
      <c r="B46" s="413" t="s">
        <v>1142</v>
      </c>
      <c r="C46" s="414">
        <f ca="1">ROUND((C33+C39)*F27,0)</f>
        <v>38933</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1243</v>
      </c>
      <c r="C49" s="393">
        <f ca="1">ROUND((C33+C39+C41+C45)/(1-C40-D41-D45-C48),0)</f>
        <v>332150</v>
      </c>
      <c r="D49" s="393"/>
      <c r="E49" s="393"/>
      <c r="F49" s="431"/>
      <c r="G49" s="398" t="s">
        <v>1146</v>
      </c>
    </row>
    <row r="50" s="352" customFormat="1" spans="1:7">
      <c r="A50" s="368" t="s">
        <v>1147</v>
      </c>
      <c r="B50" s="369" t="s">
        <v>1148</v>
      </c>
      <c r="C50" s="393"/>
      <c r="D50" s="393"/>
      <c r="E50" s="393"/>
      <c r="F50" s="431">
        <f>IF('数据-取费表'!B24=0,'数据-取费表'!N16,1)</f>
        <v>0.74</v>
      </c>
      <c r="G50" s="412"/>
    </row>
    <row r="51" ht="16.5" customHeight="1" spans="1:7">
      <c r="A51" s="368" t="s">
        <v>1150</v>
      </c>
      <c r="B51" s="369" t="s">
        <v>1244</v>
      </c>
      <c r="C51" s="393">
        <f ca="1">ROUND(C49*F50,0)</f>
        <v>245791</v>
      </c>
      <c r="D51" s="393"/>
      <c r="E51" s="393"/>
      <c r="F51" s="431"/>
      <c r="G51" s="398" t="s">
        <v>1152</v>
      </c>
    </row>
    <row r="52" s="349" customFormat="1" ht="16.5" spans="1:7">
      <c r="A52" s="432" t="s">
        <v>1153</v>
      </c>
      <c r="B52" s="433"/>
      <c r="C52" s="434">
        <f ca="1">C31+C51</f>
        <v>1410170</v>
      </c>
      <c r="D52" s="433"/>
      <c r="E52" s="433"/>
      <c r="F52" s="433"/>
      <c r="G52" s="435"/>
    </row>
    <row r="55" ht="15" spans="1:7">
      <c r="B55" s="436" t="s">
        <v>1154</v>
      </c>
      <c r="C55" s="437"/>
    </row>
    <row r="56" spans="1:7">
      <c r="B56" s="438" t="s">
        <v>1155</v>
      </c>
      <c r="C56" s="440">
        <f ca="1">1-C57</f>
        <v>0.826</v>
      </c>
    </row>
    <row r="57" spans="1:7">
      <c r="B57" s="438" t="s">
        <v>1156</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4" workbookViewId="0">
      <selection activeCell="D30" sqref="D30"/>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1245</v>
      </c>
      <c r="B1" s="357"/>
      <c r="C1" s="360" t="s">
        <v>1163</v>
      </c>
      <c r="D1" s="1816">
        <f>SUM(D33:D34,D37:D42)</f>
        <v>50.74</v>
      </c>
      <c r="E1" s="1930"/>
      <c r="F1" s="1930"/>
      <c r="G1" s="1930"/>
      <c r="H1" s="1930"/>
      <c r="I1" s="1930"/>
      <c r="J1" s="1930"/>
      <c r="K1" s="1923"/>
      <c r="L1" s="1931" t="s">
        <v>1246</v>
      </c>
      <c r="M1" s="1932">
        <f>SUMPRODUCT((区片价!B5:B9=I2)*(区片价!C3:G3=E2)*(区片价!C5:G9))</f>
        <v>0</v>
      </c>
      <c r="N1" s="1933">
        <f>SUMPRODUCT((因素修正幅度!B5:B9=I2)*(因素修正幅度!C3:G3=E2)*(因素修正幅度!C5:G9))</f>
        <v>0</v>
      </c>
      <c r="O1" s="1924"/>
      <c r="P1" s="1924"/>
      <c r="Q1" s="1923"/>
      <c r="R1" s="1934" t="s">
        <v>1247</v>
      </c>
      <c r="S1" s="1934" t="s">
        <v>1248</v>
      </c>
      <c r="T1" s="1934" t="s">
        <v>1249</v>
      </c>
      <c r="U1" s="1934" t="s">
        <v>1250</v>
      </c>
      <c r="V1" s="1934" t="s">
        <v>1251</v>
      </c>
      <c r="W1" s="1935"/>
      <c r="X1" s="1935"/>
      <c r="Y1" s="1935"/>
      <c r="Z1" s="1935"/>
      <c r="AA1" s="1935"/>
      <c r="AB1" s="1935"/>
      <c r="AC1" s="1936"/>
      <c r="AD1" s="1937"/>
      <c r="AE1" s="1937"/>
      <c r="AF1" s="1937"/>
      <c r="AG1" s="1937"/>
      <c r="AH1" s="1937"/>
      <c r="AI1" s="1937"/>
      <c r="AJ1" s="1938"/>
    </row>
    <row r="2" ht="15.75" spans="1:36">
      <c r="A2" s="360" t="s">
        <v>1061</v>
      </c>
      <c r="B2" s="364">
        <f>C30</f>
        <v>83</v>
      </c>
      <c r="C2" s="1939" t="s">
        <v>1062</v>
      </c>
      <c r="D2" s="1940" t="s">
        <v>1252</v>
      </c>
      <c r="E2" s="1941" t="s">
        <v>230</v>
      </c>
      <c r="F2" s="1940" t="s">
        <v>1253</v>
      </c>
      <c r="G2" s="903" t="str">
        <f>IF(E2="商业",项目基本情况!B37,IF(E2="办公",项目基本情况!C37,IF(E2="住宅",项目基本情况!D37,IF(E2="工业",项目基本情况!E37,项目基本情况!F37))))</f>
        <v>四级</v>
      </c>
      <c r="H2" s="1940" t="s">
        <v>1254</v>
      </c>
      <c r="I2" s="903" t="str">
        <f>IF(E2="商业",项目基本情况!B38,IF(E2="办公",项目基本情况!C38,IF(E2="住宅",项目基本情况!D38,IF(E2="工业",项目基本情况!E38,项目基本情况!F38))))</f>
        <v>Ⅳ-08</v>
      </c>
      <c r="J2" s="1930"/>
      <c r="K2" s="1923"/>
      <c r="L2" s="1942" t="s">
        <v>1255</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1063</v>
      </c>
      <c r="B3" s="364">
        <f>ROUND(B2*10000/D1,0)</f>
        <v>16358</v>
      </c>
      <c r="C3" s="1939" t="s">
        <v>1064</v>
      </c>
      <c r="D3" s="1940" t="s">
        <v>1256</v>
      </c>
      <c r="E3" s="1945" t="s">
        <v>245</v>
      </c>
      <c r="F3" s="1946" t="s">
        <v>1257</v>
      </c>
      <c r="G3" s="1947">
        <f>IF(F3="宗地容积率",'数据-汇总表'!I4,IF(F3="估价对象容积率",'数据-汇总表'!I6,'数据-汇总表'!I7))</f>
        <v>2.5</v>
      </c>
      <c r="H3" s="1940" t="s">
        <v>1258</v>
      </c>
      <c r="I3" s="1948"/>
      <c r="J3" s="1930" t="s">
        <v>1259</v>
      </c>
      <c r="K3" s="1923"/>
      <c r="L3" s="1942" t="s">
        <v>1260</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1261</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967</v>
      </c>
      <c r="B5" s="1954" t="s">
        <v>1262</v>
      </c>
      <c r="C5" s="1955">
        <f>ROUND(IF(E2="商业",C6*C7*C17+C20,(IF(E2="住宅",C6*C13*C17+C20,IF(E2="办公",C6*C12*C17+C20,C6+C20)))),0)</f>
        <v>19982</v>
      </c>
      <c r="D5" s="1956">
        <f>ROUND(C6*C17+C20,0)</f>
        <v>19400</v>
      </c>
      <c r="E5" s="1956"/>
      <c r="F5" s="1957"/>
      <c r="G5" s="1958"/>
      <c r="H5" s="1958"/>
      <c r="I5" s="1958"/>
      <c r="J5" s="1959"/>
      <c r="K5" s="1960"/>
      <c r="L5" s="1942" t="s">
        <v>1263</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1066</v>
      </c>
      <c r="B6" s="1965" t="s">
        <v>1264</v>
      </c>
      <c r="C6" s="1966">
        <f>SUMIF(L1:L12,G2,M1:M12)</f>
        <v>19400</v>
      </c>
      <c r="D6" s="1967"/>
      <c r="E6" s="1968"/>
      <c r="F6" s="1968"/>
      <c r="G6" s="1969"/>
      <c r="H6" s="1969"/>
      <c r="I6" s="1969"/>
      <c r="J6" s="1970"/>
      <c r="K6" s="1544"/>
      <c r="L6" s="1942" t="s">
        <v>1265</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1266</v>
      </c>
      <c r="B7" s="1972" t="s">
        <v>1267</v>
      </c>
      <c r="C7" s="1973">
        <f>IF(C8="不临65条商业街",1,ROUND(1+(1.6*E8+1.2*E9+0.8*E10+0.4*E11)*C9,4))</f>
        <v>1</v>
      </c>
      <c r="D7" s="1974" t="s">
        <v>1268</v>
      </c>
      <c r="E7" s="1975"/>
      <c r="F7" s="1976"/>
      <c r="G7" s="1977"/>
      <c r="H7" s="1977"/>
      <c r="I7" s="1977"/>
      <c r="J7" s="1978"/>
      <c r="K7" s="1544"/>
      <c r="L7" s="1942" t="s">
        <v>1269</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1270</v>
      </c>
      <c r="X7" s="1981" t="str">
        <f>G2</f>
        <v>四级</v>
      </c>
      <c r="Y7" s="1981" t="s">
        <v>1271</v>
      </c>
      <c r="Z7" s="1982">
        <f>G3</f>
        <v>2.5</v>
      </c>
      <c r="AA7" s="1935"/>
      <c r="AB7" s="1935"/>
      <c r="AC7" s="1936"/>
      <c r="AD7" s="1937"/>
      <c r="AE7" s="1937"/>
      <c r="AF7" s="1937"/>
      <c r="AG7" s="1937"/>
      <c r="AH7" s="1937"/>
      <c r="AI7" s="1937"/>
      <c r="AJ7" s="1938"/>
    </row>
    <row r="8" ht="24.75" spans="1:36">
      <c r="A8" s="1983"/>
      <c r="B8" s="1940" t="s">
        <v>1272</v>
      </c>
      <c r="C8" s="1984" t="s">
        <v>1273</v>
      </c>
      <c r="D8" s="1985" t="s">
        <v>1274</v>
      </c>
      <c r="E8" s="1986" t="e">
        <f>ROUND(C11/E7,4)</f>
        <v>#DIV/0!</v>
      </c>
      <c r="F8" s="1987" t="s">
        <v>1275</v>
      </c>
      <c r="G8" s="1988"/>
      <c r="H8" s="1988"/>
      <c r="I8" s="1988"/>
      <c r="J8" s="1989"/>
      <c r="K8" s="1923"/>
      <c r="L8" s="1942" t="s">
        <v>1276</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1277</v>
      </c>
      <c r="X8" s="1991"/>
      <c r="Y8" s="1992" t="s">
        <v>1278</v>
      </c>
      <c r="Z8" s="1992" t="s">
        <v>1279</v>
      </c>
      <c r="AA8" s="1992" t="s">
        <v>1280</v>
      </c>
      <c r="AB8" s="1992" t="s">
        <v>1281</v>
      </c>
      <c r="AC8" s="1992" t="s">
        <v>1282</v>
      </c>
      <c r="AD8" s="1992" t="s">
        <v>1283</v>
      </c>
      <c r="AE8" s="1992" t="s">
        <v>1284</v>
      </c>
      <c r="AF8" s="1992" t="s">
        <v>1285</v>
      </c>
      <c r="AG8" s="1992" t="s">
        <v>1286</v>
      </c>
      <c r="AH8" s="1992" t="s">
        <v>1287</v>
      </c>
      <c r="AI8" s="1992" t="s">
        <v>1288</v>
      </c>
      <c r="AJ8" s="1992" t="s">
        <v>1289</v>
      </c>
    </row>
    <row r="9" ht="15" spans="1:36">
      <c r="A9" s="1983"/>
      <c r="B9" s="1940" t="s">
        <v>1290</v>
      </c>
      <c r="C9" s="1993">
        <f>SUMIF(修正!C73:C140,C8,修正!E73:E140)</f>
        <v>0</v>
      </c>
      <c r="D9" s="903" t="s">
        <v>1291</v>
      </c>
      <c r="E9" s="903" t="e">
        <f>ROUND(C11/E7,4)</f>
        <v>#DIV/0!</v>
      </c>
      <c r="F9" s="1987" t="s">
        <v>1292</v>
      </c>
      <c r="G9" s="1988"/>
      <c r="H9" s="1988"/>
      <c r="I9" s="1988"/>
      <c r="J9" s="1989"/>
      <c r="K9" s="1923"/>
      <c r="L9" s="1942" t="s">
        <v>1293</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1294</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1295</v>
      </c>
      <c r="C10" s="903">
        <f>SUMIF(修正!C73:C140,C8,修正!F73:F140)</f>
        <v>0</v>
      </c>
      <c r="D10" s="903" t="s">
        <v>1296</v>
      </c>
      <c r="E10" s="903" t="e">
        <f>ROUND(C11/E7,4)</f>
        <v>#DIV/0!</v>
      </c>
      <c r="F10" s="1987" t="s">
        <v>1297</v>
      </c>
      <c r="G10" s="1988"/>
      <c r="H10" s="1988"/>
      <c r="I10" s="1988"/>
      <c r="J10" s="1989"/>
      <c r="K10" s="1923"/>
      <c r="L10" s="1942" t="s">
        <v>1298</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1299</v>
      </c>
      <c r="C11" s="609">
        <f>C10/4</f>
        <v>0</v>
      </c>
      <c r="D11" s="609" t="s">
        <v>1300</v>
      </c>
      <c r="E11" s="609" t="e">
        <f>ROUND(C11/E7,4)</f>
        <v>#DIV/0!</v>
      </c>
      <c r="F11" s="2000" t="s">
        <v>1301</v>
      </c>
      <c r="G11" s="2001"/>
      <c r="H11" s="2001"/>
      <c r="I11" s="2001"/>
      <c r="J11" s="2002"/>
      <c r="K11" s="1923"/>
      <c r="L11" s="1942" t="s">
        <v>1302</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1303</v>
      </c>
      <c r="B12" s="2005" t="s">
        <v>1304</v>
      </c>
      <c r="C12" s="2006">
        <v>1.03</v>
      </c>
      <c r="D12" s="2007" t="s">
        <v>1305</v>
      </c>
      <c r="E12" s="2008" t="s">
        <v>1306</v>
      </c>
      <c r="F12" s="2009"/>
      <c r="G12" s="2010"/>
      <c r="H12" s="2010"/>
      <c r="I12" s="2010"/>
      <c r="J12" s="2011"/>
      <c r="K12" s="1923"/>
      <c r="L12" s="1327" t="s">
        <v>1307</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1308</v>
      </c>
      <c r="B13" s="2013" t="s">
        <v>1309</v>
      </c>
      <c r="C13" s="1973">
        <f>ROUND(C16*D16*E16*F16*G16*H16*I16*J16,4)</f>
        <v>0</v>
      </c>
      <c r="D13" s="2014" t="s">
        <v>1310</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1311</v>
      </c>
      <c r="C14" s="2022" t="s">
        <v>1312</v>
      </c>
      <c r="D14" s="2023" t="s">
        <v>1313</v>
      </c>
      <c r="E14" s="2024" t="s">
        <v>1314</v>
      </c>
      <c r="F14" s="2025" t="s">
        <v>1315</v>
      </c>
      <c r="G14" s="2025" t="s">
        <v>1315</v>
      </c>
      <c r="H14" s="2025" t="s">
        <v>1315</v>
      </c>
      <c r="I14" s="2025" t="s">
        <v>1315</v>
      </c>
      <c r="J14" s="2025" t="s">
        <v>1315</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1316</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1317</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1318</v>
      </c>
      <c r="B17" s="2039" t="s">
        <v>1319</v>
      </c>
      <c r="C17" s="2040">
        <f>ROUND(IF(OR(E2="工业",E2="公共服务"),1,IF(AND(E18=0,E19=0),1,IF(AND(E18=J24,E19=G19),0.8,IF(E19=0,1+E17*(-0.2),1+E17*G17*(-0.2))))),4)</f>
        <v>1</v>
      </c>
      <c r="D17" s="2041" t="s">
        <v>1320</v>
      </c>
      <c r="E17" s="2040">
        <f>ROUND(G18/I18,2)</f>
        <v>0</v>
      </c>
      <c r="F17" s="2041" t="s">
        <v>1321</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1322</v>
      </c>
      <c r="E18" s="2048"/>
      <c r="F18" s="2049" t="s">
        <v>1323</v>
      </c>
      <c r="G18" s="2046">
        <f>ROUND(1-(1/(POWER(1+G24,E18))),4)</f>
        <v>0</v>
      </c>
      <c r="H18" s="2049" t="s">
        <v>1324</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1325</v>
      </c>
      <c r="E19" s="2058"/>
      <c r="F19" s="2059" t="s">
        <v>1326</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1327</v>
      </c>
      <c r="B20" s="2064" t="s">
        <v>1328</v>
      </c>
      <c r="C20" s="2065">
        <f>ROUND(IF(F21="与级别开发程度一致",0,(G21-E21)/C21),0)</f>
        <v>0</v>
      </c>
      <c r="D20" s="2066" t="s">
        <v>1329</v>
      </c>
      <c r="E20" s="2067"/>
      <c r="F20" s="2068" t="s">
        <v>1330</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1331</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1332</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978</v>
      </c>
      <c r="B22" s="2084" t="s">
        <v>1333</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983</v>
      </c>
      <c r="B23" s="2091" t="s">
        <v>1334</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1335</v>
      </c>
      <c r="E23" s="2094">
        <v>44197</v>
      </c>
      <c r="F23" s="2093" t="s">
        <v>1336</v>
      </c>
      <c r="G23" s="2095">
        <f>'数据-取费表'!B2</f>
        <v>46013</v>
      </c>
      <c r="H23" s="2096" t="s">
        <v>1337</v>
      </c>
      <c r="I23" s="2097" t="str">
        <f>IF(H23="季度增幅（自定义）",SUMIF(N25:N28,E2,O25:O28),"")</f>
        <v/>
      </c>
      <c r="J23" s="2098" t="s">
        <v>1338</v>
      </c>
      <c r="K23" s="2052"/>
      <c r="L23" s="2099" t="s">
        <v>1339</v>
      </c>
      <c r="M23" s="2100">
        <f>ROUND(SUMIF(地价!B2:G2,E2,地价!B16:G16),0)</f>
        <v>350</v>
      </c>
      <c r="N23" s="2101" t="s">
        <v>1340</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986</v>
      </c>
      <c r="B24" s="2104" t="s">
        <v>1341</v>
      </c>
      <c r="C24" s="2105">
        <f>ROUND(POWER(1+G24,J24-I24)*(POWER(1+G24,I24)-1)/(POWER(1+G24,J24)-1),4)</f>
        <v>0.8069</v>
      </c>
      <c r="D24" s="2106" t="s">
        <v>1342</v>
      </c>
      <c r="E24" s="2107">
        <f>存贷款利率!E28/100</f>
        <v>0.0435</v>
      </c>
      <c r="F24" s="2106" t="s">
        <v>1343</v>
      </c>
      <c r="G24" s="2108">
        <f>SUMIF(M30:Q30,E2,M33:Q33)</f>
        <v>0.055</v>
      </c>
      <c r="H24" s="2106" t="s">
        <v>1344</v>
      </c>
      <c r="I24" s="2109">
        <f>SUMIF('数据-取费表'!C6:C15,E2,'数据-取费表'!F6:F15)/COUNTIF('数据-取费表'!C6:C15,E2)</f>
        <v>26</v>
      </c>
      <c r="J24" s="2110">
        <f>IF(E2="住宅",70,IF(E2="商业",40,50))</f>
        <v>50</v>
      </c>
      <c r="K24" s="2052"/>
      <c r="L24" s="2111" t="s">
        <v>1345</v>
      </c>
      <c r="M24" s="2112">
        <f>ROUND(SUMPRODUCT((地价!A4:A16=YEAR(G23)&amp;"-"&amp;ROUNDUP(MONTH(G23)/3,0))*(地价!B2:G2=E2)*(地价!B4:G16)),0)</f>
        <v>0</v>
      </c>
      <c r="N24" s="2113" t="s">
        <v>1346</v>
      </c>
      <c r="O24" s="2114" t="s">
        <v>1347</v>
      </c>
      <c r="P24" s="2115" t="s">
        <v>1348</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1008</v>
      </c>
      <c r="B25" s="2117" t="s">
        <v>1349</v>
      </c>
      <c r="C25" s="892">
        <f>IF(B25="容积率修正",IF(G3&lt;10,D26,J26),C27)</f>
        <v>1</v>
      </c>
      <c r="D25" s="2118"/>
      <c r="E25" s="2118"/>
      <c r="F25" s="2118"/>
      <c r="G25" s="2118"/>
      <c r="H25" s="2118"/>
      <c r="I25" s="2118"/>
      <c r="J25" s="2119"/>
      <c r="K25" s="2052"/>
      <c r="L25" s="2054"/>
      <c r="M25" s="2054"/>
      <c r="N25" s="2120" t="s">
        <v>1350</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1351</v>
      </c>
      <c r="B26" s="2123" t="s">
        <v>1352</v>
      </c>
      <c r="C26" s="2123" t="s">
        <v>1353</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1354</v>
      </c>
      <c r="J26" s="777" t="str">
        <f>IF(G3&gt;=10,D115,"——")</f>
        <v>——</v>
      </c>
      <c r="K26" s="2052"/>
      <c r="L26" s="2054"/>
      <c r="M26" s="2054"/>
      <c r="N26" s="2120" t="s">
        <v>1355</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1356</v>
      </c>
      <c r="B27" s="2124" t="s">
        <v>1357</v>
      </c>
      <c r="C27" s="2125">
        <f>ROUND(IF(I3&lt;6,SUMPRODUCT((B106:B110=I3)*(C105:N105=G2)*(C106:N110)),SUMIF(C105:N105,G2,C112:N112)),4)</f>
        <v>0</v>
      </c>
      <c r="D27" s="1930"/>
      <c r="E27" s="1930"/>
      <c r="F27" s="2126"/>
      <c r="G27" s="2127"/>
      <c r="H27" s="2128"/>
      <c r="I27" s="2129"/>
      <c r="J27" s="2130"/>
      <c r="K27" s="1923"/>
      <c r="L27" s="1924"/>
      <c r="M27" s="1924"/>
      <c r="N27" s="2120" t="s">
        <v>1358</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1359</v>
      </c>
      <c r="B28" s="2091" t="s">
        <v>1360</v>
      </c>
      <c r="C28" s="2092">
        <f>SUMIF(A47:A101,E2,B47:B101)</f>
        <v>1.0468</v>
      </c>
      <c r="D28" s="2131"/>
      <c r="E28" s="2132"/>
      <c r="F28" s="2132"/>
      <c r="G28" s="2132"/>
      <c r="H28" s="2132"/>
      <c r="I28" s="2132"/>
      <c r="J28" s="2133"/>
      <c r="K28" s="2052"/>
      <c r="L28" s="2054"/>
      <c r="M28" s="2054"/>
      <c r="N28" s="2134" t="s">
        <v>1361</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1362</v>
      </c>
      <c r="B29" s="2137" t="s">
        <v>1363</v>
      </c>
      <c r="C29" s="2138"/>
      <c r="D29" s="1977"/>
      <c r="E29" s="1977"/>
      <c r="F29" s="2139"/>
      <c r="G29" s="1977"/>
      <c r="H29" s="1977"/>
      <c r="I29" s="1977"/>
      <c r="J29" s="1978"/>
      <c r="K29" s="1923"/>
      <c r="L29" s="1924"/>
      <c r="M29" s="1924"/>
      <c r="N29" s="2140" t="s">
        <v>1364</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1365</v>
      </c>
      <c r="C30" s="2144">
        <f>IF(B25="容积率修正",E33+SUM(E37:E42),SUM(V2:V16)+SUM(E37:E42))</f>
        <v>83</v>
      </c>
      <c r="D30" s="2145"/>
      <c r="E30" s="1930"/>
      <c r="F30" s="2146"/>
      <c r="G30" s="1930"/>
      <c r="H30" s="1930"/>
      <c r="I30" s="1930"/>
      <c r="J30" s="2147"/>
      <c r="K30" s="1923"/>
      <c r="L30" s="2148" t="s">
        <v>1252</v>
      </c>
      <c r="M30" s="2149" t="s">
        <v>1366</v>
      </c>
      <c r="N30" s="2149" t="s">
        <v>1367</v>
      </c>
      <c r="O30" s="2149" t="s">
        <v>1368</v>
      </c>
      <c r="P30" s="2149" t="s">
        <v>1369</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1370</v>
      </c>
      <c r="C31" s="2151">
        <f>E34+SUM(I37:I42)</f>
        <v>0</v>
      </c>
      <c r="D31" s="2152"/>
      <c r="E31" s="2153"/>
      <c r="F31" s="2154"/>
      <c r="G31" s="2153"/>
      <c r="H31" s="2153"/>
      <c r="I31" s="2153"/>
      <c r="J31" s="2155"/>
      <c r="K31" s="1923"/>
      <c r="L31" s="2156" t="s">
        <v>1371</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1372</v>
      </c>
      <c r="C32" s="2160" t="s">
        <v>1373</v>
      </c>
      <c r="D32" s="2160" t="s">
        <v>607</v>
      </c>
      <c r="E32" s="2161" t="s">
        <v>1374</v>
      </c>
      <c r="F32" s="2162"/>
      <c r="G32" s="2016"/>
      <c r="H32" s="2016"/>
      <c r="I32" s="2016"/>
      <c r="J32" s="2017"/>
      <c r="K32" s="1923"/>
      <c r="L32" s="2163" t="s">
        <v>1343</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1375</v>
      </c>
      <c r="C33" s="2168">
        <f>ROUND(C5*C22*C23*C24*C25*C28,0)</f>
        <v>16421</v>
      </c>
      <c r="D33" s="2169">
        <f>'数据-基础表'!I13</f>
        <v>50.74</v>
      </c>
      <c r="E33" s="900">
        <f>ROUND(C33*D33/10000,0)</f>
        <v>83</v>
      </c>
      <c r="F33" s="2170" t="s">
        <v>1376</v>
      </c>
      <c r="G33" s="2171"/>
      <c r="H33" s="2171"/>
      <c r="I33" s="2171"/>
      <c r="J33" s="2172"/>
      <c r="K33" s="1923"/>
      <c r="L33" s="2173" t="s">
        <v>1377</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1378</v>
      </c>
      <c r="C34" s="2077">
        <f>ROUND(IF(E2="工业",C33*M42,IF(B25="楼层修正",SUM(V2:V16)*M41*10000/D34,C33*M41)),0)</f>
        <v>4105</v>
      </c>
      <c r="D34" s="2177"/>
      <c r="E34" s="900">
        <f>ROUND(IF(B25="楼层修正",SUM(V2:V16)*M40,C34*D34/10000),0)</f>
        <v>0</v>
      </c>
      <c r="F34" s="2178" t="s">
        <v>1379</v>
      </c>
      <c r="G34" s="2179"/>
      <c r="H34" s="2179"/>
      <c r="I34" s="2179"/>
      <c r="J34" s="2180"/>
      <c r="K34" s="1923"/>
      <c r="L34" s="2173" t="s">
        <v>1380</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1381</v>
      </c>
      <c r="C35" s="2183" t="s">
        <v>1382</v>
      </c>
      <c r="D35" s="2016"/>
      <c r="E35" s="2184"/>
      <c r="F35" s="2184"/>
      <c r="G35" s="2014" t="s">
        <v>1379</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1373</v>
      </c>
      <c r="D36" s="876" t="s">
        <v>607</v>
      </c>
      <c r="E36" s="876" t="s">
        <v>1374</v>
      </c>
      <c r="F36" s="1816" t="s">
        <v>1383</v>
      </c>
      <c r="G36" s="2187" t="s">
        <v>1373</v>
      </c>
      <c r="H36" s="2187" t="s">
        <v>607</v>
      </c>
      <c r="I36" s="2187" t="s">
        <v>1374</v>
      </c>
      <c r="J36" s="408"/>
      <c r="K36" s="2188" t="s">
        <v>1384</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1385</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1386</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1387</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1388</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1389</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1390</v>
      </c>
      <c r="M40" s="2198"/>
      <c r="Z40" s="2043"/>
      <c r="AA40" s="2043"/>
      <c r="AB40" s="2043"/>
      <c r="AC40" s="2043"/>
      <c r="AD40" s="2043"/>
      <c r="AE40" s="2043"/>
      <c r="AF40" s="2043"/>
      <c r="AG40" s="2043"/>
      <c r="AH40" s="2043"/>
      <c r="AI40" s="2043"/>
      <c r="AJ40" s="2043"/>
    </row>
    <row r="41" s="1923" customFormat="1" spans="1:37">
      <c r="A41" s="2196"/>
      <c r="B41" s="2022" t="s">
        <v>1391</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1392</v>
      </c>
      <c r="M41" s="2200">
        <v>0.25</v>
      </c>
      <c r="Z41" s="2043"/>
      <c r="AA41" s="2043"/>
      <c r="AB41" s="2043"/>
      <c r="AC41" s="2043"/>
      <c r="AD41" s="2043"/>
      <c r="AE41" s="2043"/>
      <c r="AF41" s="2043"/>
      <c r="AG41" s="2043"/>
      <c r="AH41" s="2043"/>
      <c r="AI41" s="2043"/>
      <c r="AJ41" s="2043"/>
    </row>
    <row r="42" s="1923" customFormat="1" ht="13.5" spans="1:37">
      <c r="A42" s="2175"/>
      <c r="B42" s="2201" t="s">
        <v>1393</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1369</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1394</v>
      </c>
      <c r="C44" s="1816">
        <f>ROUND(POWER(1+E44,H44-G44)*(POWER(1+E44,G44)-1)/(POWER(1+E44,H44)-1),4)</f>
        <v>0</v>
      </c>
      <c r="D44" s="903" t="s">
        <v>1343</v>
      </c>
      <c r="E44" s="2207">
        <f>G24</f>
        <v>0.055</v>
      </c>
      <c r="F44" s="903" t="s">
        <v>1344</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1395</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1396</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1397</v>
      </c>
      <c r="B49" s="2218" t="s">
        <v>1398</v>
      </c>
      <c r="C49" s="2218" t="s">
        <v>1399</v>
      </c>
      <c r="D49" s="2218" t="s">
        <v>1400</v>
      </c>
      <c r="E49" s="2219" t="s">
        <v>1401</v>
      </c>
      <c r="F49" s="2220" t="s">
        <v>1402</v>
      </c>
      <c r="G49" s="2218" t="s">
        <v>1317</v>
      </c>
      <c r="H49" s="2221" t="s">
        <v>1403</v>
      </c>
      <c r="I49" s="2218" t="s">
        <v>1404</v>
      </c>
      <c r="J49" s="756" t="s">
        <v>1225</v>
      </c>
      <c r="K49" s="756" t="s">
        <v>1226</v>
      </c>
      <c r="L49" s="756" t="s">
        <v>1227</v>
      </c>
      <c r="M49" s="756" t="s">
        <v>1228</v>
      </c>
      <c r="N49" s="756" t="s">
        <v>1229</v>
      </c>
      <c r="AA49" s="2043"/>
      <c r="AB49" s="2043"/>
      <c r="AC49" s="2043"/>
      <c r="AD49" s="2043"/>
      <c r="AE49" s="2043"/>
      <c r="AF49" s="2043"/>
      <c r="AG49" s="2043"/>
      <c r="AH49" s="2043"/>
      <c r="AI49" s="2043"/>
      <c r="AJ49" s="2043"/>
      <c r="AK49" s="2043"/>
    </row>
    <row r="50" s="1923" customFormat="1" ht="36.75" spans="1:37">
      <c r="A50" s="2217" t="s">
        <v>1405</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1406</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1407</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1408</v>
      </c>
      <c r="B53" s="2232" t="s">
        <v>1409</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1410</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1411</v>
      </c>
      <c r="B55" s="2233" t="s">
        <v>1412</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1413</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1414</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1415</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1416</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1397</v>
      </c>
      <c r="B60" s="2218"/>
      <c r="C60" s="2218" t="s">
        <v>1399</v>
      </c>
      <c r="D60" s="2218" t="s">
        <v>1400</v>
      </c>
      <c r="E60" s="2219" t="s">
        <v>1401</v>
      </c>
      <c r="F60" s="2220" t="s">
        <v>1417</v>
      </c>
      <c r="G60" s="2218" t="s">
        <v>1317</v>
      </c>
      <c r="H60" s="2221" t="s">
        <v>1403</v>
      </c>
      <c r="I60" s="2218" t="s">
        <v>1404</v>
      </c>
      <c r="J60" s="756" t="s">
        <v>1225</v>
      </c>
      <c r="K60" s="756" t="s">
        <v>1226</v>
      </c>
      <c r="L60" s="756" t="s">
        <v>1227</v>
      </c>
      <c r="M60" s="756" t="s">
        <v>1228</v>
      </c>
      <c r="N60" s="756" t="s">
        <v>1229</v>
      </c>
      <c r="AA60" s="2043"/>
      <c r="AB60" s="2043"/>
      <c r="AC60" s="2043"/>
      <c r="AD60" s="2043"/>
      <c r="AE60" s="2043"/>
      <c r="AF60" s="2043"/>
      <c r="AG60" s="2043"/>
      <c r="AH60" s="2043"/>
      <c r="AI60" s="2043"/>
      <c r="AJ60" s="2043"/>
      <c r="AK60" s="2043"/>
    </row>
    <row r="61" s="1923" customFormat="1" ht="36.75" spans="1:37">
      <c r="A61" s="2217" t="s">
        <v>1418</v>
      </c>
      <c r="B61" s="2222" t="str">
        <f>估价对象房地状况!C17</f>
        <v>估价对象位于XX商圈，周边办公楼项目较多，入驻率高，办公集聚程度较好</v>
      </c>
      <c r="C61" s="2028" t="s">
        <v>1419</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1406</v>
      </c>
      <c r="B62" s="2218" t="str">
        <f>估价对象房地状况!C18</f>
        <v>估价对象周边道路状况、公共交通通达情况、停车便捷程度，综合评价交通便捷度较好</v>
      </c>
      <c r="C62" s="2028" t="s">
        <v>1419</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1407</v>
      </c>
      <c r="B63" s="2218">
        <f>估价对象房地状况!C19</f>
        <v>0</v>
      </c>
      <c r="C63" s="2028" t="s">
        <v>1419</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1408</v>
      </c>
      <c r="B64" s="2232" t="s">
        <v>1409</v>
      </c>
      <c r="C64" s="2028" t="s">
        <v>1419</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1410</v>
      </c>
      <c r="B65" s="2218">
        <f>估价对象房地状况!C24</f>
        <v>0</v>
      </c>
      <c r="C65" s="2028" t="s">
        <v>1420</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1411</v>
      </c>
      <c r="B66" s="2233" t="s">
        <v>1412</v>
      </c>
      <c r="C66" s="2028" t="s">
        <v>1419</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1413</v>
      </c>
      <c r="B67" s="610" t="str">
        <f>估价对象房地状况!C21</f>
        <v>估价对象所在区域公共配套设施齐备情况</v>
      </c>
      <c r="C67" s="2028" t="s">
        <v>1419</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1414</v>
      </c>
      <c r="B68" s="610" t="str">
        <f>估价对象房地状况!C22</f>
        <v>估价对象所在区域基础设施水平</v>
      </c>
      <c r="C68" s="2028" t="s">
        <v>1421</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1415</v>
      </c>
      <c r="B69" s="2239" t="str">
        <f>估价对象房地状况!C20</f>
        <v>区域自然环境：；人文环境；综合评价环境状况一般</v>
      </c>
      <c r="C69" s="2028" t="s">
        <v>1420</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1422</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1397</v>
      </c>
      <c r="B71" s="2218"/>
      <c r="C71" s="2218" t="s">
        <v>1399</v>
      </c>
      <c r="D71" s="2218" t="s">
        <v>1400</v>
      </c>
      <c r="E71" s="2219" t="s">
        <v>1401</v>
      </c>
      <c r="F71" s="2220" t="s">
        <v>1417</v>
      </c>
      <c r="G71" s="2218" t="s">
        <v>1317</v>
      </c>
      <c r="H71" s="2221" t="s">
        <v>1403</v>
      </c>
      <c r="I71" s="2218" t="s">
        <v>1404</v>
      </c>
      <c r="J71" s="756" t="s">
        <v>1225</v>
      </c>
      <c r="K71" s="756" t="s">
        <v>1226</v>
      </c>
      <c r="L71" s="756" t="s">
        <v>1227</v>
      </c>
      <c r="M71" s="756" t="s">
        <v>1228</v>
      </c>
      <c r="N71" s="756" t="s">
        <v>1229</v>
      </c>
      <c r="AA71" s="2043"/>
      <c r="AB71" s="2043"/>
      <c r="AC71" s="2043"/>
      <c r="AD71" s="2043"/>
      <c r="AE71" s="2043"/>
      <c r="AF71" s="2043"/>
      <c r="AG71" s="2043"/>
      <c r="AH71" s="2043"/>
      <c r="AI71" s="2043"/>
      <c r="AJ71" s="2043"/>
      <c r="AK71" s="2043"/>
    </row>
    <row r="72" s="1923" customFormat="1" ht="48" spans="1:37">
      <c r="A72" s="2217" t="s">
        <v>1423</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1406</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1407</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1424</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1413</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1414</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1411</v>
      </c>
      <c r="B78" s="2233" t="s">
        <v>1412</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1415</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1425</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1426</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1397</v>
      </c>
      <c r="B82" s="2218"/>
      <c r="C82" s="2218" t="s">
        <v>1399</v>
      </c>
      <c r="D82" s="2218" t="s">
        <v>1400</v>
      </c>
      <c r="E82" s="2219" t="s">
        <v>1401</v>
      </c>
      <c r="F82" s="2220" t="s">
        <v>1417</v>
      </c>
      <c r="G82" s="2218" t="s">
        <v>1317</v>
      </c>
      <c r="H82" s="2221" t="s">
        <v>1403</v>
      </c>
      <c r="I82" s="2218" t="s">
        <v>1404</v>
      </c>
      <c r="J82" s="756" t="s">
        <v>1225</v>
      </c>
      <c r="K82" s="756" t="s">
        <v>1226</v>
      </c>
      <c r="L82" s="756" t="s">
        <v>1227</v>
      </c>
      <c r="M82" s="756" t="s">
        <v>1228</v>
      </c>
      <c r="N82" s="756" t="s">
        <v>1229</v>
      </c>
      <c r="Z82" s="1927"/>
      <c r="AA82" s="1925"/>
      <c r="AG82" s="1929"/>
      <c r="AK82" s="1925"/>
    </row>
    <row r="83" ht="38.25" spans="1:37">
      <c r="A83" s="2217" t="s">
        <v>1427</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1406</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1407</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1424</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1413</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1414</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1411</v>
      </c>
      <c r="B89" s="2233" t="s">
        <v>1428</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1429</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1397</v>
      </c>
      <c r="B92" s="2045"/>
      <c r="C92" s="2045" t="s">
        <v>1399</v>
      </c>
      <c r="D92" s="2045" t="s">
        <v>1400</v>
      </c>
      <c r="E92" s="2157" t="s">
        <v>1401</v>
      </c>
      <c r="F92" s="2253" t="s">
        <v>1417</v>
      </c>
      <c r="G92" s="2045" t="s">
        <v>1317</v>
      </c>
      <c r="H92" s="2254" t="s">
        <v>1403</v>
      </c>
      <c r="I92" s="2045" t="s">
        <v>1404</v>
      </c>
      <c r="J92" s="2255" t="s">
        <v>1225</v>
      </c>
      <c r="K92" s="2255" t="s">
        <v>1226</v>
      </c>
      <c r="L92" s="2255" t="s">
        <v>1227</v>
      </c>
      <c r="M92" s="2255" t="s">
        <v>1228</v>
      </c>
      <c r="N92" s="2255" t="s">
        <v>1229</v>
      </c>
    </row>
    <row r="93" ht="24" spans="1:37">
      <c r="A93" s="2231" t="s">
        <v>1430</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1406</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1407</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1408</v>
      </c>
      <c r="B96" s="2260" t="s">
        <v>1409</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1410</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1411</v>
      </c>
      <c r="B98" s="2261" t="s">
        <v>1412</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1413</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1414</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1415</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1431</v>
      </c>
      <c r="B103" s="2265"/>
      <c r="C103" s="2265"/>
      <c r="D103" s="2265"/>
      <c r="E103" s="2265"/>
      <c r="F103" s="2265"/>
      <c r="G103" s="2265"/>
      <c r="H103" s="2265"/>
      <c r="I103" s="2265"/>
      <c r="J103" s="2265"/>
      <c r="K103" s="2265"/>
      <c r="L103" s="2265"/>
      <c r="M103" s="2265"/>
      <c r="N103" s="2265"/>
    </row>
    <row r="104" spans="1:14">
      <c r="A104" s="2266" t="s">
        <v>1432</v>
      </c>
      <c r="B104" s="2266" t="s">
        <v>1433</v>
      </c>
      <c r="C104" s="2267" t="s">
        <v>1434</v>
      </c>
      <c r="D104" s="2268"/>
      <c r="E104" s="2268"/>
      <c r="F104" s="2268"/>
      <c r="G104" s="2268"/>
      <c r="H104" s="2268"/>
      <c r="I104" s="2268"/>
      <c r="J104" s="2269"/>
      <c r="K104" s="2270"/>
      <c r="L104" s="2270"/>
      <c r="M104" s="2270"/>
      <c r="N104" s="2270"/>
    </row>
    <row r="105" spans="1:14">
      <c r="A105" s="2266"/>
      <c r="B105" s="2266"/>
      <c r="C105" s="2266" t="s">
        <v>1278</v>
      </c>
      <c r="D105" s="2266" t="s">
        <v>1279</v>
      </c>
      <c r="E105" s="2266" t="s">
        <v>1280</v>
      </c>
      <c r="F105" s="2266" t="s">
        <v>1281</v>
      </c>
      <c r="G105" s="2266" t="s">
        <v>1282</v>
      </c>
      <c r="H105" s="2266" t="s">
        <v>1283</v>
      </c>
      <c r="I105" s="2266" t="s">
        <v>1284</v>
      </c>
      <c r="J105" s="2266" t="s">
        <v>1285</v>
      </c>
      <c r="K105" s="2266" t="s">
        <v>1286</v>
      </c>
      <c r="L105" s="2266" t="s">
        <v>1287</v>
      </c>
      <c r="M105" s="2266" t="s">
        <v>1288</v>
      </c>
      <c r="N105" s="2266" t="s">
        <v>1289</v>
      </c>
    </row>
    <row r="106" spans="1:14">
      <c r="A106" s="2271" t="s">
        <v>1435</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1294</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1436</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1437</v>
      </c>
      <c r="B116" s="2278">
        <f>G3</f>
        <v>2.5</v>
      </c>
      <c r="C116" s="2279" t="s">
        <v>1438</v>
      </c>
      <c r="D116" s="2280">
        <f>SUMPRODUCT((A118:A122=F116)*(B117:M117=H116)*B118:M122)</f>
        <v>0.906</v>
      </c>
      <c r="E116" s="1940" t="s">
        <v>1252</v>
      </c>
      <c r="F116" s="2281" t="str">
        <f>E2</f>
        <v>办公</v>
      </c>
      <c r="G116" s="1940" t="s">
        <v>1253</v>
      </c>
      <c r="H116" s="2281" t="str">
        <f>G2</f>
        <v>四级</v>
      </c>
      <c r="I116" s="1940"/>
      <c r="J116" s="2282"/>
      <c r="K116" s="2282"/>
      <c r="L116" s="2282"/>
      <c r="M116" s="2282"/>
      <c r="N116" s="2276"/>
    </row>
    <row r="117" spans="1:14">
      <c r="A117" s="2283"/>
      <c r="B117" s="2284" t="s">
        <v>1439</v>
      </c>
      <c r="C117" s="2284" t="s">
        <v>1440</v>
      </c>
      <c r="D117" s="2284" t="s">
        <v>1441</v>
      </c>
      <c r="E117" s="2285" t="s">
        <v>1442</v>
      </c>
      <c r="F117" s="2285" t="s">
        <v>1443</v>
      </c>
      <c r="G117" s="2285" t="s">
        <v>1444</v>
      </c>
      <c r="H117" s="2286" t="s">
        <v>1445</v>
      </c>
      <c r="I117" s="2286" t="s">
        <v>1446</v>
      </c>
      <c r="J117" s="2287" t="s">
        <v>1447</v>
      </c>
      <c r="K117" s="2287" t="s">
        <v>1448</v>
      </c>
      <c r="L117" s="2287" t="s">
        <v>1449</v>
      </c>
      <c r="M117" s="2288" t="s">
        <v>1450</v>
      </c>
      <c r="N117" s="2276"/>
    </row>
    <row r="118" spans="1:14">
      <c r="A118" s="2156" t="s">
        <v>1366</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1367</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1368</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1369</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L28" workbookViewId="0">
      <selection activeCell="C1" sqref="C1"/>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v>217</v>
      </c>
      <c r="D1" s="1548" t="s">
        <v>124</v>
      </c>
      <c r="E1" s="1549" t="s">
        <v>1452</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913">
        <f ca="1">ROUND(D2/10000,4)</f>
        <v>116.8576</v>
      </c>
      <c r="C2" s="1557" t="s">
        <v>1454</v>
      </c>
      <c r="D2" s="1914">
        <f ca="1">C40+J29+L46</f>
        <v>1168576</v>
      </c>
      <c r="E2" s="1558" t="s">
        <v>1455</v>
      </c>
      <c r="F2" s="1559"/>
      <c r="G2" s="1560"/>
      <c r="H2" s="1561"/>
      <c r="I2" s="1561"/>
      <c r="J2" s="1561"/>
      <c r="K2" s="1562"/>
      <c r="L2" s="1561"/>
      <c r="M2" s="1561"/>
    </row>
    <row r="3" ht="18" customHeight="1" spans="1:37">
      <c r="A3" s="1563" t="s">
        <v>1456</v>
      </c>
      <c r="B3" s="1564">
        <f ca="1">IF(ISERROR(D2/F43),0,ROUND(D2/F43,0))</f>
        <v>23031</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75100</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ROUND(F6*F8*F7*(1-F9),0)</f>
        <v>75006</v>
      </c>
      <c r="D6" s="1581" t="s">
        <v>1467</v>
      </c>
      <c r="E6" s="1582" t="s">
        <v>1468</v>
      </c>
      <c r="F6" s="1583">
        <f ca="1">INDIRECT("'数据-取费表'!u"&amp;$G$1)</f>
        <v>4.5</v>
      </c>
      <c r="G6" s="1544"/>
      <c r="H6" s="1578" t="s">
        <v>971</v>
      </c>
      <c r="I6" s="1579" t="s">
        <v>1466</v>
      </c>
      <c r="J6" s="1584">
        <f ca="1">ROUND(M6*M8*M7*(1-M9),0)</f>
        <v>0</v>
      </c>
      <c r="K6" s="1915" t="s">
        <v>1469</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50.74</v>
      </c>
      <c r="G7" s="1544"/>
      <c r="H7" s="1590"/>
      <c r="I7" s="1586"/>
      <c r="J7" s="1591"/>
      <c r="K7" s="1588"/>
      <c r="L7" s="1582" t="s">
        <v>1470</v>
      </c>
      <c r="M7" s="1583">
        <f ca="1">F7</f>
        <v>50.74</v>
      </c>
    </row>
    <row r="8" ht="18" customHeight="1" spans="1:37">
      <c r="A8" s="1590"/>
      <c r="B8" s="1586"/>
      <c r="C8" s="1591"/>
      <c r="D8" s="1588"/>
      <c r="E8" s="1582" t="s">
        <v>1471</v>
      </c>
      <c r="F8" s="1583">
        <f ca="1">INDIRECT("'数据-取费表'!ai"&amp;$G$1)</f>
        <v>365</v>
      </c>
      <c r="G8" s="1544"/>
      <c r="H8" s="1590"/>
      <c r="I8" s="1586"/>
      <c r="J8" s="1591"/>
      <c r="K8" s="1588"/>
      <c r="L8" s="1582" t="s">
        <v>1471</v>
      </c>
      <c r="M8" s="1583">
        <f ca="1">INDIRECT("'数据-取费表'!ai"&amp;$G$1)</f>
        <v>365</v>
      </c>
    </row>
    <row r="9" ht="18" customHeight="1" spans="1:37">
      <c r="A9" s="1590"/>
      <c r="B9" s="1592"/>
      <c r="C9" s="1591"/>
      <c r="D9" s="1588"/>
      <c r="E9" s="1582" t="s">
        <v>1472</v>
      </c>
      <c r="F9" s="1593">
        <f ca="1">INDIRECT("'数据-取费表'!w"&amp;$G$1)</f>
        <v>0.1</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94</v>
      </c>
      <c r="D10" s="1597" t="s">
        <v>1474</v>
      </c>
      <c r="E10" s="1594" t="s">
        <v>1475</v>
      </c>
      <c r="F10" s="1598" t="s">
        <v>1476</v>
      </c>
      <c r="G10" s="1544"/>
      <c r="H10" s="1578" t="s">
        <v>975</v>
      </c>
      <c r="I10" s="1596" t="s">
        <v>1473</v>
      </c>
      <c r="J10" s="1584">
        <f ca="1">ROUND(IF(M10="押一",J6/12*M11,IF(M10="押二",J6/12*2*M11,IF(M10="押三",J6/12*3*M11,J11*M11))),0)</f>
        <v>0</v>
      </c>
      <c r="K10" s="1916" t="s">
        <v>1477</v>
      </c>
      <c r="L10" s="1594" t="s">
        <v>1475</v>
      </c>
      <c r="M10" s="1598"/>
    </row>
    <row r="11" ht="18" customHeight="1" spans="1:37">
      <c r="A11" s="1599"/>
      <c r="B11" s="1600" t="s">
        <v>1478</v>
      </c>
      <c r="C11" s="1601"/>
      <c r="D11" s="1588"/>
      <c r="E11" s="1594" t="s">
        <v>1479</v>
      </c>
      <c r="F11" s="1595">
        <f ca="1">'数据-取费表'!B39</f>
        <v>0.015</v>
      </c>
      <c r="G11" s="1544"/>
      <c r="H11" s="1603"/>
      <c r="I11" s="1600" t="s">
        <v>1480</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245791</v>
      </c>
      <c r="D13" s="1617" t="s">
        <v>1483</v>
      </c>
      <c r="E13" s="1617" t="s">
        <v>1484</v>
      </c>
      <c r="F13" s="1618">
        <f ca="1">INDIRECT("'数据-取费表'!y"&amp;$G$1)</f>
        <v>0.74</v>
      </c>
      <c r="G13" s="1544"/>
      <c r="H13" s="1614">
        <v>2</v>
      </c>
      <c r="I13" s="1615" t="s">
        <v>1482</v>
      </c>
      <c r="J13" s="1619">
        <f ca="1">ROUND(J14*J15,0)</f>
        <v>0</v>
      </c>
      <c r="K13" s="1620" t="s">
        <v>1483</v>
      </c>
      <c r="L13" s="1621"/>
      <c r="M13" s="1622"/>
    </row>
    <row r="14" ht="18" customHeight="1" spans="1:37">
      <c r="A14" s="1623" t="s">
        <v>994</v>
      </c>
      <c r="B14" s="1582" t="s">
        <v>1485</v>
      </c>
      <c r="C14" s="1624">
        <f ca="1">ROUND(INDIRECT("'数据-取费表'!l"&amp;$G$1)*F43+'数据-取费表'!L14*INDIRECT("'数据-取费表'!S"&amp;$G$1),0)</f>
        <v>228330</v>
      </c>
      <c r="D14" s="1625" t="s">
        <v>1486</v>
      </c>
      <c r="E14" s="1626"/>
      <c r="F14" s="1627"/>
      <c r="G14" s="1544"/>
      <c r="H14" s="1623" t="s">
        <v>971</v>
      </c>
      <c r="I14" s="1582" t="s">
        <v>1487</v>
      </c>
      <c r="J14" s="652">
        <f ca="1">C29</f>
        <v>332150</v>
      </c>
      <c r="K14" s="1628"/>
      <c r="L14" s="1629"/>
      <c r="M14" s="1630"/>
    </row>
    <row r="15" s="1543" customFormat="1" ht="18" customHeight="1" spans="1:37">
      <c r="A15" s="1623" t="s">
        <v>998</v>
      </c>
      <c r="B15" s="1582" t="s">
        <v>1488</v>
      </c>
      <c r="C15" s="652">
        <f ca="1">ROUND(C14*F15,0)</f>
        <v>11417</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ROUND(INDIRECT("'数据-取费表'!l"&amp;$G$1)*F43*F16,0)</f>
        <v>0</v>
      </c>
      <c r="D16" s="1582" t="s">
        <v>1489</v>
      </c>
      <c r="E16" s="1582" t="s">
        <v>1490</v>
      </c>
      <c r="F16" s="1638">
        <f ca="1">IF(INDIRECT("'数据-取费表'!c"&amp;$G$1)="住宅",'数据-取费表'!B34,0)</f>
        <v>0</v>
      </c>
      <c r="G16" s="1544"/>
      <c r="H16" s="1614" t="s">
        <v>1492</v>
      </c>
      <c r="I16" s="1615" t="s">
        <v>1493</v>
      </c>
      <c r="J16" s="1616">
        <f ca="1">ROUND(J17+J22+J23+J24,0)</f>
        <v>664</v>
      </c>
      <c r="K16" s="1620" t="s">
        <v>1494</v>
      </c>
      <c r="L16" s="1639"/>
      <c r="M16" s="1577"/>
    </row>
    <row r="17" s="1543" customFormat="1" ht="18" customHeight="1" spans="1:37">
      <c r="A17" s="1623" t="s">
        <v>1495</v>
      </c>
      <c r="B17" s="1582" t="s">
        <v>1496</v>
      </c>
      <c r="C17" s="652">
        <f ca="1">ROUND(F17*(F43+INDIRECT("'数据-取费表'!S"&amp;$G$1)),0)</f>
        <v>10148</v>
      </c>
      <c r="D17" s="1582" t="s">
        <v>1497</v>
      </c>
      <c r="E17" s="1582" t="s">
        <v>1498</v>
      </c>
      <c r="F17" s="1640">
        <f>'数据-取费表'!B35</f>
        <v>200</v>
      </c>
      <c r="G17" s="1633"/>
      <c r="H17" s="1623" t="s">
        <v>971</v>
      </c>
      <c r="I17" s="1582" t="s">
        <v>1499</v>
      </c>
      <c r="J17" s="1641">
        <f ca="1">ROUND(IF(AND(项目基本情况!B11="自然人",项目基本情况!B10="北京市"),J6*M17/(1+'数据-取费表'!C42),J18+J19+J20),0)</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4567</v>
      </c>
      <c r="D18" s="1582" t="s">
        <v>1489</v>
      </c>
      <c r="E18" s="1582" t="s">
        <v>1490</v>
      </c>
      <c r="F18" s="1638">
        <f>'数据-取费表'!B36</f>
        <v>0.02</v>
      </c>
      <c r="G18" s="1633"/>
      <c r="H18" s="1623" t="s">
        <v>994</v>
      </c>
      <c r="I18" s="1582" t="s">
        <v>1504</v>
      </c>
      <c r="J18" s="652">
        <f ca="1">ROUND(J6*M18/(1+'数据-取费表'!C42),0)</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254462</v>
      </c>
      <c r="D19" s="1644" t="s">
        <v>1507</v>
      </c>
      <c r="E19" s="654"/>
      <c r="F19" s="1640"/>
      <c r="G19" s="1544"/>
      <c r="H19" s="1623" t="s">
        <v>998</v>
      </c>
      <c r="I19" s="1582" t="s">
        <v>1508</v>
      </c>
      <c r="J19" s="652">
        <f ca="1">IF(K19="按租金收入计税",ROUND(J6*M19/(1+'数据-取费表'!C42),0),ROUND(C29*M19*0.7,0))</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5089</v>
      </c>
      <c r="D20" s="1646" t="s">
        <v>1511</v>
      </c>
      <c r="E20" s="1582" t="s">
        <v>1490</v>
      </c>
      <c r="F20" s="1638">
        <f>'数据-取费表'!B37</f>
        <v>0.02</v>
      </c>
      <c r="G20" s="1633"/>
      <c r="H20" s="1623" t="s">
        <v>1001</v>
      </c>
      <c r="I20" s="1581" t="s">
        <v>1512</v>
      </c>
      <c r="J20" s="1647">
        <f ca="1">ROUND(M20*M21,0)</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ROUND(J14*M22,0)</f>
        <v>664</v>
      </c>
      <c r="K22" s="1642" t="s">
        <v>1521</v>
      </c>
      <c r="L22" s="1582" t="s">
        <v>1490</v>
      </c>
      <c r="M22" s="1654">
        <f ca="1">INDIRECT("'数据-取费表'!Ak"&amp;$G$1)</f>
        <v>0.002</v>
      </c>
    </row>
    <row r="23" s="1543" customFormat="1" ht="18" customHeight="1" spans="1:37">
      <c r="A23" s="1623" t="s">
        <v>994</v>
      </c>
      <c r="B23" s="1582" t="s">
        <v>1522</v>
      </c>
      <c r="C23" s="652">
        <f ca="1">IF('数据-取费表'!B22&lt;=1,ROUND(C19*F24*F23/2,0)+ROUND(C20*F24*F23/2,0),ROUND(C19*(POWER((1+F24),F23/2)-1),0)+ROUND(C20*(POWER((1+F24),F23/2)-1),0))</f>
        <v>8124</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ROUND(J13*M23,0)</f>
        <v>0</v>
      </c>
      <c r="K23" s="1642" t="s">
        <v>1525</v>
      </c>
      <c r="L23" s="1582" t="s">
        <v>1490</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ROUND(J5*M24,0)</f>
        <v>0</v>
      </c>
      <c r="K24" s="1658" t="s">
        <v>1528</v>
      </c>
      <c r="L24" s="1610" t="s">
        <v>1490</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1027</v>
      </c>
      <c r="B25" s="1582" t="s">
        <v>1529</v>
      </c>
      <c r="C25" s="652"/>
      <c r="D25" s="1644" t="s">
        <v>1530</v>
      </c>
      <c r="E25" s="654"/>
      <c r="F25" s="1640"/>
      <c r="G25" s="1544"/>
      <c r="H25" s="1614" t="s">
        <v>1531</v>
      </c>
      <c r="I25" s="1659" t="s">
        <v>1532</v>
      </c>
      <c r="J25" s="1616">
        <f ca="1">J5-J16</f>
        <v>-664</v>
      </c>
      <c r="K25" s="1660" t="s">
        <v>1533</v>
      </c>
      <c r="L25" s="1661"/>
      <c r="M25" s="1662"/>
    </row>
    <row r="26" ht="18" customHeight="1" spans="1:37">
      <c r="A26" s="1623" t="s">
        <v>994</v>
      </c>
      <c r="B26" s="1582" t="s">
        <v>1534</v>
      </c>
      <c r="C26" s="652">
        <f ca="1">ROUND((C19+C20)*F26,0)</f>
        <v>38933</v>
      </c>
      <c r="D26" s="1646" t="s">
        <v>1535</v>
      </c>
      <c r="E26" s="1594" t="s">
        <v>1536</v>
      </c>
      <c r="F26" s="1593">
        <f ca="1">INDIRECT("'数据-取费表'!q"&amp;$G$1)</f>
        <v>0.15</v>
      </c>
      <c r="G26" s="1544"/>
      <c r="H26" s="1572" t="s">
        <v>1537</v>
      </c>
      <c r="I26" s="1573" t="s">
        <v>1538</v>
      </c>
      <c r="J26" s="1584">
        <f ca="1">IF(J5&lt;&gt;0,ROUND(J25*(1-((1+M28)/(1+M26))^M27)/(M26-M28),0),0)</f>
        <v>0</v>
      </c>
      <c r="K26" s="1648" t="s">
        <v>1539</v>
      </c>
      <c r="L26" s="1582" t="s">
        <v>1540</v>
      </c>
      <c r="M26" s="1593">
        <f ca="1">INDIRECT("'数据-取费表'!I"&amp;$G$1)</f>
        <v>0.055</v>
      </c>
    </row>
    <row r="27" ht="18" customHeight="1" spans="1:37">
      <c r="A27" s="1623" t="s">
        <v>998</v>
      </c>
      <c r="B27" s="1582" t="s">
        <v>1541</v>
      </c>
      <c r="C27" s="652">
        <f ca="1">ROUND(F21*F26,4)</f>
        <v>0.003</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332150</v>
      </c>
      <c r="D29" s="1658"/>
      <c r="E29" s="1610"/>
      <c r="F29" s="1667"/>
      <c r="G29" s="1633"/>
      <c r="H29" s="1668" t="s">
        <v>1550</v>
      </c>
      <c r="I29" s="1669" t="s">
        <v>1551</v>
      </c>
      <c r="J29" s="1670">
        <f ca="1">ROUND(J26/(1+F40)^F41,0)</f>
        <v>0</v>
      </c>
      <c r="K29" s="1671" t="s">
        <v>1552</v>
      </c>
      <c r="L29" s="1672"/>
      <c r="M29" s="1673">
        <f ca="1">INDIRECT("'数据-取费表'!k"&amp;$G$1)</f>
        <v>50.74</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6286</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ROUND(IF(AND(项目基本情况!B11="自然人",项目基本情况!B10="北京市"),C6*F31/(1+'数据-取费表'!C42),C32+C33+C34),0)</f>
        <v>5000</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IF(项目基本情况!B11="自然人","——",ROUND(C6*F32/(1+'数据-取费表'!C42),0))</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IF(项目基本情况!B11="自然人","——",IF(D33="按租金收入计税",ROUND(C6*F33/(1+'数据-取费表'!C42),0),IF(D33="按房产原值计税",ROUND(C29*F33*0.7,0),INDIRECT("'数据-取费表'!Aj"&amp;$G$1))))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IF(项目基本情况!B11="自然人","——",ROUND(F34*F35,0))</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ROUND(C29*F36,0)</f>
        <v>664</v>
      </c>
      <c r="D36" s="1642" t="s">
        <v>1554</v>
      </c>
      <c r="E36" s="1582" t="s">
        <v>1490</v>
      </c>
      <c r="F36" s="1654">
        <f ca="1">INDIRECT("'数据-取费表'!Ak"&amp;$G$1)</f>
        <v>0.002</v>
      </c>
      <c r="G36" s="1544"/>
      <c r="H36" s="1680"/>
      <c r="I36" s="1675"/>
      <c r="J36" s="1676"/>
      <c r="K36" s="1687"/>
      <c r="L36" s="1680"/>
      <c r="M36" s="1680"/>
    </row>
    <row r="37" ht="18" customHeight="1" spans="1:18">
      <c r="A37" s="1623" t="s">
        <v>1020</v>
      </c>
      <c r="B37" s="1582" t="s">
        <v>1524</v>
      </c>
      <c r="C37" s="652">
        <f ca="1">ROUND(C13*F37,0)</f>
        <v>246</v>
      </c>
      <c r="D37" s="1642" t="s">
        <v>1525</v>
      </c>
      <c r="E37" s="1582" t="s">
        <v>1490</v>
      </c>
      <c r="F37" s="1655">
        <f ca="1">INDIRECT("'数据-取费表'!Al"&amp;$G$1)</f>
        <v>0.001</v>
      </c>
      <c r="G37" s="1544"/>
      <c r="H37" s="1680"/>
      <c r="I37" s="1675"/>
      <c r="J37" s="1676"/>
      <c r="K37" s="1687"/>
      <c r="L37" s="1680"/>
      <c r="M37" s="1680"/>
    </row>
    <row r="38" ht="18" customHeight="1" spans="1:18">
      <c r="A38" s="1634" t="s">
        <v>1023</v>
      </c>
      <c r="B38" s="1610" t="s">
        <v>1510</v>
      </c>
      <c r="C38" s="1657">
        <f ca="1">ROUND(C5*F38,0)</f>
        <v>376</v>
      </c>
      <c r="D38" s="1658" t="s">
        <v>1528</v>
      </c>
      <c r="E38" s="1610" t="s">
        <v>1490</v>
      </c>
      <c r="F38" s="1611">
        <f ca="1">INDIRECT("'数据-取费表'!Am"&amp;$G$1)</f>
        <v>0.005</v>
      </c>
      <c r="G38" s="1544"/>
      <c r="H38" s="1680"/>
      <c r="I38" s="1675"/>
      <c r="J38" s="1676"/>
      <c r="K38" s="1677"/>
      <c r="L38" s="1680"/>
      <c r="M38" s="1680"/>
    </row>
    <row r="39" ht="24.6" customHeight="1" spans="1:18">
      <c r="A39" s="1614" t="s">
        <v>1531</v>
      </c>
      <c r="B39" s="1659" t="s">
        <v>1532</v>
      </c>
      <c r="C39" s="1616">
        <f ca="1">C5-C30</f>
        <v>68814</v>
      </c>
      <c r="D39" s="1660" t="s">
        <v>1533</v>
      </c>
      <c r="E39" s="1661"/>
      <c r="F39" s="1662"/>
      <c r="G39" s="1544"/>
      <c r="H39" s="1680"/>
      <c r="I39" s="1675"/>
      <c r="J39" s="1676"/>
      <c r="K39" s="1677"/>
      <c r="L39" s="1680"/>
      <c r="M39" s="1680"/>
    </row>
    <row r="40" ht="18" customHeight="1" spans="1:18">
      <c r="A40" s="1572" t="s">
        <v>1537</v>
      </c>
      <c r="B40" s="1573" t="s">
        <v>1555</v>
      </c>
      <c r="C40" s="1584">
        <f ca="1">ROUND(C39*(1-((1+F42)/(1+F40))^F41)/(F40-F42),0)</f>
        <v>1148310</v>
      </c>
      <c r="D40" s="1648" t="s">
        <v>1539</v>
      </c>
      <c r="E40" s="1582" t="s">
        <v>1540</v>
      </c>
      <c r="F40" s="1593">
        <f ca="1">INDIRECT("'数据-取费表'!I"&amp;$G$1)</f>
        <v>0.055</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1547</v>
      </c>
      <c r="F42" s="1593">
        <f ca="1">INDIRECT("'数据-取费表'!v"&amp;$G$1)</f>
        <v>0.02</v>
      </c>
      <c r="G42" s="1544"/>
      <c r="H42" s="641"/>
      <c r="I42" s="1675"/>
      <c r="J42" s="1676"/>
      <c r="K42" s="1687"/>
      <c r="L42" s="641"/>
      <c r="M42" s="641"/>
    </row>
    <row r="43" ht="18" customHeight="1" spans="1:18">
      <c r="A43" s="1668" t="s">
        <v>1550</v>
      </c>
      <c r="B43" s="1669" t="s">
        <v>1556</v>
      </c>
      <c r="C43" s="1670">
        <f ca="1">ROUND(C40/F43,0)</f>
        <v>22631</v>
      </c>
      <c r="D43" s="1671" t="s">
        <v>1557</v>
      </c>
      <c r="E43" s="1672" t="s">
        <v>1558</v>
      </c>
      <c r="F43" s="1673">
        <f ca="1">INDIRECT("'数据-取费表'!k"&amp;$G$1)</f>
        <v>50.74</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1559</v>
      </c>
      <c r="B45" s="1689"/>
      <c r="C45" s="1918">
        <f ca="1">ROUND((C68-C40)/10000,4)</f>
        <v>-116.0743</v>
      </c>
      <c r="D45" s="1919" t="s">
        <v>1560</v>
      </c>
      <c r="E45" s="1689"/>
      <c r="F45" s="1689"/>
      <c r="O45" s="1763" t="s">
        <v>1561</v>
      </c>
      <c r="P45" s="1688"/>
      <c r="Q45" s="1688"/>
      <c r="R45" s="1688"/>
    </row>
    <row r="46" s="1544" customFormat="1" ht="13.5" spans="1:18">
      <c r="A46" s="1693" t="s">
        <v>1562</v>
      </c>
      <c r="C46" s="1694">
        <f ca="1">ROUND(C45,0)</f>
        <v>-116</v>
      </c>
      <c r="D46" s="1695" t="str">
        <f>C2</f>
        <v>万元</v>
      </c>
      <c r="I46" s="1696" t="s">
        <v>1563</v>
      </c>
      <c r="J46" s="1697"/>
      <c r="K46" s="1698"/>
      <c r="L46" s="1699">
        <f ca="1">IF(M47="住宅",0,IF(L48&gt;J51,L60,J60))</f>
        <v>20266</v>
      </c>
      <c r="O46" s="1700" t="s">
        <v>1564</v>
      </c>
      <c r="P46" s="1701" t="s">
        <v>1565</v>
      </c>
      <c r="Q46" s="1702" t="s">
        <v>1566</v>
      </c>
      <c r="R46" s="1702" t="s">
        <v>1567</v>
      </c>
    </row>
    <row r="47" s="1544" customFormat="1" ht="13.5" spans="1:18">
      <c r="A47" s="1703" t="s">
        <v>1459</v>
      </c>
      <c r="B47" s="1704" t="s">
        <v>1460</v>
      </c>
      <c r="C47" s="1704" t="s">
        <v>1461</v>
      </c>
      <c r="D47" s="1704" t="s">
        <v>1462</v>
      </c>
      <c r="E47" s="1706" t="s">
        <v>1463</v>
      </c>
      <c r="F47" s="645"/>
      <c r="G47" s="1707"/>
      <c r="I47" s="1708" t="s">
        <v>1568</v>
      </c>
      <c r="J47" s="1709" t="s">
        <v>800</v>
      </c>
      <c r="K47" s="1710" t="s">
        <v>1569</v>
      </c>
      <c r="L47" s="1711">
        <f ca="1">INDIRECT("'数据-取费表'!d"&amp;$G$1)</f>
        <v>50</v>
      </c>
      <c r="M47" s="1712" t="str">
        <f>IF(ISNUMBER(FIND("住宅",C1)),"住宅","非住宅")</f>
        <v>非住宅</v>
      </c>
      <c r="O47" s="1713" t="s">
        <v>1076</v>
      </c>
      <c r="P47" s="1714" t="s">
        <v>1570</v>
      </c>
      <c r="Q47" s="1715">
        <f ca="1">C40+J29</f>
        <v>1148310</v>
      </c>
      <c r="R47" s="1715" t="s">
        <v>1571</v>
      </c>
    </row>
    <row r="48" s="1544" customFormat="1" ht="26.25" spans="1:18">
      <c r="A48" s="1716" t="s">
        <v>1572</v>
      </c>
      <c r="B48" s="1573" t="s">
        <v>1464</v>
      </c>
      <c r="C48" s="653">
        <f ca="1">C49+C53+C55</f>
        <v>0</v>
      </c>
      <c r="D48" s="1717"/>
      <c r="E48" s="1718"/>
      <c r="F48" s="1719"/>
      <c r="G48" s="1707"/>
      <c r="H48" s="1720"/>
      <c r="I48" s="1721" t="s">
        <v>1573</v>
      </c>
      <c r="J48" s="1722" t="s">
        <v>1574</v>
      </c>
      <c r="K48" s="1723" t="s">
        <v>1575</v>
      </c>
      <c r="L48" s="1724">
        <f ca="1">INDIRECT("'数据-取费表'!f"&amp;$G$1)</f>
        <v>26</v>
      </c>
      <c r="O48" s="1713" t="s">
        <v>1079</v>
      </c>
      <c r="P48" s="1714" t="s">
        <v>1576</v>
      </c>
      <c r="Q48" s="1715">
        <f ca="1">J60</f>
        <v>20266</v>
      </c>
      <c r="R48" s="1715" t="s">
        <v>1577</v>
      </c>
    </row>
    <row r="49" s="1544" customFormat="1" ht="13.5" spans="1:18">
      <c r="A49" s="1725" t="s">
        <v>1578</v>
      </c>
      <c r="B49" s="1726" t="s">
        <v>1579</v>
      </c>
      <c r="C49" s="1727">
        <f ca="1">ROUND(F49*F51*F50*(1-F52),0)</f>
        <v>0</v>
      </c>
      <c r="D49" s="1728" t="s">
        <v>1580</v>
      </c>
      <c r="E49" s="1729" t="s">
        <v>1581</v>
      </c>
      <c r="F49" s="1730"/>
      <c r="H49" s="1720"/>
      <c r="I49" s="1721" t="s">
        <v>1582</v>
      </c>
      <c r="J49" s="1731">
        <f>'数据-取费表'!N18</f>
        <v>2003</v>
      </c>
      <c r="K49" s="1723" t="s">
        <v>1583</v>
      </c>
      <c r="L49" s="1732"/>
      <c r="O49" s="1733" t="s">
        <v>1584</v>
      </c>
      <c r="P49" s="1714" t="s">
        <v>1585</v>
      </c>
      <c r="Q49" s="1715">
        <f ca="1">C29</f>
        <v>332150</v>
      </c>
      <c r="R49" s="1715" t="s">
        <v>1571</v>
      </c>
    </row>
    <row r="50" s="1544" customFormat="1" ht="13.5" spans="1:18">
      <c r="A50" s="1734"/>
      <c r="B50" s="581"/>
      <c r="C50" s="1743"/>
      <c r="D50" s="1736"/>
      <c r="E50" s="1737" t="s">
        <v>1470</v>
      </c>
      <c r="F50" s="1738">
        <f ca="1">F7</f>
        <v>50.74</v>
      </c>
      <c r="H50" s="1720"/>
      <c r="I50" s="1721" t="s">
        <v>1586</v>
      </c>
      <c r="J50" s="1739">
        <f>SUMPRODUCT((I63:I65=J47)*(J62:L62=J48)*(J63:L65))</f>
        <v>60</v>
      </c>
      <c r="K50" s="1723" t="s">
        <v>1587</v>
      </c>
      <c r="L50" s="1732"/>
      <c r="M50" s="1740"/>
      <c r="O50" s="1733" t="s">
        <v>1588</v>
      </c>
      <c r="P50" s="1714" t="s">
        <v>1589</v>
      </c>
      <c r="Q50" s="1741">
        <f ca="1">J58</f>
        <v>0.4</v>
      </c>
      <c r="R50" s="1715"/>
    </row>
    <row r="51" s="1544" customFormat="1" ht="13.5" spans="1:18">
      <c r="A51" s="1742"/>
      <c r="B51" s="581"/>
      <c r="C51" s="1743"/>
      <c r="D51" s="1736"/>
      <c r="E51" s="1744" t="s">
        <v>1471</v>
      </c>
      <c r="F51" s="1583">
        <f ca="1">F8</f>
        <v>365</v>
      </c>
      <c r="I51" s="1745" t="s">
        <v>1590</v>
      </c>
      <c r="J51" s="1724">
        <f>IF(J49="",J50,J49+J50-YEAR('数据-取费表'!B2))</f>
        <v>38</v>
      </c>
      <c r="K51" s="1746" t="s">
        <v>1591</v>
      </c>
      <c r="L51" s="1747">
        <f ca="1">ROUND(-PV(INDIRECT("'数据-取费表'!h"&amp;$G$1),J51,(C39-C13*C76),0),0)</f>
        <v>870529</v>
      </c>
      <c r="M51" s="1748"/>
      <c r="O51" s="1733" t="s">
        <v>1592</v>
      </c>
      <c r="P51" s="1714" t="s">
        <v>1593</v>
      </c>
      <c r="Q51" s="1741">
        <f>J52</f>
        <v>0.075</v>
      </c>
      <c r="R51" s="1715"/>
    </row>
    <row r="52" s="1544" customFormat="1" ht="13.5" spans="1:18">
      <c r="A52" s="1742"/>
      <c r="B52" s="581"/>
      <c r="C52" s="1743"/>
      <c r="D52" s="1736"/>
      <c r="E52" s="1744" t="s">
        <v>1472</v>
      </c>
      <c r="F52" s="1749"/>
      <c r="I52" s="1750" t="s">
        <v>1594</v>
      </c>
      <c r="J52" s="1751">
        <f>'数据-取费表'!J6+0.005</f>
        <v>0.075</v>
      </c>
      <c r="K52" s="1750" t="s">
        <v>1595</v>
      </c>
      <c r="L52" s="1751"/>
      <c r="O52" s="1733" t="s">
        <v>1596</v>
      </c>
      <c r="P52" s="1714" t="s">
        <v>1597</v>
      </c>
      <c r="Q52" s="1715">
        <f ca="1">J53</f>
        <v>26</v>
      </c>
      <c r="R52" s="1715" t="s">
        <v>1598</v>
      </c>
    </row>
    <row r="53" s="1544" customFormat="1" ht="30.75" customHeight="1" spans="1:18">
      <c r="A53" s="1920" t="s">
        <v>1599</v>
      </c>
      <c r="B53" s="1646" t="s">
        <v>1473</v>
      </c>
      <c r="C53" s="651">
        <f ca="1">ROUND(IF(F53="押一",C49/12*F11,IF(F53="押二",C49/12*2*F11,IF(F53="押三",C49/12*3*F11,C54*F11))),0)</f>
        <v>0</v>
      </c>
      <c r="D53" s="1597" t="s">
        <v>1600</v>
      </c>
      <c r="E53" s="1594" t="s">
        <v>1475</v>
      </c>
      <c r="F53" s="1598"/>
      <c r="I53" s="1754" t="s">
        <v>1601</v>
      </c>
      <c r="J53" s="1755">
        <f ca="1">IF(M47="住宅",IF(D1="——",MAX(J51,L48),MAX(J51,L48-'数据-取费表'!B24)),IF(D1="——",MIN(J51,L48),MIN(J51,L48-'数据-取费表'!B24)))</f>
        <v>26</v>
      </c>
      <c r="K53" s="1756" t="s">
        <v>1602</v>
      </c>
      <c r="L53" s="1757"/>
      <c r="O53" s="1713" t="s">
        <v>1603</v>
      </c>
      <c r="P53" s="1714" t="s">
        <v>1604</v>
      </c>
      <c r="Q53" s="1715">
        <f ca="1">Q47+Q48</f>
        <v>1168576</v>
      </c>
      <c r="R53" s="1715" t="s">
        <v>1605</v>
      </c>
    </row>
    <row r="54" s="1544" customFormat="1" ht="13.5" spans="1:18">
      <c r="A54" s="1725"/>
      <c r="B54" s="1921" t="s">
        <v>1480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f ca="1">ROUND(IF(J47="钢混",J57/J50,1-(1-2%)*(J50-J57)/J50),3)</f>
        <v>0.2</v>
      </c>
      <c r="K55" s="1766" t="s">
        <v>1608</v>
      </c>
      <c r="L55" s="1767"/>
      <c r="O55" s="1700" t="s">
        <v>1564</v>
      </c>
      <c r="P55" s="1701" t="s">
        <v>1565</v>
      </c>
      <c r="Q55" s="1702" t="s">
        <v>1566</v>
      </c>
      <c r="R55" s="1702" t="s">
        <v>1567</v>
      </c>
    </row>
    <row r="56" s="1544" customFormat="1" ht="36" customHeight="1" spans="1:18">
      <c r="A56" s="1768">
        <v>2</v>
      </c>
      <c r="B56" s="1769" t="s">
        <v>1482</v>
      </c>
      <c r="C56" s="393">
        <f ca="1">C13</f>
        <v>245791</v>
      </c>
      <c r="D56" s="1770"/>
      <c r="E56" s="1771"/>
      <c r="F56" s="1760"/>
      <c r="I56" s="1772" t="s">
        <v>1609</v>
      </c>
      <c r="J56" s="1773" t="s">
        <v>1610</v>
      </c>
      <c r="K56" s="1721" t="s">
        <v>1611</v>
      </c>
      <c r="L56" s="1724" t="str">
        <f ca="1">IF(L48&lt;J51,"——",L48-J51)</f>
        <v>——</v>
      </c>
      <c r="O56" s="1713" t="s">
        <v>1076</v>
      </c>
      <c r="P56" s="1714" t="s">
        <v>1570</v>
      </c>
      <c r="Q56" s="1715">
        <f ca="1">C40+J29</f>
        <v>1148310</v>
      </c>
      <c r="R56" s="1715" t="s">
        <v>1571</v>
      </c>
    </row>
    <row r="57" s="1544" customFormat="1" ht="24.75" spans="1:18">
      <c r="A57" s="1774"/>
      <c r="B57" s="1775" t="s">
        <v>1549</v>
      </c>
      <c r="C57" s="403">
        <f ca="1">C29</f>
        <v>332150</v>
      </c>
      <c r="D57" s="1776"/>
      <c r="E57" s="1777"/>
      <c r="F57" s="1778"/>
      <c r="I57" s="1779" t="s">
        <v>1612</v>
      </c>
      <c r="J57" s="1780">
        <f ca="1">IF(OR(M47="住宅",J51&lt;L48,J56="是"),"——",J51-L48)</f>
        <v>12</v>
      </c>
      <c r="K57" s="1721" t="s">
        <v>1613</v>
      </c>
      <c r="L57" s="1724" t="str">
        <f ca="1">IF(L48&lt;J51,"——",IF(L55="比较法",L49,IF(L55="基准地价",L50,L51)))</f>
        <v>——</v>
      </c>
      <c r="O57" s="1713" t="s">
        <v>1079</v>
      </c>
      <c r="P57" s="1714" t="s">
        <v>1614</v>
      </c>
      <c r="Q57" s="1715">
        <f ca="1">L60</f>
        <v>0</v>
      </c>
      <c r="R57" s="1715" t="s">
        <v>1615</v>
      </c>
    </row>
    <row r="58" s="1544" customFormat="1" ht="24.75" spans="1:18">
      <c r="A58" s="1781" t="s">
        <v>1492</v>
      </c>
      <c r="B58" s="1769" t="s">
        <v>1493</v>
      </c>
      <c r="C58" s="651">
        <f ca="1">ROUND(C59+C64+C65+C66,0)</f>
        <v>910</v>
      </c>
      <c r="D58" s="1782" t="s">
        <v>1494</v>
      </c>
      <c r="E58" s="1783"/>
      <c r="F58" s="1719"/>
      <c r="I58" s="1779" t="s">
        <v>1616</v>
      </c>
      <c r="J58" s="1784">
        <f ca="1">IF(J55&lt;0.4,0.4,J55)</f>
        <v>0.4</v>
      </c>
      <c r="K58" s="1746" t="s">
        <v>1617</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f ca="1">IF(OR(M47="住宅",J51&lt;L48,J56="是"),"——",ROUND(C29*J58,0))</f>
        <v>132860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IF(项目基本情况!B11="自然人","——",ROUND(C48*F60/(1+'数据-取费表'!C42),0))</f>
        <v>——</v>
      </c>
      <c r="D60" s="1786" t="s">
        <v>1505</v>
      </c>
      <c r="E60" s="1775" t="s">
        <v>1490</v>
      </c>
      <c r="F60" s="1656">
        <f t="shared" ref="F60:F66" si="0">F32</f>
        <v>0.056</v>
      </c>
      <c r="I60" s="1787" t="s">
        <v>1621</v>
      </c>
      <c r="J60" s="1788">
        <f ca="1">IF(OR(M47="住宅",J51&lt;L48,J56="是"),"0",ROUND(J59/(1+J52)^J53,0))</f>
        <v>20266</v>
      </c>
      <c r="K60" s="1789" t="s">
        <v>1622</v>
      </c>
      <c r="L60" s="1788">
        <f ca="1">IF(OR(M47="住宅",L48&lt;J51),0,ROUND(L57*(L58/L59-1),0))</f>
        <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IF(项目基本情况!B11="自然人","——",IF(D61="按租金收入计税",ROUND(C49*F61/(1+'数据-取费表'!C42),0),IF(D61="按房产原值计税",ROUND(C57*F61*0.7,0),INDIRECT("'数据-取费表'!Aj"&amp;$G$1))))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IF(项目基本情况!B11="自然人","——",ROUND(F62*F63,0))</f>
        <v>——</v>
      </c>
      <c r="D62" s="1791" t="s">
        <v>1513</v>
      </c>
      <c r="E62" s="1775" t="s">
        <v>1514</v>
      </c>
      <c r="F62" s="1649">
        <f t="shared" si="0"/>
        <v>0</v>
      </c>
      <c r="I62" s="1792" t="s">
        <v>1626</v>
      </c>
      <c r="J62" s="896" t="s">
        <v>1627</v>
      </c>
      <c r="K62" s="896" t="s">
        <v>1628</v>
      </c>
      <c r="L62" s="896" t="s">
        <v>1629</v>
      </c>
      <c r="M62" s="1793" t="s">
        <v>1630</v>
      </c>
      <c r="O62" s="1713" t="s">
        <v>1603</v>
      </c>
      <c r="P62" s="1714" t="s">
        <v>1604</v>
      </c>
      <c r="Q62" s="1715">
        <f ca="1">Q56+Q57</f>
        <v>1148310</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ROUND(C57*F64,0)</f>
        <v>664</v>
      </c>
      <c r="D64" s="1786" t="s">
        <v>1554</v>
      </c>
      <c r="E64" s="1775" t="s">
        <v>1490</v>
      </c>
      <c r="F64" s="1654">
        <f ca="1" t="shared" si="0"/>
        <v>0.002</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ROUND(C56*F65,0)</f>
        <v>246</v>
      </c>
      <c r="D65" s="1786" t="s">
        <v>1525</v>
      </c>
      <c r="E65" s="1775" t="s">
        <v>1490</v>
      </c>
      <c r="F65" s="1655">
        <f ca="1" t="shared" si="0"/>
        <v>0.001</v>
      </c>
      <c r="I65" s="1792" t="s">
        <v>1634</v>
      </c>
      <c r="J65" s="896">
        <v>40</v>
      </c>
      <c r="K65" s="896">
        <v>30</v>
      </c>
      <c r="L65" s="896">
        <v>50</v>
      </c>
      <c r="M65" s="1796">
        <v>0.02</v>
      </c>
      <c r="O65" s="1713" t="s">
        <v>1076</v>
      </c>
      <c r="P65" s="1714" t="s">
        <v>1570</v>
      </c>
      <c r="Q65" s="1715">
        <f ca="1">C40+J29</f>
        <v>1148310</v>
      </c>
      <c r="R65" s="1715" t="s">
        <v>1571</v>
      </c>
    </row>
    <row r="66" s="1544" customFormat="1" ht="17.25" spans="1:18">
      <c r="A66" s="1623" t="s">
        <v>1023</v>
      </c>
      <c r="B66" s="1775" t="s">
        <v>1510</v>
      </c>
      <c r="C66" s="652">
        <f ca="1">ROUND(C48*F66,0)</f>
        <v>0</v>
      </c>
      <c r="D66" s="1786" t="s">
        <v>1528</v>
      </c>
      <c r="E66" s="1775" t="s">
        <v>1490</v>
      </c>
      <c r="F66" s="1593">
        <f ca="1" t="shared" si="0"/>
        <v>0.005</v>
      </c>
      <c r="O66" s="1713" t="s">
        <v>1079</v>
      </c>
      <c r="P66" s="1714" t="s">
        <v>1614</v>
      </c>
      <c r="Q66" s="1715">
        <f ca="1">L60</f>
        <v>0</v>
      </c>
      <c r="R66" s="1715" t="s">
        <v>1615</v>
      </c>
    </row>
    <row r="67" s="1544" customFormat="1" ht="17.25" spans="1:18">
      <c r="A67" s="1768" t="s">
        <v>1531</v>
      </c>
      <c r="B67" s="1797" t="s">
        <v>1532</v>
      </c>
      <c r="C67" s="651">
        <f ca="1">C48-C58</f>
        <v>-910</v>
      </c>
      <c r="D67" s="1785" t="s">
        <v>1533</v>
      </c>
      <c r="E67" s="1798"/>
      <c r="F67" s="1799"/>
      <c r="O67" s="1733" t="s">
        <v>1584</v>
      </c>
      <c r="P67" s="1714" t="s">
        <v>1618</v>
      </c>
      <c r="Q67" s="1800">
        <f ca="1">L51</f>
        <v>870529</v>
      </c>
      <c r="R67" s="1715" t="s">
        <v>1635</v>
      </c>
    </row>
    <row r="68" s="1544" customFormat="1" ht="17.25" spans="1:18">
      <c r="A68" s="1801" t="s">
        <v>1537</v>
      </c>
      <c r="B68" s="1802" t="s">
        <v>1555</v>
      </c>
      <c r="C68" s="1584">
        <f ca="1">ROUND(C67*(1-((1+F70)/(1+F68))^F69)/(F68-F70),0)</f>
        <v>-12433</v>
      </c>
      <c r="D68" s="1791" t="s">
        <v>1539</v>
      </c>
      <c r="E68" s="1775" t="s">
        <v>1540</v>
      </c>
      <c r="F68" s="1593">
        <f ca="1">F40</f>
        <v>0.055</v>
      </c>
      <c r="O68" s="1733" t="s">
        <v>1588</v>
      </c>
      <c r="P68" s="1803" t="s">
        <v>1636</v>
      </c>
      <c r="Q68" s="1715">
        <f ca="1">ROUND(Q69-Q70*Q71,0)</f>
        <v>51609</v>
      </c>
      <c r="R68" s="1715" t="s">
        <v>1637</v>
      </c>
    </row>
    <row r="69" s="1544" customFormat="1" ht="13.5" spans="1:18">
      <c r="A69" s="1804"/>
      <c r="B69" s="1805"/>
      <c r="C69" s="1591"/>
      <c r="D69" s="1806" t="s">
        <v>1543</v>
      </c>
      <c r="E69" s="1775" t="s">
        <v>1544</v>
      </c>
      <c r="F69" s="1665">
        <f ca="1">F41</f>
        <v>26</v>
      </c>
      <c r="O69" s="1733" t="s">
        <v>1638</v>
      </c>
      <c r="P69" s="1803" t="s">
        <v>1639</v>
      </c>
      <c r="Q69" s="1715">
        <f ca="1">C39</f>
        <v>68814</v>
      </c>
      <c r="R69" s="1715" t="s">
        <v>1571</v>
      </c>
    </row>
    <row r="70" s="1544" customFormat="1" ht="13.5" spans="1:18">
      <c r="A70" s="1807"/>
      <c r="B70" s="1808"/>
      <c r="C70" s="1616"/>
      <c r="D70" s="1795"/>
      <c r="E70" s="1775" t="s">
        <v>1547</v>
      </c>
      <c r="F70" s="1749"/>
      <c r="O70" s="1733" t="s">
        <v>1640</v>
      </c>
      <c r="P70" s="1803" t="s">
        <v>1641</v>
      </c>
      <c r="Q70" s="1715">
        <f ca="1">C13</f>
        <v>245791</v>
      </c>
      <c r="R70" s="1715" t="s">
        <v>1571</v>
      </c>
    </row>
    <row r="71" s="1544" customFormat="1" ht="13.5" spans="1:18">
      <c r="A71" s="1809" t="s">
        <v>1550</v>
      </c>
      <c r="B71" s="1810" t="s">
        <v>1556</v>
      </c>
      <c r="C71" s="1670">
        <f ca="1">ROUND(C68/F71,0)</f>
        <v>-245</v>
      </c>
      <c r="D71" s="1811" t="s">
        <v>1557</v>
      </c>
      <c r="E71" s="1812" t="s">
        <v>1558</v>
      </c>
      <c r="F71" s="1673">
        <f ca="1">F43</f>
        <v>50.74</v>
      </c>
      <c r="O71" s="1733" t="s">
        <v>1642</v>
      </c>
      <c r="P71" s="1803" t="s">
        <v>1643</v>
      </c>
      <c r="Q71" s="1741">
        <f ca="1">C76</f>
        <v>0.07</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17205</v>
      </c>
      <c r="D75" s="1544"/>
      <c r="E75" s="1544"/>
      <c r="F75" s="1544"/>
      <c r="K75" s="1691"/>
      <c r="L75" s="1544"/>
      <c r="O75" s="1713" t="s">
        <v>1603</v>
      </c>
      <c r="P75" s="1714" t="s">
        <v>1604</v>
      </c>
      <c r="Q75" s="1715">
        <f ca="1">Q65+Q66</f>
        <v>1148310</v>
      </c>
      <c r="R75" s="1715" t="s">
        <v>1605</v>
      </c>
    </row>
    <row r="76" spans="1:18">
      <c r="B76" s="1816" t="s">
        <v>1647</v>
      </c>
      <c r="C76" s="1817">
        <f ca="1">INDIRECT("'数据-取费表'!j"&amp;$G$1)</f>
        <v>0.07</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f ca="1">1-C80</f>
        <v>0.75</v>
      </c>
    </row>
    <row r="80" spans="1:18">
      <c r="B80" s="1814" t="s">
        <v>1651</v>
      </c>
      <c r="C80" s="439">
        <f ca="1">ROUND(C75/C39,3)</f>
        <v>0.25</v>
      </c>
    </row>
    <row r="81" spans="2:3">
      <c r="B81" s="436" t="s">
        <v>1652</v>
      </c>
      <c r="C81" s="403"/>
    </row>
    <row r="82" spans="2:3">
      <c r="B82" s="438" t="s">
        <v>1155</v>
      </c>
      <c r="C82" s="440">
        <f ca="1">1-C83</f>
        <v>0.786</v>
      </c>
    </row>
    <row r="83" spans="2:3">
      <c r="B83" s="438" t="s">
        <v>1156</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1653</v>
      </c>
      <c r="B1" s="641"/>
      <c r="C1" s="1831"/>
      <c r="D1" s="1832"/>
      <c r="E1" s="1833"/>
      <c r="F1" s="1833"/>
      <c r="G1" s="1834"/>
      <c r="H1" s="1833"/>
      <c r="I1" s="1833"/>
      <c r="J1" s="1833"/>
      <c r="K1" s="1835">
        <f>MATCH(C1,'数据-取费表'!A6:A16,0)+5</f>
        <v>7</v>
      </c>
    </row>
    <row r="2" ht="18" customHeight="1" spans="1:33">
      <c r="A2" s="360" t="s">
        <v>1061</v>
      </c>
      <c r="B2" s="364">
        <f ca="1">C32</f>
        <v>11568</v>
      </c>
      <c r="C2" s="1836" t="s">
        <v>1654</v>
      </c>
      <c r="D2" s="1836"/>
      <c r="E2" s="1833"/>
      <c r="F2" s="1833"/>
      <c r="G2" s="1833"/>
      <c r="H2" s="1833"/>
      <c r="I2" s="1833"/>
      <c r="J2" s="1833"/>
      <c r="K2" s="1833"/>
    </row>
    <row r="3" ht="18" customHeight="1" spans="1:33">
      <c r="A3" s="363" t="s">
        <v>1063</v>
      </c>
      <c r="B3" s="364">
        <f ca="1">ROUND(B2*10000/IF(C1="",'数据-汇总表'!E3,INDIRECT("'数据-取费表'!K"&amp;$K$1)),0)</f>
        <v>2279858</v>
      </c>
      <c r="C3" s="1836" t="s">
        <v>1655</v>
      </c>
      <c r="D3" s="1836"/>
      <c r="E3" s="1833"/>
      <c r="F3" s="1833"/>
      <c r="G3" s="1833"/>
      <c r="H3" s="1833"/>
      <c r="I3" s="1833"/>
      <c r="J3" s="1833"/>
      <c r="K3" s="1833"/>
    </row>
    <row r="4" s="1821" customFormat="1" ht="16.5" customHeight="1" spans="1:33">
      <c r="A4" s="1837" t="s">
        <v>1656</v>
      </c>
      <c r="B4" s="1838"/>
      <c r="C4" s="1839">
        <f>SUM(C8:K8)</f>
        <v>0</v>
      </c>
      <c r="D4" s="1838"/>
      <c r="E4" s="1838"/>
      <c r="F4" s="1838"/>
      <c r="G4" s="1838"/>
      <c r="H4" s="1838"/>
      <c r="I4" s="1838"/>
      <c r="J4" s="1838"/>
      <c r="K4" s="1840"/>
    </row>
    <row r="5" s="1822" customFormat="1" ht="15" spans="1:33">
      <c r="A5" s="1841" t="s">
        <v>1657</v>
      </c>
      <c r="B5" s="1842" t="s">
        <v>1658</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971</v>
      </c>
      <c r="B6" s="1644" t="s">
        <v>1659</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975</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1020</v>
      </c>
      <c r="B8" s="1851" t="s">
        <v>1660</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1661</v>
      </c>
      <c r="B9" s="1838"/>
      <c r="C9" s="1838"/>
      <c r="D9" s="1838"/>
      <c r="E9" s="1838"/>
      <c r="F9" s="1838"/>
      <c r="G9" s="1838"/>
      <c r="H9" s="1838"/>
      <c r="I9" s="1838"/>
      <c r="J9" s="1838"/>
      <c r="K9" s="1840"/>
    </row>
    <row r="10" s="1823" customFormat="1" ht="13.5" customHeight="1" spans="1:33">
      <c r="A10" s="1841" t="s">
        <v>1657</v>
      </c>
      <c r="B10" s="1855" t="s">
        <v>1658</v>
      </c>
      <c r="C10" s="1856" t="s">
        <v>1662</v>
      </c>
      <c r="D10" s="1857" t="s">
        <v>1663</v>
      </c>
      <c r="E10" s="1857" t="s">
        <v>1664</v>
      </c>
      <c r="F10" s="1857" t="s">
        <v>1665</v>
      </c>
      <c r="G10" s="1855"/>
      <c r="H10" s="1858"/>
      <c r="I10" s="1858"/>
      <c r="J10" s="1858"/>
      <c r="K10" s="1859"/>
    </row>
    <row r="11" s="1824" customFormat="1" ht="13.5" customHeight="1" spans="1:33">
      <c r="A11" s="1860" t="s">
        <v>1076</v>
      </c>
      <c r="B11" s="1861" t="s">
        <v>1666</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1079</v>
      </c>
      <c r="B12" s="1861" t="s">
        <v>1488</v>
      </c>
      <c r="C12" s="652">
        <f ca="1">ROUND(C11*F12,0)</f>
        <v>0</v>
      </c>
      <c r="D12" s="1863"/>
      <c r="E12" s="551"/>
      <c r="F12" s="1864">
        <f>'数据-取费表'!B33</f>
        <v>0.05</v>
      </c>
      <c r="G12" s="1855" t="s">
        <v>1667</v>
      </c>
      <c r="H12" s="1858"/>
      <c r="I12" s="1858"/>
      <c r="J12" s="1858"/>
      <c r="K12" s="1859"/>
    </row>
    <row r="13" s="1824" customFormat="1" ht="13.5" customHeight="1" spans="1:33">
      <c r="A13" s="1860" t="s">
        <v>1603</v>
      </c>
      <c r="B13" s="1861" t="s">
        <v>1491</v>
      </c>
      <c r="C13" s="652">
        <f ca="1">ROUND(IF(C1="",SUMIF('数据-取费表'!C:C,"住宅",'数据-取费表'!P:P)*F13,IF(INDIRECT("'数据-取费表'!c"&amp;$K$1)="住宅",INDIRECT("'数据-取费表'!P"&amp;$K$1)*F13,0)),0)</f>
        <v>0</v>
      </c>
      <c r="D13" s="1865"/>
      <c r="E13" s="551"/>
      <c r="F13" s="1864">
        <f>'数据-取费表'!B34</f>
        <v>0</v>
      </c>
      <c r="G13" s="1855" t="s">
        <v>1668</v>
      </c>
      <c r="H13" s="1858"/>
      <c r="I13" s="1858"/>
      <c r="J13" s="1858"/>
      <c r="K13" s="1859"/>
    </row>
    <row r="14" s="1825" customFormat="1" ht="13.5" customHeight="1" spans="1:33">
      <c r="A14" s="1860" t="s">
        <v>1669</v>
      </c>
      <c r="B14" s="1861" t="s">
        <v>1670</v>
      </c>
      <c r="C14" s="652">
        <f ca="1">ROUND(D14*E14*F11/10000,0)</f>
        <v>0</v>
      </c>
      <c r="D14" s="1865">
        <f ca="1">IF(C1="",'数据-汇总表'!E3,INDIRECT("'数据-取费表'!K"&amp;$K$1)+INDIRECT("'数据-取费表'!S"&amp;$K$1))</f>
        <v>50.74</v>
      </c>
      <c r="E14" s="652">
        <f>'数据-取费表'!B35</f>
        <v>200</v>
      </c>
      <c r="F14" s="1866"/>
      <c r="G14" s="1855" t="s">
        <v>1671</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1672</v>
      </c>
      <c r="B15" s="1861" t="s">
        <v>1503</v>
      </c>
      <c r="C15" s="1867">
        <f ca="1">ROUND(C11*F15,0)</f>
        <v>0</v>
      </c>
      <c r="D15" s="1868"/>
      <c r="E15" s="1867"/>
      <c r="F15" s="1864">
        <f>'数据-取费表'!B36</f>
        <v>0.02</v>
      </c>
      <c r="G15" s="1644" t="s">
        <v>1673</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994</v>
      </c>
      <c r="B16" s="1861" t="s">
        <v>1674</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998</v>
      </c>
      <c r="B17" s="1861" t="s">
        <v>1675</v>
      </c>
      <c r="C17" s="652">
        <f ca="1">ROUND(D17*E17/10000,0)</f>
        <v>0</v>
      </c>
      <c r="D17" s="1865">
        <f ca="1">D14</f>
        <v>50.74</v>
      </c>
      <c r="E17" s="652">
        <f>'数据-取费表'!B32</f>
        <v>0</v>
      </c>
      <c r="F17" s="1868"/>
      <c r="G17" s="1644" t="s">
        <v>1676</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1677</v>
      </c>
      <c r="B18" s="1861" t="s">
        <v>1678</v>
      </c>
      <c r="C18" s="652">
        <f ca="1">C19+C20-IF(C1="",'数据-取费表'!B29,IF(G18="已全部缴纳",C19+C20,H18))</f>
        <v>-10147</v>
      </c>
      <c r="D18" s="1865"/>
      <c r="E18" s="652"/>
      <c r="F18" s="1866"/>
      <c r="G18" s="1870"/>
      <c r="H18" s="1871"/>
      <c r="I18" s="1872" t="s">
        <v>1679</v>
      </c>
      <c r="J18" s="1629"/>
      <c r="K18" s="1630"/>
    </row>
    <row r="19" s="1824" customFormat="1" ht="13.5" customHeight="1" spans="1:33">
      <c r="A19" s="1860" t="s">
        <v>1076</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1079</v>
      </c>
      <c r="B20" s="1861" t="s">
        <v>1680</v>
      </c>
      <c r="C20" s="652">
        <f ca="1">ROUND(D20*E20/10000,0)</f>
        <v>1</v>
      </c>
      <c r="D20" s="1865">
        <f ca="1">IF(C1="",'数据-汇总表'!E6,IF(INDIRECT("'数据-取费表'!c"&amp;$K$1)="住宅",INDIRECT("'数据-取费表'!s"&amp;$K$1),INDIRECT("'数据-取费表'!k"&amp;$K$1)+INDIRECT("'数据-取费表'!s"&amp;$K$1)))</f>
        <v>50.74</v>
      </c>
      <c r="E20" s="652">
        <f>'数据-取费表'!B28</f>
        <v>200</v>
      </c>
      <c r="F20" s="1866"/>
      <c r="G20" s="1628"/>
      <c r="H20" s="1874"/>
      <c r="I20" s="1874"/>
      <c r="J20" s="1874"/>
      <c r="K20" s="1875"/>
    </row>
    <row r="21" s="1824" customFormat="1" ht="13.5" customHeight="1" spans="1:33">
      <c r="A21" s="1845" t="s">
        <v>971</v>
      </c>
      <c r="B21" s="1876" t="s">
        <v>1681</v>
      </c>
      <c r="C21" s="1877">
        <f ca="1">C16+C17+C18</f>
        <v>-10147</v>
      </c>
      <c r="D21" s="1878"/>
      <c r="E21" s="1879"/>
      <c r="F21" s="1879"/>
      <c r="G21" s="1644" t="s">
        <v>1682</v>
      </c>
      <c r="H21" s="1629"/>
      <c r="I21" s="1629"/>
      <c r="J21" s="1629"/>
      <c r="K21" s="1630"/>
    </row>
    <row r="22" s="1824" customFormat="1" ht="13.5" customHeight="1" spans="1:33">
      <c r="A22" s="1845" t="s">
        <v>975</v>
      </c>
      <c r="B22" s="1876" t="s">
        <v>1683</v>
      </c>
      <c r="C22" s="1877">
        <f ca="1">ROUND(C21*F22,0)</f>
        <v>-203</v>
      </c>
      <c r="D22" s="1879"/>
      <c r="E22" s="1879"/>
      <c r="F22" s="1880">
        <f>'数据-取费表'!B37</f>
        <v>0.02</v>
      </c>
      <c r="G22" s="1855" t="s">
        <v>1684</v>
      </c>
      <c r="H22" s="1858"/>
      <c r="I22" s="1858"/>
      <c r="J22" s="1858"/>
      <c r="K22" s="1859"/>
    </row>
    <row r="23" s="1824" customFormat="1" ht="13.5" customHeight="1" spans="1:33">
      <c r="A23" s="1845" t="s">
        <v>1020</v>
      </c>
      <c r="B23" s="1876" t="s">
        <v>1685</v>
      </c>
      <c r="C23" s="1877">
        <f ca="1">ROUND(C4*F23*F11,0)</f>
        <v>0</v>
      </c>
      <c r="D23" s="1879"/>
      <c r="E23" s="1879"/>
      <c r="F23" s="1880">
        <f>'数据-取费表'!B38</f>
        <v>0.02</v>
      </c>
      <c r="G23" s="1855" t="s">
        <v>1686</v>
      </c>
      <c r="H23" s="1858"/>
      <c r="I23" s="1858"/>
      <c r="J23" s="1858"/>
      <c r="K23" s="1859"/>
    </row>
    <row r="24" s="1824" customFormat="1" ht="13.5" customHeight="1" spans="1:33">
      <c r="A24" s="1845" t="s">
        <v>1023</v>
      </c>
      <c r="B24" s="1876" t="s">
        <v>1687</v>
      </c>
      <c r="C24" s="1881">
        <f>ROUND(F24/(1+'数据-取费表'!C42),4)</f>
        <v>0.029</v>
      </c>
      <c r="D24" s="1879" t="s">
        <v>1688</v>
      </c>
      <c r="E24" s="1879"/>
      <c r="F24" s="1880">
        <f>IF(项目基本情况!B8="出让",0,'数据-取费表'!B48+'数据-取费表'!B49)</f>
        <v>0.0305</v>
      </c>
      <c r="G24" s="1855" t="s">
        <v>1689</v>
      </c>
      <c r="H24" s="1882"/>
      <c r="I24" s="1882"/>
      <c r="J24" s="1882"/>
      <c r="K24" s="1883"/>
    </row>
    <row r="25" s="1824" customFormat="1" ht="13.5" customHeight="1" spans="1:33">
      <c r="A25" s="1845" t="s">
        <v>1027</v>
      </c>
      <c r="B25" s="1878" t="s">
        <v>1690</v>
      </c>
      <c r="C25" s="1884">
        <f ca="1">C27</f>
        <v>0</v>
      </c>
      <c r="D25" s="1881">
        <f ca="1">C26</f>
        <v>0</v>
      </c>
      <c r="E25" s="1885" t="s">
        <v>1688</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994</v>
      </c>
      <c r="B26" s="1887" t="s">
        <v>1691</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998</v>
      </c>
      <c r="B27" s="1887" t="s">
        <v>1692</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1028</v>
      </c>
      <c r="B28" s="1894" t="s">
        <v>1693</v>
      </c>
      <c r="C28" s="1895">
        <f ca="1">C30</f>
        <v>-1553</v>
      </c>
      <c r="D28" s="1881">
        <f ca="1">C29</f>
        <v>0</v>
      </c>
      <c r="E28" s="1885" t="s">
        <v>1688</v>
      </c>
      <c r="F28" s="938">
        <f ca="1">IF(C1="",'数据-取费表'!Q16,INDIRECT("'数据-取费表'!q"&amp;$K$1))</f>
        <v>0.15</v>
      </c>
      <c r="G28" s="1896"/>
      <c r="H28" s="1882"/>
      <c r="I28" s="1882"/>
      <c r="J28" s="1882"/>
      <c r="K28" s="1883"/>
    </row>
    <row r="29" s="1828" customFormat="1" ht="13.5" customHeight="1" spans="1:33">
      <c r="A29" s="1860" t="s">
        <v>994</v>
      </c>
      <c r="B29" s="1897" t="s">
        <v>1694</v>
      </c>
      <c r="C29" s="1889">
        <f ca="1">ROUND((1+C24)*F28*'数据-取费表'!B24/'数据-取费表'!B20,4)</f>
        <v>0</v>
      </c>
      <c r="D29" s="1889"/>
      <c r="E29" s="1890"/>
      <c r="F29" s="1898"/>
      <c r="G29" s="1644" t="s">
        <v>1695</v>
      </c>
      <c r="H29" s="1629"/>
      <c r="I29" s="1629"/>
      <c r="J29" s="1629"/>
      <c r="K29" s="1630"/>
    </row>
    <row r="30" s="1828" customFormat="1" ht="13.5" customHeight="1" spans="1:33">
      <c r="A30" s="1860" t="s">
        <v>998</v>
      </c>
      <c r="B30" s="1897" t="s">
        <v>1696</v>
      </c>
      <c r="C30" s="1899">
        <f ca="1">ROUND((C21+C22+C23)*F28,0)</f>
        <v>-1553</v>
      </c>
      <c r="D30" s="1889"/>
      <c r="E30" s="1890"/>
      <c r="F30" s="1898"/>
      <c r="G30" s="1644"/>
      <c r="H30" s="1629"/>
      <c r="I30" s="1629"/>
      <c r="J30" s="1629"/>
      <c r="K30" s="1630"/>
    </row>
    <row r="31" s="1824" customFormat="1" ht="13.5" customHeight="1" spans="1:33">
      <c r="A31" s="1900" t="s">
        <v>1548</v>
      </c>
      <c r="B31" s="1901" t="s">
        <v>1697</v>
      </c>
      <c r="C31" s="1902">
        <f>ROUND(C4*F31/(1+'数据-取费表'!C42),0)</f>
        <v>0</v>
      </c>
      <c r="D31" s="1903"/>
      <c r="E31" s="1904"/>
      <c r="F31" s="1905">
        <f>'数据-取费表'!B41</f>
        <v>0.056</v>
      </c>
      <c r="G31" s="1906" t="s">
        <v>1698</v>
      </c>
      <c r="H31" s="1907"/>
      <c r="I31" s="1907"/>
      <c r="J31" s="1907"/>
      <c r="K31" s="1908"/>
    </row>
    <row r="32" s="1823" customFormat="1" ht="13.5" customHeight="1" spans="1:33">
      <c r="A32" s="941" t="s">
        <v>1699</v>
      </c>
      <c r="B32" s="1909"/>
      <c r="C32" s="1910">
        <f ca="1">ROUND((C4-C21-C22-C23-C25-C28-C31)/(1+C24+D25+D28),0)</f>
        <v>11568</v>
      </c>
      <c r="D32" s="1909"/>
      <c r="E32" s="1909"/>
      <c r="F32" s="1909"/>
      <c r="G32" s="1911" t="s">
        <v>1700</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c r="D1" s="1548" t="s">
        <v>124</v>
      </c>
      <c r="E1" s="1549" t="s">
        <v>1452</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556" t="e">
        <f ca="1">C40+J29+L46</f>
        <v>#DIV/0!</v>
      </c>
      <c r="C2" s="1557" t="s">
        <v>1454</v>
      </c>
      <c r="D2" s="1557"/>
      <c r="E2" s="1558"/>
      <c r="F2" s="1559"/>
      <c r="G2" s="1560"/>
      <c r="H2" s="1561"/>
      <c r="I2" s="1561"/>
      <c r="J2" s="1561"/>
      <c r="K2" s="1562"/>
      <c r="L2" s="1561"/>
      <c r="M2" s="1561"/>
    </row>
    <row r="3" ht="18" customHeight="1" spans="1:37">
      <c r="A3" s="1563" t="s">
        <v>1456</v>
      </c>
      <c r="B3" s="1564">
        <f ca="1">IF(ISERROR(B2*10000/F43),0,ROUND(B2*10000/F43,0))</f>
        <v>0</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0</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ROUND(F6*F8*F7*(1-F9)/10000,0)</f>
        <v>0</v>
      </c>
      <c r="D6" s="1581" t="s">
        <v>1701</v>
      </c>
      <c r="E6" s="1582" t="s">
        <v>1468</v>
      </c>
      <c r="F6" s="1583">
        <f ca="1">INDIRECT("'数据-取费表'!u"&amp;$G$1)</f>
        <v>0</v>
      </c>
      <c r="G6" s="1544"/>
      <c r="H6" s="1578" t="s">
        <v>971</v>
      </c>
      <c r="I6" s="1579" t="s">
        <v>1466</v>
      </c>
      <c r="J6" s="1584">
        <f ca="1">ROUND(M6*M8*M7*(1-M9)/10000,0)</f>
        <v>0</v>
      </c>
      <c r="K6" s="1581" t="s">
        <v>1702</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0</v>
      </c>
      <c r="G7" s="1544"/>
      <c r="H7" s="1590"/>
      <c r="I7" s="1586"/>
      <c r="J7" s="1591"/>
      <c r="K7" s="1588"/>
      <c r="L7" s="1582" t="s">
        <v>1470</v>
      </c>
      <c r="M7" s="1583">
        <f ca="1">F7</f>
        <v>0</v>
      </c>
    </row>
    <row r="8" ht="18" customHeight="1" spans="1:37">
      <c r="A8" s="1590"/>
      <c r="B8" s="1586"/>
      <c r="C8" s="1591"/>
      <c r="D8" s="1588"/>
      <c r="E8" s="1582" t="s">
        <v>1471</v>
      </c>
      <c r="F8" s="1583">
        <f ca="1">INDIRECT("'数据-取费表'!ai"&amp;$G$1)</f>
        <v>0</v>
      </c>
      <c r="G8" s="1544"/>
      <c r="H8" s="1590"/>
      <c r="I8" s="1586"/>
      <c r="J8" s="1591"/>
      <c r="K8" s="1588"/>
      <c r="L8" s="1582" t="s">
        <v>1471</v>
      </c>
      <c r="M8" s="1583">
        <f ca="1">INDIRECT("'数据-取费表'!ai"&amp;$G$1)</f>
        <v>0</v>
      </c>
    </row>
    <row r="9" ht="18" customHeight="1" spans="1:37">
      <c r="A9" s="1590"/>
      <c r="B9" s="1592"/>
      <c r="C9" s="1591"/>
      <c r="D9" s="1588"/>
      <c r="E9" s="1582" t="s">
        <v>1472</v>
      </c>
      <c r="F9" s="1593">
        <f ca="1">INDIRECT("'数据-取费表'!w"&amp;$G$1)</f>
        <v>0</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0</v>
      </c>
      <c r="D10" s="1597" t="s">
        <v>1474</v>
      </c>
      <c r="E10" s="1594" t="s">
        <v>1475</v>
      </c>
      <c r="F10" s="1598"/>
      <c r="G10" s="1544"/>
      <c r="H10" s="1578" t="s">
        <v>975</v>
      </c>
      <c r="I10" s="1596" t="s">
        <v>1473</v>
      </c>
      <c r="J10" s="1584">
        <f ca="1">ROUND(IF(M10="押一",J6/12*M11,IF(M10="押二",J6/12*2*M11,IF(M10="押三",J6/12*3*M11,J11*M11))),0)</f>
        <v>0</v>
      </c>
      <c r="K10" s="1597" t="s">
        <v>1474</v>
      </c>
      <c r="L10" s="1594" t="s">
        <v>1475</v>
      </c>
      <c r="M10" s="1598"/>
    </row>
    <row r="11" ht="18" customHeight="1" spans="1:37">
      <c r="A11" s="1599"/>
      <c r="B11" s="1600" t="s">
        <v>1703</v>
      </c>
      <c r="C11" s="1601"/>
      <c r="D11" s="1602"/>
      <c r="E11" s="1594" t="s">
        <v>1479</v>
      </c>
      <c r="F11" s="1595">
        <f ca="1">'数据-取费表'!B39</f>
        <v>0.015</v>
      </c>
      <c r="G11" s="1544"/>
      <c r="H11" s="1603"/>
      <c r="I11" s="1600" t="s">
        <v>1703</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0</v>
      </c>
      <c r="D13" s="1617" t="s">
        <v>1483</v>
      </c>
      <c r="E13" s="1617" t="s">
        <v>1484</v>
      </c>
      <c r="F13" s="1618">
        <f ca="1">INDIRECT("'数据-取费表'!y"&amp;$G$1)</f>
        <v>0</v>
      </c>
      <c r="G13" s="1544"/>
      <c r="H13" s="1614">
        <v>2</v>
      </c>
      <c r="I13" s="1615" t="s">
        <v>1482</v>
      </c>
      <c r="J13" s="1619">
        <f ca="1">ROUND(J14*J15,0)</f>
        <v>0</v>
      </c>
      <c r="K13" s="1620" t="s">
        <v>1483</v>
      </c>
      <c r="L13" s="1621"/>
      <c r="M13" s="1622"/>
    </row>
    <row r="14" ht="18" customHeight="1" spans="1:37">
      <c r="A14" s="1623" t="s">
        <v>994</v>
      </c>
      <c r="B14" s="1582" t="s">
        <v>1485</v>
      </c>
      <c r="C14" s="1624">
        <f ca="1">INDIRECT("'数据-取费表'!m"&amp;$G$1)+INDIRECT("'数据-取费表'!t"&amp;$G$1)</f>
        <v>0</v>
      </c>
      <c r="D14" s="1625" t="s">
        <v>1486</v>
      </c>
      <c r="E14" s="1626"/>
      <c r="F14" s="1627"/>
      <c r="G14" s="1544"/>
      <c r="H14" s="1623" t="s">
        <v>971</v>
      </c>
      <c r="I14" s="1582" t="s">
        <v>1487</v>
      </c>
      <c r="J14" s="652">
        <f ca="1">C29</f>
        <v>0</v>
      </c>
      <c r="K14" s="1628"/>
      <c r="L14" s="1629"/>
      <c r="M14" s="1630"/>
    </row>
    <row r="15" s="1543" customFormat="1" ht="18" customHeight="1" spans="1:37">
      <c r="A15" s="1623" t="s">
        <v>998</v>
      </c>
      <c r="B15" s="1582" t="s">
        <v>1488</v>
      </c>
      <c r="C15" s="652">
        <f ca="1">ROUND(C14*F15,0)</f>
        <v>0</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ROUND(INDIRECT("'数据-取费表'!m"&amp;$G$1)*F16,0)</f>
        <v>0</v>
      </c>
      <c r="D16" s="1582" t="s">
        <v>1489</v>
      </c>
      <c r="E16" s="1582" t="s">
        <v>1490</v>
      </c>
      <c r="F16" s="1638">
        <f ca="1">IF(INDIRECT("'数据-取费表'!c"&amp;$G$1)="住宅",'数据-取费表'!B34,0)</f>
        <v>0</v>
      </c>
      <c r="G16" s="1544"/>
      <c r="H16" s="1614" t="s">
        <v>1492</v>
      </c>
      <c r="I16" s="1615" t="s">
        <v>1493</v>
      </c>
      <c r="J16" s="1616">
        <f ca="1">ROUND(J17+J22+J23+J24,0)</f>
        <v>0</v>
      </c>
      <c r="K16" s="1620" t="s">
        <v>1494</v>
      </c>
      <c r="L16" s="1639"/>
      <c r="M16" s="1577"/>
    </row>
    <row r="17" s="1543" customFormat="1" ht="18" customHeight="1" spans="1:37">
      <c r="A17" s="1623" t="s">
        <v>1495</v>
      </c>
      <c r="B17" s="1582" t="s">
        <v>1496</v>
      </c>
      <c r="C17" s="652">
        <f ca="1">ROUND(F17*(F43+INDIRECT("'数据-取费表'!S"&amp;$G$1))/10000,0)</f>
        <v>0</v>
      </c>
      <c r="D17" s="1582" t="s">
        <v>1497</v>
      </c>
      <c r="E17" s="1582" t="s">
        <v>1498</v>
      </c>
      <c r="F17" s="1640">
        <f>'数据-取费表'!B35</f>
        <v>200</v>
      </c>
      <c r="G17" s="1633"/>
      <c r="H17" s="1623" t="s">
        <v>971</v>
      </c>
      <c r="I17" s="1582" t="s">
        <v>1499</v>
      </c>
      <c r="J17" s="1641">
        <f ca="1">ROUND(IF(AND(项目基本情况!B11="自然人",项目基本情况!B10="北京市"),J6*M17/(1+'数据-取费表'!C42),J18+J19+J20),2)</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0</v>
      </c>
      <c r="D18" s="1582" t="s">
        <v>1489</v>
      </c>
      <c r="E18" s="1582" t="s">
        <v>1490</v>
      </c>
      <c r="F18" s="1638">
        <f>'数据-取费表'!B36</f>
        <v>0.02</v>
      </c>
      <c r="G18" s="1633"/>
      <c r="H18" s="1623" t="s">
        <v>994</v>
      </c>
      <c r="I18" s="1582" t="s">
        <v>1504</v>
      </c>
      <c r="J18" s="652">
        <f ca="1">ROUND(J6*M18/(1+'数据-取费表'!C42),2)</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0</v>
      </c>
      <c r="D19" s="1644" t="s">
        <v>1507</v>
      </c>
      <c r="E19" s="654"/>
      <c r="F19" s="1640"/>
      <c r="G19" s="1544"/>
      <c r="H19" s="1623" t="s">
        <v>998</v>
      </c>
      <c r="I19" s="1582" t="s">
        <v>1508</v>
      </c>
      <c r="J19" s="652">
        <f ca="1">IF(K19="按租金收入计税",ROUND(J6*M19/(1+'数据-取费表'!C42),2),ROUND(C29*M19*0.7,2))</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0</v>
      </c>
      <c r="D20" s="1646" t="s">
        <v>1511</v>
      </c>
      <c r="E20" s="1582" t="s">
        <v>1490</v>
      </c>
      <c r="F20" s="1638">
        <f>'数据-取费表'!B37</f>
        <v>0.02</v>
      </c>
      <c r="G20" s="1633"/>
      <c r="H20" s="1623" t="s">
        <v>1001</v>
      </c>
      <c r="I20" s="1581" t="s">
        <v>1512</v>
      </c>
      <c r="J20" s="1647">
        <f ca="1">ROUND(M20*M21/10000,2)</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ROUND(J14*M22,2)</f>
        <v>0</v>
      </c>
      <c r="K22" s="1642" t="s">
        <v>1521</v>
      </c>
      <c r="L22" s="1582" t="s">
        <v>1490</v>
      </c>
      <c r="M22" s="1654">
        <f ca="1">INDIRECT("'数据-取费表'!Ak"&amp;$G$1)</f>
        <v>0</v>
      </c>
    </row>
    <row r="23" s="1543" customFormat="1" ht="18" customHeight="1" spans="1:37">
      <c r="A23" s="1623" t="s">
        <v>994</v>
      </c>
      <c r="B23" s="1582" t="s">
        <v>1522</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ROUND(J13*M23,2)</f>
        <v>0</v>
      </c>
      <c r="K23" s="1642" t="s">
        <v>1525</v>
      </c>
      <c r="L23" s="1582" t="s">
        <v>1490</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ROUND(J5*M24,2)</f>
        <v>0</v>
      </c>
      <c r="K24" s="1658" t="s">
        <v>1528</v>
      </c>
      <c r="L24" s="1610" t="s">
        <v>1490</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1027</v>
      </c>
      <c r="B25" s="1582" t="s">
        <v>1529</v>
      </c>
      <c r="C25" s="652"/>
      <c r="D25" s="1644" t="s">
        <v>1530</v>
      </c>
      <c r="E25" s="654"/>
      <c r="F25" s="1640"/>
      <c r="G25" s="1544"/>
      <c r="H25" s="1614" t="s">
        <v>1531</v>
      </c>
      <c r="I25" s="1659" t="s">
        <v>1532</v>
      </c>
      <c r="J25" s="1616">
        <f ca="1">J5-J16</f>
        <v>0</v>
      </c>
      <c r="K25" s="1660" t="s">
        <v>1533</v>
      </c>
      <c r="L25" s="1661"/>
      <c r="M25" s="1662"/>
    </row>
    <row r="26" spans="1:37">
      <c r="A26" s="1623" t="s">
        <v>994</v>
      </c>
      <c r="B26" s="1582" t="s">
        <v>1534</v>
      </c>
      <c r="C26" s="652">
        <f ca="1">ROUND((C19+C20)*F26,0)</f>
        <v>0</v>
      </c>
      <c r="D26" s="1646" t="s">
        <v>1535</v>
      </c>
      <c r="E26" s="1594" t="s">
        <v>1536</v>
      </c>
      <c r="F26" s="1593">
        <f ca="1">INDIRECT("'数据-取费表'!q"&amp;$G$1)</f>
        <v>0</v>
      </c>
      <c r="G26" s="1544"/>
      <c r="H26" s="1572" t="s">
        <v>1537</v>
      </c>
      <c r="I26" s="1573" t="s">
        <v>1538</v>
      </c>
      <c r="J26" s="1584">
        <f ca="1">IF(J5&lt;&gt;0,ROUND(J25*(1-((1+M28)/(1+M26))^M27)/(M26-M28),0),0)</f>
        <v>0</v>
      </c>
      <c r="K26" s="1648" t="s">
        <v>1539</v>
      </c>
      <c r="L26" s="1582" t="s">
        <v>1540</v>
      </c>
      <c r="M26" s="1593">
        <f ca="1">INDIRECT("'数据-取费表'!I"&amp;$G$1)</f>
        <v>0</v>
      </c>
    </row>
    <row r="27" ht="18" customHeight="1" spans="1:37">
      <c r="A27" s="1623" t="s">
        <v>998</v>
      </c>
      <c r="B27" s="1582" t="s">
        <v>1541</v>
      </c>
      <c r="C27" s="652">
        <f ca="1">ROUND(F21*F26,4)</f>
        <v>0</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0</v>
      </c>
      <c r="D29" s="1658"/>
      <c r="E29" s="1610"/>
      <c r="F29" s="1667"/>
      <c r="G29" s="1633"/>
      <c r="H29" s="1668" t="s">
        <v>1550</v>
      </c>
      <c r="I29" s="1669" t="s">
        <v>1551</v>
      </c>
      <c r="J29" s="1670">
        <f ca="1">ROUND(J26/(1+F40)^F41,0)</f>
        <v>0</v>
      </c>
      <c r="K29" s="1671" t="s">
        <v>1552</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0</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ROUND(IF(AND(项目基本情况!B11="自然人",项目基本情况!B10="北京市"),C6*F31/(1+'数据-取费表'!C42),C32+C33+C34),2)</f>
        <v>0</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IF(项目基本情况!B11="自然人","——",ROUND(C6*F32/(1+'数据-取费表'!C42),2))</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IF(项目基本情况!B11="自然人","——",IF(D33="按租金收入计税",ROUND(C6*F33/(1+'数据-取费表'!C42),2),IF(D33="按房产原值计税",ROUND(C29*F33*0.7,2),INDIRECT("'数据-取费表'!Aj"&amp;$G$1))))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IF(项目基本情况!B11="自然人","——",ROUND(F34*F35/10000,2))</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ROUND(C29*F36,2)</f>
        <v>0</v>
      </c>
      <c r="D36" s="1642" t="s">
        <v>1554</v>
      </c>
      <c r="E36" s="1582" t="s">
        <v>1490</v>
      </c>
      <c r="F36" s="1654">
        <f ca="1">INDIRECT("'数据-取费表'!Ak"&amp;$G$1)</f>
        <v>0</v>
      </c>
      <c r="G36" s="1544"/>
      <c r="H36" s="1680"/>
      <c r="I36" s="1675"/>
      <c r="J36" s="1676"/>
      <c r="K36" s="1687"/>
      <c r="L36" s="1680"/>
      <c r="M36" s="1680"/>
    </row>
    <row r="37" ht="18" customHeight="1" spans="1:18">
      <c r="A37" s="1623" t="s">
        <v>1020</v>
      </c>
      <c r="B37" s="1582" t="s">
        <v>1524</v>
      </c>
      <c r="C37" s="652">
        <f ca="1">ROUND(C13*F37,2)</f>
        <v>0</v>
      </c>
      <c r="D37" s="1642" t="s">
        <v>1525</v>
      </c>
      <c r="E37" s="1582" t="s">
        <v>1490</v>
      </c>
      <c r="F37" s="1655">
        <f ca="1">INDIRECT("'数据-取费表'!Al"&amp;$G$1)</f>
        <v>0</v>
      </c>
      <c r="G37" s="1544"/>
      <c r="H37" s="1680"/>
      <c r="I37" s="1675"/>
      <c r="J37" s="1676"/>
      <c r="K37" s="1687"/>
      <c r="L37" s="1680"/>
      <c r="M37" s="1680"/>
    </row>
    <row r="38" ht="18" customHeight="1" spans="1:18">
      <c r="A38" s="1634" t="s">
        <v>1023</v>
      </c>
      <c r="B38" s="1610" t="s">
        <v>1510</v>
      </c>
      <c r="C38" s="1657">
        <f ca="1">ROUND(C5*F38,2)</f>
        <v>0</v>
      </c>
      <c r="D38" s="1658" t="s">
        <v>1528</v>
      </c>
      <c r="E38" s="1610" t="s">
        <v>1490</v>
      </c>
      <c r="F38" s="1611">
        <f ca="1">INDIRECT("'数据-取费表'!Am"&amp;$G$1)</f>
        <v>0</v>
      </c>
      <c r="G38" s="1544"/>
      <c r="H38" s="1680"/>
      <c r="I38" s="1675"/>
      <c r="J38" s="1676"/>
      <c r="K38" s="1677"/>
      <c r="L38" s="1680"/>
      <c r="M38" s="1680"/>
    </row>
    <row r="39" ht="24.6" customHeight="1" spans="1:18">
      <c r="A39" s="1614" t="s">
        <v>1531</v>
      </c>
      <c r="B39" s="1659" t="s">
        <v>1532</v>
      </c>
      <c r="C39" s="1616">
        <f ca="1">C5-C30</f>
        <v>0</v>
      </c>
      <c r="D39" s="1660" t="s">
        <v>1533</v>
      </c>
      <c r="E39" s="1661"/>
      <c r="F39" s="1662"/>
      <c r="G39" s="1544"/>
      <c r="H39" s="1680"/>
      <c r="I39" s="1675"/>
      <c r="J39" s="1676"/>
      <c r="K39" s="1677"/>
      <c r="L39" s="1680"/>
      <c r="M39" s="1680"/>
    </row>
    <row r="40" ht="18" customHeight="1" spans="1:18">
      <c r="A40" s="1572" t="s">
        <v>1537</v>
      </c>
      <c r="B40" s="1573" t="s">
        <v>1555</v>
      </c>
      <c r="C40" s="1584" t="e">
        <f ca="1">ROUND(C39*(1-((1+F42)/(1+F40))^F41)/(F40-F42),0)</f>
        <v>#DIV/0!</v>
      </c>
      <c r="D40" s="1648" t="s">
        <v>1539</v>
      </c>
      <c r="E40" s="1582" t="s">
        <v>1540</v>
      </c>
      <c r="F40" s="1593">
        <f ca="1">INDIRECT("'数据-取费表'!I"&amp;$G$1)</f>
        <v>0</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1547</v>
      </c>
      <c r="F42" s="1593">
        <f ca="1">INDIRECT("'数据-取费表'!v"&amp;$G$1)</f>
        <v>0</v>
      </c>
      <c r="G42" s="1544"/>
      <c r="H42" s="641"/>
      <c r="I42" s="1675"/>
      <c r="J42" s="1676"/>
      <c r="K42" s="1687"/>
      <c r="L42" s="641"/>
      <c r="M42" s="641"/>
    </row>
    <row r="43" ht="18" customHeight="1" spans="1:18">
      <c r="A43" s="1668" t="s">
        <v>1550</v>
      </c>
      <c r="B43" s="1669" t="s">
        <v>1556</v>
      </c>
      <c r="C43" s="1670" t="e">
        <f ca="1">ROUND(C40*10000/F43,0)</f>
        <v>#DIV/0!</v>
      </c>
      <c r="D43" s="1671" t="s">
        <v>1557</v>
      </c>
      <c r="E43" s="1672" t="s">
        <v>1558</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1561</v>
      </c>
      <c r="P45" s="1688"/>
      <c r="Q45" s="1688"/>
      <c r="R45" s="1688"/>
    </row>
    <row r="46" s="1544" customFormat="1" ht="13.5" spans="1:18">
      <c r="A46" s="1693" t="s">
        <v>1562</v>
      </c>
      <c r="C46" s="1694" t="e">
        <f ca="1">C68-C40</f>
        <v>#DIV/0!</v>
      </c>
      <c r="D46" s="1695" t="str">
        <f>C2</f>
        <v>万元</v>
      </c>
      <c r="E46" s="1689"/>
      <c r="F46" s="1689"/>
      <c r="I46" s="1696" t="s">
        <v>1563</v>
      </c>
      <c r="J46" s="1697"/>
      <c r="K46" s="1698"/>
      <c r="L46" s="1699" t="e">
        <f ca="1">IF(M47="住宅",0,IF(L48&gt;J51,L60,J60))</f>
        <v>#DIV/0!</v>
      </c>
      <c r="O46" s="1700" t="s">
        <v>1564</v>
      </c>
      <c r="P46" s="1701" t="s">
        <v>1565</v>
      </c>
      <c r="Q46" s="1702" t="s">
        <v>1566</v>
      </c>
      <c r="R46" s="1702" t="s">
        <v>1567</v>
      </c>
    </row>
    <row r="47" s="1544" customFormat="1" ht="13.5" spans="1:18">
      <c r="A47" s="1703" t="s">
        <v>1459</v>
      </c>
      <c r="B47" s="1704" t="s">
        <v>1460</v>
      </c>
      <c r="C47" s="1705" t="s">
        <v>1461</v>
      </c>
      <c r="D47" s="1704" t="s">
        <v>1462</v>
      </c>
      <c r="E47" s="1706" t="s">
        <v>1463</v>
      </c>
      <c r="F47" s="645"/>
      <c r="G47" s="1707"/>
      <c r="I47" s="1708" t="s">
        <v>1568</v>
      </c>
      <c r="J47" s="1709"/>
      <c r="K47" s="1710" t="s">
        <v>1569</v>
      </c>
      <c r="L47" s="1711">
        <f ca="1">INDIRECT("'数据-取费表'!d"&amp;$G$1)</f>
        <v>0</v>
      </c>
      <c r="M47" s="1712" t="str">
        <f>IF(ISNUMBER(FIND("住宅",C1)),"住宅","非住宅")</f>
        <v>非住宅</v>
      </c>
      <c r="O47" s="1713" t="s">
        <v>1076</v>
      </c>
      <c r="P47" s="1714" t="s">
        <v>1570</v>
      </c>
      <c r="Q47" s="1715" t="e">
        <f ca="1">C40+J29</f>
        <v>#DIV/0!</v>
      </c>
      <c r="R47" s="1715" t="s">
        <v>1571</v>
      </c>
    </row>
    <row r="48" s="1544" customFormat="1" ht="26.25" spans="1:18">
      <c r="A48" s="1716" t="s">
        <v>1572</v>
      </c>
      <c r="B48" s="1573" t="s">
        <v>1464</v>
      </c>
      <c r="C48" s="653">
        <f ca="1">C49+C53+C55</f>
        <v>0</v>
      </c>
      <c r="D48" s="1717"/>
      <c r="E48" s="1718"/>
      <c r="F48" s="1719"/>
      <c r="G48" s="1707"/>
      <c r="H48" s="1720"/>
      <c r="I48" s="1721" t="s">
        <v>1573</v>
      </c>
      <c r="J48" s="1722"/>
      <c r="K48" s="1723" t="s">
        <v>1575</v>
      </c>
      <c r="L48" s="1724">
        <f ca="1">INDIRECT("'数据-取费表'!f"&amp;$G$1)</f>
        <v>0</v>
      </c>
      <c r="O48" s="1713" t="s">
        <v>1079</v>
      </c>
      <c r="P48" s="1714" t="s">
        <v>1576</v>
      </c>
      <c r="Q48" s="1715" t="e">
        <f ca="1">J60</f>
        <v>#DIV/0!</v>
      </c>
      <c r="R48" s="1715" t="s">
        <v>1577</v>
      </c>
    </row>
    <row r="49" s="1544" customFormat="1" ht="13.5" spans="1:18">
      <c r="A49" s="1725" t="s">
        <v>1578</v>
      </c>
      <c r="B49" s="1726" t="s">
        <v>1579</v>
      </c>
      <c r="C49" s="1727">
        <f ca="1">ROUND(F49*F51*F50*(1-F52)/10000,0)</f>
        <v>0</v>
      </c>
      <c r="D49" s="1728" t="s">
        <v>1702</v>
      </c>
      <c r="E49" s="1729" t="s">
        <v>1581</v>
      </c>
      <c r="F49" s="1730"/>
      <c r="H49" s="1720"/>
      <c r="I49" s="1721" t="s">
        <v>1582</v>
      </c>
      <c r="J49" s="1731"/>
      <c r="K49" s="1723" t="s">
        <v>1583</v>
      </c>
      <c r="L49" s="1732"/>
      <c r="O49" s="1733" t="s">
        <v>1584</v>
      </c>
      <c r="P49" s="1714" t="s">
        <v>1585</v>
      </c>
      <c r="Q49" s="1715">
        <f ca="1">C29</f>
        <v>0</v>
      </c>
      <c r="R49" s="1715" t="s">
        <v>1571</v>
      </c>
    </row>
    <row r="50" s="1544" customFormat="1" ht="13.5" spans="1:18">
      <c r="A50" s="1734"/>
      <c r="B50" s="581"/>
      <c r="C50" s="1735"/>
      <c r="D50" s="1736"/>
      <c r="E50" s="1737" t="s">
        <v>1470</v>
      </c>
      <c r="F50" s="1738">
        <f ca="1">F7</f>
        <v>0</v>
      </c>
      <c r="H50" s="1720"/>
      <c r="I50" s="1721" t="s">
        <v>1586</v>
      </c>
      <c r="J50" s="1739">
        <f>SUMPRODUCT((I63:I65=J47)*(J62:L62=J48)*(J63:L65))</f>
        <v>0</v>
      </c>
      <c r="K50" s="1723" t="s">
        <v>1587</v>
      </c>
      <c r="L50" s="1732"/>
      <c r="M50" s="1740"/>
      <c r="O50" s="1733" t="s">
        <v>1588</v>
      </c>
      <c r="P50" s="1714" t="s">
        <v>1589</v>
      </c>
      <c r="Q50" s="1741" t="e">
        <f ca="1">J58</f>
        <v>#DIV/0!</v>
      </c>
      <c r="R50" s="1715"/>
    </row>
    <row r="51" s="1544" customFormat="1" ht="13.5" spans="1:18">
      <c r="A51" s="1742"/>
      <c r="B51" s="581"/>
      <c r="C51" s="1743"/>
      <c r="D51" s="1736"/>
      <c r="E51" s="1744" t="s">
        <v>1471</v>
      </c>
      <c r="F51" s="1583">
        <f ca="1">F8</f>
        <v>0</v>
      </c>
      <c r="I51" s="1745" t="s">
        <v>1590</v>
      </c>
      <c r="J51" s="1724">
        <f>IF(J49="",J50,J49+J50-YEAR('数据-取费表'!B2))</f>
        <v>0</v>
      </c>
      <c r="K51" s="1746" t="s">
        <v>1591</v>
      </c>
      <c r="L51" s="1747">
        <f ca="1">ROUND(-PV(INDIRECT("'数据-取费表'!h"&amp;$G$1),J51,(C39-C13*C76),0),0)</f>
        <v>0</v>
      </c>
      <c r="M51" s="1748"/>
      <c r="O51" s="1733" t="s">
        <v>1592</v>
      </c>
      <c r="P51" s="1714" t="s">
        <v>1593</v>
      </c>
      <c r="Q51" s="1741">
        <f>J52</f>
        <v>0</v>
      </c>
      <c r="R51" s="1715"/>
    </row>
    <row r="52" s="1544" customFormat="1" ht="13.5" spans="1:18">
      <c r="A52" s="1742"/>
      <c r="B52" s="581"/>
      <c r="C52" s="1743"/>
      <c r="D52" s="1736"/>
      <c r="E52" s="1744" t="s">
        <v>1472</v>
      </c>
      <c r="F52" s="1749"/>
      <c r="I52" s="1750" t="s">
        <v>1594</v>
      </c>
      <c r="J52" s="1751"/>
      <c r="K52" s="1750" t="s">
        <v>1595</v>
      </c>
      <c r="L52" s="1751"/>
      <c r="O52" s="1733" t="s">
        <v>1596</v>
      </c>
      <c r="P52" s="1714" t="s">
        <v>1597</v>
      </c>
      <c r="Q52" s="1715">
        <f ca="1">J53</f>
        <v>0</v>
      </c>
      <c r="R52" s="1715" t="s">
        <v>1598</v>
      </c>
    </row>
    <row r="53" s="1544" customFormat="1" ht="24.75" spans="1:18">
      <c r="A53" s="1752" t="s">
        <v>1599</v>
      </c>
      <c r="B53" s="1753" t="s">
        <v>1473</v>
      </c>
      <c r="C53" s="651">
        <f ca="1">ROUND(IF(F53="押一",C49/12*F11,IF(F53="押二",C49/12*2*F11,IF(F53="押三",C49/12*3*F11,C54*F11))),0)</f>
        <v>0</v>
      </c>
      <c r="D53" s="1597" t="s">
        <v>1474</v>
      </c>
      <c r="E53" s="1594" t="s">
        <v>1475</v>
      </c>
      <c r="F53" s="1598"/>
      <c r="I53" s="1754" t="s">
        <v>1601</v>
      </c>
      <c r="J53" s="1755">
        <f ca="1">IF(M47="住宅",IF(D1="——",MAX(J51,L48),MAX(J51,L48-'数据-取费表'!B24)),IF(D1="——",MIN(J51,L48),MIN(J51,L48-'数据-取费表'!B24)))</f>
        <v>0</v>
      </c>
      <c r="K53" s="1756" t="s">
        <v>1602</v>
      </c>
      <c r="L53" s="1757"/>
      <c r="O53" s="1713" t="s">
        <v>1603</v>
      </c>
      <c r="P53" s="1714" t="s">
        <v>1604</v>
      </c>
      <c r="Q53" s="1715" t="e">
        <f ca="1">Q47+Q48</f>
        <v>#DIV/0!</v>
      </c>
      <c r="R53" s="1715" t="s">
        <v>1605</v>
      </c>
    </row>
    <row r="54" s="1544" customFormat="1" ht="13.5" spans="1:18">
      <c r="A54" s="1758"/>
      <c r="B54" s="1600" t="s">
        <v>1703</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t="e">
        <f ca="1">ROUND(IF(J47="钢混",J57/J50,1-(1-2%)*(J50-J57)/J50),3)</f>
        <v>#DIV/0!</v>
      </c>
      <c r="K55" s="1766" t="s">
        <v>1608</v>
      </c>
      <c r="L55" s="1767"/>
      <c r="O55" s="1700" t="s">
        <v>1564</v>
      </c>
      <c r="P55" s="1701" t="s">
        <v>1565</v>
      </c>
      <c r="Q55" s="1702" t="s">
        <v>1566</v>
      </c>
      <c r="R55" s="1702" t="s">
        <v>1567</v>
      </c>
    </row>
    <row r="56" s="1544" customFormat="1" ht="25.5" spans="1:18">
      <c r="A56" s="1768">
        <v>2</v>
      </c>
      <c r="B56" s="1769" t="s">
        <v>1482</v>
      </c>
      <c r="C56" s="393">
        <f ca="1">C13</f>
        <v>0</v>
      </c>
      <c r="D56" s="1770"/>
      <c r="E56" s="1771"/>
      <c r="F56" s="1760"/>
      <c r="I56" s="1772" t="s">
        <v>1609</v>
      </c>
      <c r="J56" s="1773"/>
      <c r="K56" s="1721" t="s">
        <v>1611</v>
      </c>
      <c r="L56" s="1724">
        <f ca="1">IF(L48&lt;J51,"——",L48-J53)</f>
        <v>0</v>
      </c>
      <c r="O56" s="1713" t="s">
        <v>1076</v>
      </c>
      <c r="P56" s="1714" t="s">
        <v>1570</v>
      </c>
      <c r="Q56" s="1715" t="e">
        <f ca="1">C40+J29</f>
        <v>#DIV/0!</v>
      </c>
      <c r="R56" s="1715" t="s">
        <v>1571</v>
      </c>
    </row>
    <row r="57" s="1544" customFormat="1" ht="24.75" spans="1:18">
      <c r="A57" s="1774"/>
      <c r="B57" s="1775" t="s">
        <v>1549</v>
      </c>
      <c r="C57" s="403">
        <f ca="1">C29</f>
        <v>0</v>
      </c>
      <c r="D57" s="1776"/>
      <c r="E57" s="1777"/>
      <c r="F57" s="1778"/>
      <c r="I57" s="1779" t="s">
        <v>1612</v>
      </c>
      <c r="J57" s="1780">
        <f ca="1">IF(OR(M47="住宅",J51&lt;L48,J56="是"),"——",J51-L48)</f>
        <v>0</v>
      </c>
      <c r="K57" s="1721" t="s">
        <v>1704</v>
      </c>
      <c r="L57" s="1724">
        <f ca="1">IF(L48&lt;J51,"——",IF(L55="比较法",L49,IF(L55="基准地价",L50,L51)))</f>
        <v>0</v>
      </c>
      <c r="O57" s="1713" t="s">
        <v>1079</v>
      </c>
      <c r="P57" s="1714" t="s">
        <v>1614</v>
      </c>
      <c r="Q57" s="1715" t="e">
        <f ca="1">L60</f>
        <v>#DIV/0!</v>
      </c>
      <c r="R57" s="1715" t="s">
        <v>1615</v>
      </c>
    </row>
    <row r="58" s="1544" customFormat="1" ht="24.75" spans="1:18">
      <c r="A58" s="1781" t="s">
        <v>1492</v>
      </c>
      <c r="B58" s="1769" t="s">
        <v>1493</v>
      </c>
      <c r="C58" s="651">
        <f ca="1">ROUND(C59+C64+C65+C66,0)</f>
        <v>0</v>
      </c>
      <c r="D58" s="1782" t="s">
        <v>1494</v>
      </c>
      <c r="E58" s="1783"/>
      <c r="F58" s="1719"/>
      <c r="I58" s="1779" t="s">
        <v>1616</v>
      </c>
      <c r="J58" s="1784" t="e">
        <f ca="1">IF(J55&lt;0.4,0.4,J55)</f>
        <v>#DIV/0!</v>
      </c>
      <c r="K58" s="1746" t="s">
        <v>1705</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IF(项目基本情况!B11="自然人","——",ROUND(C48*F60/(1+'数据-取费表'!C42),2))</f>
        <v>——</v>
      </c>
      <c r="D60" s="1786" t="s">
        <v>1505</v>
      </c>
      <c r="E60" s="1775" t="s">
        <v>1490</v>
      </c>
      <c r="F60" s="1656">
        <f t="shared" ref="F60:F66" si="0">F32</f>
        <v>0.056</v>
      </c>
      <c r="I60" s="1787" t="s">
        <v>1621</v>
      </c>
      <c r="J60" s="1788" t="e">
        <f ca="1">IF(OR(M47="住宅",J51&lt;L48,J56="是"),"0",ROUND(J59/(1+J52)^J53,0))</f>
        <v>#DIV/0!</v>
      </c>
      <c r="K60" s="1789" t="s">
        <v>1622</v>
      </c>
      <c r="L60" s="1788" t="e">
        <f ca="1">IF(OR(M47="住宅",L48&lt;J51),0,ROUND(L57*(L58/L59-1),0))</f>
        <v>#DIV/0!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IF(项目基本情况!B11="自然人","——",IF(D61="按租金收入计税",ROUND(C49*F61/(1+'数据-取费表'!C42),2),IF(D61="按房产原值计税",ROUND(C57*F61*0.7,2),INDIRECT("'数据-取费表'!Aj"&amp;$G$1))))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IF(项目基本情况!B11="自然人","——",ROUND(F62*F63/10000,2))</f>
        <v>——</v>
      </c>
      <c r="D62" s="1791" t="s">
        <v>1513</v>
      </c>
      <c r="E62" s="1775" t="s">
        <v>1514</v>
      </c>
      <c r="F62" s="1649">
        <f t="shared" si="0"/>
        <v>0</v>
      </c>
      <c r="I62" s="1792" t="s">
        <v>1626</v>
      </c>
      <c r="J62" s="896" t="s">
        <v>1627</v>
      </c>
      <c r="K62" s="896" t="s">
        <v>1628</v>
      </c>
      <c r="L62" s="896" t="s">
        <v>1629</v>
      </c>
      <c r="M62" s="1793" t="s">
        <v>1630</v>
      </c>
      <c r="O62" s="1713" t="s">
        <v>1603</v>
      </c>
      <c r="P62" s="1714" t="s">
        <v>1604</v>
      </c>
      <c r="Q62" s="1715" t="e">
        <f ca="1">Q56+Q57</f>
        <v>#DIV/0!</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ROUND(C57*F64,2)</f>
        <v>0</v>
      </c>
      <c r="D64" s="1786" t="s">
        <v>1554</v>
      </c>
      <c r="E64" s="1775" t="s">
        <v>1490</v>
      </c>
      <c r="F64" s="1654">
        <f ca="1" t="shared" si="0"/>
        <v>0</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ROUND(C56*F65,2)</f>
        <v>0</v>
      </c>
      <c r="D65" s="1786" t="s">
        <v>1525</v>
      </c>
      <c r="E65" s="1775" t="s">
        <v>1490</v>
      </c>
      <c r="F65" s="1655">
        <f ca="1" t="shared" si="0"/>
        <v>0</v>
      </c>
      <c r="I65" s="1792" t="s">
        <v>1634</v>
      </c>
      <c r="J65" s="896">
        <v>40</v>
      </c>
      <c r="K65" s="896">
        <v>30</v>
      </c>
      <c r="L65" s="896">
        <v>50</v>
      </c>
      <c r="M65" s="1796">
        <v>0.02</v>
      </c>
      <c r="O65" s="1713" t="s">
        <v>1076</v>
      </c>
      <c r="P65" s="1714" t="s">
        <v>1570</v>
      </c>
      <c r="Q65" s="1715" t="e">
        <f ca="1">C40+J29</f>
        <v>#DIV/0!</v>
      </c>
      <c r="R65" s="1715" t="s">
        <v>1571</v>
      </c>
    </row>
    <row r="66" s="1544" customFormat="1" ht="17.25" spans="1:18">
      <c r="A66" s="1623" t="s">
        <v>1023</v>
      </c>
      <c r="B66" s="1775" t="s">
        <v>1510</v>
      </c>
      <c r="C66" s="652">
        <f ca="1">ROUND(C48*F66,2)</f>
        <v>0</v>
      </c>
      <c r="D66" s="1786" t="s">
        <v>1528</v>
      </c>
      <c r="E66" s="1775" t="s">
        <v>1490</v>
      </c>
      <c r="F66" s="1593">
        <f ca="1" t="shared" si="0"/>
        <v>0</v>
      </c>
      <c r="O66" s="1713" t="s">
        <v>1079</v>
      </c>
      <c r="P66" s="1714" t="s">
        <v>1614</v>
      </c>
      <c r="Q66" s="1715" t="e">
        <f ca="1">L60</f>
        <v>#DIV/0!</v>
      </c>
      <c r="R66" s="1715" t="s">
        <v>1615</v>
      </c>
    </row>
    <row r="67" s="1544" customFormat="1" ht="17.25" spans="1:18">
      <c r="A67" s="1768" t="s">
        <v>1531</v>
      </c>
      <c r="B67" s="1797" t="s">
        <v>1532</v>
      </c>
      <c r="C67" s="651">
        <f ca="1">C48-C58</f>
        <v>0</v>
      </c>
      <c r="D67" s="1785" t="s">
        <v>1533</v>
      </c>
      <c r="E67" s="1798"/>
      <c r="F67" s="1799"/>
      <c r="O67" s="1733" t="s">
        <v>1584</v>
      </c>
      <c r="P67" s="1714" t="s">
        <v>1618</v>
      </c>
      <c r="Q67" s="1800">
        <f ca="1">L51</f>
        <v>0</v>
      </c>
      <c r="R67" s="1715" t="s">
        <v>1635</v>
      </c>
    </row>
    <row r="68" s="1544" customFormat="1" ht="17.25" spans="1:18">
      <c r="A68" s="1801" t="s">
        <v>1537</v>
      </c>
      <c r="B68" s="1802" t="s">
        <v>1555</v>
      </c>
      <c r="C68" s="1584" t="e">
        <f ca="1">ROUND(C67*(1-((1+F70)/(1+F68))^F69)/(F68-F70),0)</f>
        <v>#DIV/0!</v>
      </c>
      <c r="D68" s="1791" t="s">
        <v>1539</v>
      </c>
      <c r="E68" s="1775" t="s">
        <v>1540</v>
      </c>
      <c r="F68" s="1593">
        <f ca="1">F40</f>
        <v>0</v>
      </c>
      <c r="O68" s="1733" t="s">
        <v>1588</v>
      </c>
      <c r="P68" s="1803" t="s">
        <v>1636</v>
      </c>
      <c r="Q68" s="1715">
        <f ca="1">ROUND(Q69-Q70*Q71,0)</f>
        <v>0</v>
      </c>
      <c r="R68" s="1715" t="s">
        <v>1637</v>
      </c>
    </row>
    <row r="69" s="1544" customFormat="1" ht="13.5" spans="1:18">
      <c r="A69" s="1804"/>
      <c r="B69" s="1805"/>
      <c r="C69" s="1591"/>
      <c r="D69" s="1806" t="s">
        <v>1543</v>
      </c>
      <c r="E69" s="1775" t="s">
        <v>1544</v>
      </c>
      <c r="F69" s="1665">
        <f ca="1">F41</f>
        <v>0</v>
      </c>
      <c r="O69" s="1733" t="s">
        <v>1638</v>
      </c>
      <c r="P69" s="1803" t="s">
        <v>1639</v>
      </c>
      <c r="Q69" s="1715">
        <f ca="1">C39</f>
        <v>0</v>
      </c>
      <c r="R69" s="1715" t="s">
        <v>1571</v>
      </c>
    </row>
    <row r="70" s="1544" customFormat="1" ht="13.5" spans="1:18">
      <c r="A70" s="1807"/>
      <c r="B70" s="1808"/>
      <c r="C70" s="1616"/>
      <c r="D70" s="1795"/>
      <c r="E70" s="1775" t="s">
        <v>1547</v>
      </c>
      <c r="F70" s="1749"/>
      <c r="O70" s="1733" t="s">
        <v>1640</v>
      </c>
      <c r="P70" s="1803" t="s">
        <v>1641</v>
      </c>
      <c r="Q70" s="1715">
        <f ca="1">C13</f>
        <v>0</v>
      </c>
      <c r="R70" s="1715" t="s">
        <v>1571</v>
      </c>
    </row>
    <row r="71" s="1544" customFormat="1" ht="13.5" spans="1:18">
      <c r="A71" s="1809" t="s">
        <v>1550</v>
      </c>
      <c r="B71" s="1810" t="s">
        <v>1556</v>
      </c>
      <c r="C71" s="1670" t="e">
        <f ca="1">ROUND(C68*10000/F71,0)</f>
        <v>#DIV/0!</v>
      </c>
      <c r="D71" s="1811" t="s">
        <v>1557</v>
      </c>
      <c r="E71" s="1812" t="s">
        <v>1558</v>
      </c>
      <c r="F71" s="1673">
        <f ca="1">F43</f>
        <v>0</v>
      </c>
      <c r="O71" s="1733" t="s">
        <v>1642</v>
      </c>
      <c r="P71" s="1803" t="s">
        <v>1643</v>
      </c>
      <c r="Q71" s="1741">
        <f ca="1">C76</f>
        <v>0</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0</v>
      </c>
      <c r="D75" s="1544"/>
      <c r="E75" s="1544"/>
      <c r="F75" s="1544"/>
      <c r="K75" s="1691"/>
      <c r="L75" s="1544"/>
      <c r="O75" s="1713" t="s">
        <v>1603</v>
      </c>
      <c r="P75" s="1714" t="s">
        <v>1604</v>
      </c>
      <c r="Q75" s="1715" t="e">
        <f ca="1">Q65+Q66</f>
        <v>#DIV/0!</v>
      </c>
      <c r="R75" s="1715" t="s">
        <v>1605</v>
      </c>
    </row>
    <row r="76" spans="1:18">
      <c r="B76" s="1816" t="s">
        <v>1647</v>
      </c>
      <c r="C76" s="1817">
        <f ca="1">INDIRECT("'数据-取费表'!j"&amp;$G$1)</f>
        <v>0</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t="e">
        <f ca="1">1-C80</f>
        <v>#DIV/0!</v>
      </c>
    </row>
    <row r="80" spans="1:18">
      <c r="B80" s="1814" t="s">
        <v>1651</v>
      </c>
      <c r="C80" s="439" t="e">
        <f ca="1">ROUND(C75/C39,3)</f>
        <v>#DIV/0!</v>
      </c>
    </row>
    <row r="81" spans="2:3">
      <c r="B81" s="436" t="s">
        <v>1652</v>
      </c>
      <c r="C81" s="403"/>
    </row>
    <row r="82" spans="2:3">
      <c r="B82" s="438" t="s">
        <v>1155</v>
      </c>
      <c r="C82" s="440" t="e">
        <f ca="1">1-C83</f>
        <v>#DIV/0!</v>
      </c>
    </row>
    <row r="8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1706</v>
      </c>
      <c r="B1" s="1364"/>
      <c r="C1" s="1365"/>
      <c r="D1" s="1365"/>
      <c r="E1" s="1366"/>
      <c r="F1" s="1367"/>
      <c r="G1" s="1368"/>
      <c r="J1" s="1369" t="s">
        <v>1707</v>
      </c>
      <c r="K1" s="1370"/>
      <c r="L1" s="1370"/>
      <c r="M1" s="1370"/>
      <c r="N1" s="1370"/>
      <c r="O1" s="1370"/>
      <c r="P1" s="1370"/>
      <c r="Q1" s="1370"/>
      <c r="R1" s="1371"/>
      <c r="S1" s="1372"/>
      <c r="T1" s="1372"/>
      <c r="U1" s="1372"/>
    </row>
    <row r="2" s="1357" customFormat="1" customHeight="1" spans="1:22">
      <c r="A2" s="1373" t="s">
        <v>1453</v>
      </c>
      <c r="B2" s="1374" t="e">
        <f>IF(D2="——",C40,C40+E2)</f>
        <v>#DIV/0!</v>
      </c>
      <c r="C2" s="1365" t="s">
        <v>1454</v>
      </c>
      <c r="D2" s="1375" t="s">
        <v>1708</v>
      </c>
      <c r="E2" s="1376"/>
      <c r="F2" s="1377"/>
      <c r="G2" s="1378"/>
      <c r="H2" s="1379"/>
      <c r="I2" s="1380"/>
      <c r="J2" s="1381" t="s">
        <v>1709</v>
      </c>
      <c r="K2" s="1382"/>
      <c r="L2" s="1383" t="s">
        <v>1710</v>
      </c>
      <c r="M2" s="1383" t="s">
        <v>1711</v>
      </c>
      <c r="N2" s="1383" t="s">
        <v>1712</v>
      </c>
      <c r="O2" s="1383" t="s">
        <v>1713</v>
      </c>
      <c r="P2" s="1383" t="s">
        <v>1714</v>
      </c>
      <c r="Q2" s="1384" t="s">
        <v>1715</v>
      </c>
      <c r="R2" s="1385" t="s">
        <v>1716</v>
      </c>
      <c r="S2" s="1372"/>
      <c r="T2" s="1372"/>
      <c r="U2" s="1372"/>
      <c r="V2" s="1380"/>
    </row>
    <row r="3" s="1357" customFormat="1" customHeight="1" spans="1:22">
      <c r="A3" s="1386" t="s">
        <v>1456</v>
      </c>
      <c r="B3" s="1387" t="e">
        <f>ROUND(B2*10000/B4,0)</f>
        <v>#DIV/0!</v>
      </c>
      <c r="C3" s="1365" t="s">
        <v>1457</v>
      </c>
      <c r="D3" s="1365"/>
      <c r="E3" s="1388"/>
      <c r="F3" s="1377"/>
      <c r="G3" s="1378"/>
      <c r="H3" s="1379"/>
      <c r="I3" s="1380"/>
      <c r="J3" s="1389" t="s">
        <v>1717</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1718</v>
      </c>
      <c r="K4" s="1390"/>
      <c r="L4" s="1396"/>
      <c r="M4" s="1396"/>
      <c r="N4" s="1396"/>
      <c r="O4" s="1396"/>
      <c r="P4" s="1396"/>
      <c r="Q4" s="1397"/>
      <c r="R4" s="1398">
        <f>SUM(L4:Q4)</f>
        <v>0</v>
      </c>
      <c r="S4" s="1372"/>
      <c r="T4" s="1372"/>
      <c r="U4" s="1372"/>
      <c r="V4" s="1380"/>
    </row>
    <row r="5" s="1357" customFormat="1" customHeight="1" spans="1:22">
      <c r="A5" s="1399" t="s">
        <v>1719</v>
      </c>
      <c r="B5" s="1400"/>
      <c r="C5" s="1365"/>
      <c r="D5" s="1401"/>
      <c r="E5" s="1377"/>
      <c r="F5" s="1377"/>
      <c r="G5" s="1378"/>
      <c r="H5" s="1379"/>
      <c r="I5" s="1380"/>
      <c r="J5" s="1402" t="s">
        <v>1720</v>
      </c>
      <c r="K5" s="1403"/>
      <c r="L5" s="1403"/>
      <c r="M5" s="1404"/>
      <c r="N5" s="1404"/>
      <c r="O5" s="1404"/>
      <c r="P5" s="1404"/>
      <c r="Q5" s="1404"/>
      <c r="R5" s="1385">
        <f>SUM(R14,R19,R24,R25,R27,R28)</f>
        <v>0</v>
      </c>
      <c r="S5" s="1372"/>
      <c r="T5" s="1372" t="s">
        <v>1721</v>
      </c>
      <c r="U5" s="1372" t="e">
        <f>ROUND(R5*10000/365/R3,1)</f>
        <v>#DIV/0!</v>
      </c>
      <c r="V5" s="1380"/>
    </row>
    <row r="6" s="1357" customFormat="1" customHeight="1" spans="1:22">
      <c r="A6" s="1405" t="s">
        <v>1722</v>
      </c>
      <c r="B6" s="1406"/>
      <c r="C6" s="1407"/>
      <c r="D6" s="1408"/>
      <c r="E6" s="1409"/>
      <c r="F6" s="1410"/>
      <c r="G6" s="1411"/>
      <c r="H6" s="1379"/>
      <c r="I6" s="1380"/>
      <c r="J6" s="1412">
        <v>1</v>
      </c>
      <c r="K6" s="1413" t="s">
        <v>1723</v>
      </c>
      <c r="L6" s="1414" t="s">
        <v>1724</v>
      </c>
      <c r="M6" s="1415" t="s">
        <v>1725</v>
      </c>
      <c r="N6" s="1415" t="s">
        <v>1726</v>
      </c>
      <c r="O6" s="1415" t="s">
        <v>1727</v>
      </c>
      <c r="P6" s="1415" t="s">
        <v>1728</v>
      </c>
      <c r="Q6" s="1415" t="s">
        <v>1729</v>
      </c>
      <c r="R6" s="1393" t="s">
        <v>1730</v>
      </c>
      <c r="S6" s="1372"/>
      <c r="T6" s="1372" t="s">
        <v>1731</v>
      </c>
      <c r="U6" s="1372"/>
      <c r="V6" s="1380"/>
    </row>
    <row r="7" s="1357" customFormat="1" customHeight="1" spans="1:22">
      <c r="A7" s="1416" t="s">
        <v>1732</v>
      </c>
      <c r="B7" s="1417"/>
      <c r="C7" s="1418"/>
      <c r="D7" s="1419">
        <f>SUM(D9,D10,D11,D17,0)</f>
        <v>0</v>
      </c>
      <c r="E7" s="1420" t="e">
        <f>E9+E10+E11+E17</f>
        <v>#DIV/0!</v>
      </c>
      <c r="F7" s="1421"/>
      <c r="G7" s="1422"/>
      <c r="H7" s="1379"/>
      <c r="I7" s="1380"/>
      <c r="J7" s="1412"/>
      <c r="K7" s="1423"/>
      <c r="L7" s="1424" t="s">
        <v>1733</v>
      </c>
      <c r="M7" s="1425"/>
      <c r="N7" s="1395"/>
      <c r="O7" s="1426"/>
      <c r="P7" s="1426"/>
      <c r="Q7" s="1427">
        <v>365</v>
      </c>
      <c r="R7" s="1428">
        <f>ROUND(M7*N7*O7*P7*Q7/10000,0)</f>
        <v>0</v>
      </c>
      <c r="S7" s="1372"/>
      <c r="T7" s="1372" t="s">
        <v>1734</v>
      </c>
      <c r="U7" s="1372"/>
      <c r="V7" s="1380"/>
    </row>
    <row r="8" s="1357" customFormat="1" customHeight="1" spans="1:22">
      <c r="A8" s="1429" t="s">
        <v>1735</v>
      </c>
      <c r="B8" s="1430" t="s">
        <v>1736</v>
      </c>
      <c r="C8" s="1431"/>
      <c r="D8" s="1432" t="s">
        <v>1737</v>
      </c>
      <c r="E8" s="1433" t="s">
        <v>1738</v>
      </c>
      <c r="F8" s="1434" t="s">
        <v>1739</v>
      </c>
      <c r="G8" s="1435"/>
      <c r="H8" s="1379"/>
      <c r="I8" s="1380"/>
      <c r="J8" s="1412"/>
      <c r="K8" s="1423"/>
      <c r="L8" s="1424" t="s">
        <v>1740</v>
      </c>
      <c r="M8" s="1425"/>
      <c r="N8" s="1395"/>
      <c r="O8" s="1426"/>
      <c r="P8" s="1426"/>
      <c r="Q8" s="1427">
        <v>365</v>
      </c>
      <c r="R8" s="1428">
        <f t="shared" ref="R8:R13" si="0">ROUND(M8*N8*O8*P8*Q8/10000,0)</f>
        <v>0</v>
      </c>
      <c r="S8" s="1372"/>
      <c r="T8" s="1372" t="s">
        <v>1741</v>
      </c>
      <c r="U8" s="1372"/>
      <c r="V8" s="1380"/>
    </row>
    <row r="9" s="1357" customFormat="1" customHeight="1" spans="1:22">
      <c r="A9" s="1429">
        <v>1</v>
      </c>
      <c r="B9" s="1430" t="s">
        <v>1742</v>
      </c>
      <c r="C9" s="1431"/>
      <c r="D9" s="1432">
        <f>ROUND(D6*E9,0)</f>
        <v>0</v>
      </c>
      <c r="E9" s="1436"/>
      <c r="F9" s="1437" t="s">
        <v>1743</v>
      </c>
      <c r="G9" s="1411"/>
      <c r="H9" s="1379"/>
      <c r="I9" s="1380"/>
      <c r="J9" s="1412"/>
      <c r="K9" s="1423"/>
      <c r="L9" s="1424" t="s">
        <v>1744</v>
      </c>
      <c r="M9" s="1425"/>
      <c r="N9" s="1395"/>
      <c r="O9" s="1426"/>
      <c r="P9" s="1426"/>
      <c r="Q9" s="1427">
        <v>365</v>
      </c>
      <c r="R9" s="1428">
        <f t="shared" si="0"/>
        <v>0</v>
      </c>
      <c r="S9" s="1372"/>
      <c r="T9" s="1372"/>
      <c r="U9" s="1372"/>
      <c r="V9" s="1380"/>
    </row>
    <row r="10" s="1357" customFormat="1" customHeight="1" spans="1:22">
      <c r="A10" s="1429">
        <v>2</v>
      </c>
      <c r="B10" s="1430" t="s">
        <v>1745</v>
      </c>
      <c r="C10" s="1431"/>
      <c r="D10" s="1432">
        <f>ROUND(D6*E10,0)</f>
        <v>0</v>
      </c>
      <c r="E10" s="1436"/>
      <c r="F10" s="1437" t="s">
        <v>1746</v>
      </c>
      <c r="G10" s="1411"/>
      <c r="H10" s="1379"/>
      <c r="I10" s="1380"/>
      <c r="J10" s="1412"/>
      <c r="K10" s="1423"/>
      <c r="L10" s="1424" t="s">
        <v>1747</v>
      </c>
      <c r="M10" s="1425"/>
      <c r="N10" s="1395"/>
      <c r="O10" s="1426"/>
      <c r="P10" s="1426"/>
      <c r="Q10" s="1427">
        <v>365</v>
      </c>
      <c r="R10" s="1428">
        <f t="shared" si="0"/>
        <v>0</v>
      </c>
      <c r="S10" s="1372"/>
      <c r="T10" s="1372"/>
      <c r="U10" s="1372"/>
      <c r="V10" s="1380"/>
    </row>
    <row r="11" s="1357" customFormat="1" customHeight="1" spans="1:22">
      <c r="A11" s="1429">
        <v>3</v>
      </c>
      <c r="B11" s="1430" t="s">
        <v>1748</v>
      </c>
      <c r="C11" s="1431"/>
      <c r="D11" s="1432">
        <f>D12+D14+D15+D16</f>
        <v>0</v>
      </c>
      <c r="E11" s="1438" t="e">
        <f>D11/D6</f>
        <v>#DIV/0!</v>
      </c>
      <c r="F11" s="1434"/>
      <c r="G11" s="1435"/>
      <c r="H11" s="1379"/>
      <c r="I11" s="1380"/>
      <c r="J11" s="1412"/>
      <c r="K11" s="1423"/>
      <c r="L11" s="1424" t="s">
        <v>1749</v>
      </c>
      <c r="M11" s="1425"/>
      <c r="N11" s="1395"/>
      <c r="O11" s="1426"/>
      <c r="P11" s="1426"/>
      <c r="Q11" s="1427">
        <v>365</v>
      </c>
      <c r="R11" s="1428">
        <f t="shared" si="0"/>
        <v>0</v>
      </c>
      <c r="S11" s="1372"/>
      <c r="T11" s="1372"/>
      <c r="U11" s="1372"/>
      <c r="V11" s="1380"/>
    </row>
    <row r="12" s="1357" customFormat="1" customHeight="1" spans="1:22">
      <c r="A12" s="1439" t="s">
        <v>1750</v>
      </c>
      <c r="B12" s="1440" t="s">
        <v>1751</v>
      </c>
      <c r="C12" s="1441"/>
      <c r="D12" s="1442">
        <f>ROUND(D13*1.2%*(1-30%),0)</f>
        <v>0</v>
      </c>
      <c r="E12" s="1443">
        <v>0.012</v>
      </c>
      <c r="F12" s="1434" t="s">
        <v>1752</v>
      </c>
      <c r="G12" s="1435"/>
      <c r="H12" s="1379"/>
      <c r="I12" s="1380"/>
      <c r="J12" s="1412"/>
      <c r="K12" s="1423"/>
      <c r="L12" s="1424" t="s">
        <v>1753</v>
      </c>
      <c r="M12" s="1425"/>
      <c r="N12" s="1395"/>
      <c r="O12" s="1426"/>
      <c r="P12" s="1426"/>
      <c r="Q12" s="1427">
        <v>365</v>
      </c>
      <c r="R12" s="1428">
        <f t="shared" si="0"/>
        <v>0</v>
      </c>
      <c r="S12" s="1372"/>
      <c r="T12" s="1372"/>
      <c r="U12" s="1372"/>
      <c r="V12" s="1380"/>
    </row>
    <row r="13" s="1357" customFormat="1" customHeight="1" spans="1:22">
      <c r="A13" s="1439"/>
      <c r="B13" s="1440"/>
      <c r="C13" s="1444" t="s">
        <v>1754</v>
      </c>
      <c r="D13" s="1445"/>
      <c r="E13" s="1446"/>
      <c r="F13" s="1434"/>
      <c r="G13" s="1435"/>
      <c r="H13" s="1379"/>
      <c r="I13" s="1380"/>
      <c r="J13" s="1412"/>
      <c r="K13" s="1423"/>
      <c r="L13" s="1424" t="s">
        <v>1755</v>
      </c>
      <c r="M13" s="1425"/>
      <c r="N13" s="1395"/>
      <c r="O13" s="1426"/>
      <c r="P13" s="1426"/>
      <c r="Q13" s="1427">
        <v>365</v>
      </c>
      <c r="R13" s="1428">
        <f t="shared" si="0"/>
        <v>0</v>
      </c>
      <c r="S13" s="1372"/>
      <c r="T13" s="1372"/>
      <c r="U13" s="1372"/>
      <c r="V13" s="1380"/>
    </row>
    <row r="14" s="1357" customFormat="1" customHeight="1" spans="1:22">
      <c r="A14" s="1439" t="s">
        <v>1756</v>
      </c>
      <c r="B14" s="1440" t="s">
        <v>1757</v>
      </c>
      <c r="C14" s="1441"/>
      <c r="D14" s="1442">
        <f>ROUND(E14*B5/10000,0)</f>
        <v>0</v>
      </c>
      <c r="E14" s="1427"/>
      <c r="F14" s="1434" t="s">
        <v>1758</v>
      </c>
      <c r="G14" s="1435"/>
      <c r="H14" s="1379"/>
      <c r="I14" s="1380"/>
      <c r="J14" s="1412"/>
      <c r="K14" s="1447"/>
      <c r="L14" s="1448" t="s">
        <v>1759</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1760</v>
      </c>
      <c r="B15" s="1440" t="s">
        <v>1761</v>
      </c>
      <c r="C15" s="1441"/>
      <c r="D15" s="1442">
        <f>ROUND(D6*E15,0)</f>
        <v>0</v>
      </c>
      <c r="E15" s="1443">
        <v>0.055</v>
      </c>
      <c r="F15" s="1434" t="s">
        <v>1762</v>
      </c>
      <c r="G15" s="1411"/>
      <c r="H15" s="1379"/>
      <c r="I15" s="1380"/>
      <c r="J15" s="1412">
        <v>2</v>
      </c>
      <c r="K15" s="1413" t="s">
        <v>1763</v>
      </c>
      <c r="L15" s="1424" t="s">
        <v>1764</v>
      </c>
      <c r="M15" s="1425" t="s">
        <v>1765</v>
      </c>
      <c r="N15" s="1425" t="s">
        <v>1766</v>
      </c>
      <c r="O15" s="1426" t="s">
        <v>1767</v>
      </c>
      <c r="P15" s="1426" t="s">
        <v>1729</v>
      </c>
      <c r="Q15" s="1395" t="s">
        <v>124</v>
      </c>
      <c r="R15" s="1452" t="s">
        <v>1730</v>
      </c>
      <c r="S15" s="1372"/>
      <c r="T15" s="1372"/>
      <c r="U15" s="1372"/>
      <c r="V15" s="1380"/>
    </row>
    <row r="16" s="1357" customFormat="1" customHeight="1" spans="1:22">
      <c r="A16" s="1439" t="s">
        <v>1768</v>
      </c>
      <c r="B16" s="1440" t="s">
        <v>1769</v>
      </c>
      <c r="C16" s="1441"/>
      <c r="D16" s="1453">
        <f>D6*E16</f>
        <v>0</v>
      </c>
      <c r="E16" s="1454"/>
      <c r="F16" s="1437" t="s">
        <v>1770</v>
      </c>
      <c r="G16" s="1411"/>
      <c r="H16" s="1379"/>
      <c r="I16" s="1380"/>
      <c r="J16" s="1412"/>
      <c r="K16" s="1423"/>
      <c r="L16" s="1424" t="s">
        <v>1771</v>
      </c>
      <c r="M16" s="1425"/>
      <c r="N16" s="1425"/>
      <c r="O16" s="1426"/>
      <c r="P16" s="1427">
        <v>365</v>
      </c>
      <c r="Q16" s="1395"/>
      <c r="R16" s="1452">
        <f>ROUND(M16*N16*O16*P16/10000,0)</f>
        <v>0</v>
      </c>
      <c r="S16" s="1372"/>
      <c r="T16" s="1372"/>
      <c r="U16" s="1372"/>
      <c r="V16" s="1380"/>
    </row>
    <row r="17" s="1357" customFormat="1" customHeight="1" spans="1:22">
      <c r="A17" s="1455">
        <v>4</v>
      </c>
      <c r="B17" s="1456" t="s">
        <v>1772</v>
      </c>
      <c r="C17" s="1457"/>
      <c r="D17" s="1458">
        <f>ROUND(D6*E17,0)</f>
        <v>0</v>
      </c>
      <c r="E17" s="1459"/>
      <c r="F17" s="1460" t="s">
        <v>1773</v>
      </c>
      <c r="G17" s="1411"/>
      <c r="H17" s="1379"/>
      <c r="I17" s="1380"/>
      <c r="J17" s="1412"/>
      <c r="K17" s="1423"/>
      <c r="L17" s="1424" t="s">
        <v>1774</v>
      </c>
      <c r="M17" s="1425"/>
      <c r="N17" s="1425"/>
      <c r="O17" s="1426"/>
      <c r="P17" s="1427">
        <v>365</v>
      </c>
      <c r="Q17" s="1395"/>
      <c r="R17" s="1452">
        <f>ROUND(M17*N17*O17*P17/10000,0)</f>
        <v>0</v>
      </c>
      <c r="S17" s="1372"/>
      <c r="T17" s="1372"/>
      <c r="U17" s="1372"/>
      <c r="V17" s="1380"/>
    </row>
    <row r="18" s="1357" customFormat="1" customHeight="1" spans="1:22">
      <c r="A18" s="1416" t="s">
        <v>1775</v>
      </c>
      <c r="B18" s="1417"/>
      <c r="C18" s="1417"/>
      <c r="D18" s="1461">
        <f>ROUND(D6*E18,0)</f>
        <v>0</v>
      </c>
      <c r="E18" s="1462"/>
      <c r="F18" s="1463" t="s">
        <v>1776</v>
      </c>
      <c r="G18" s="1411"/>
      <c r="H18" s="1379"/>
      <c r="I18" s="1380"/>
      <c r="J18" s="1412"/>
      <c r="K18" s="1423"/>
      <c r="L18" s="1424" t="s">
        <v>1777</v>
      </c>
      <c r="M18" s="1425"/>
      <c r="N18" s="1425"/>
      <c r="O18" s="1426"/>
      <c r="P18" s="1427">
        <v>365</v>
      </c>
      <c r="Q18" s="1395"/>
      <c r="R18" s="1452">
        <f>ROUND(M18*N18*O18*P18/10000,0)</f>
        <v>0</v>
      </c>
      <c r="S18" s="1372"/>
      <c r="T18" s="1372"/>
      <c r="U18" s="1372"/>
      <c r="V18" s="1380"/>
    </row>
    <row r="19" s="1357" customFormat="1" customHeight="1" spans="1:22">
      <c r="A19" s="1464" t="s">
        <v>1778</v>
      </c>
      <c r="B19" s="1409"/>
      <c r="C19" s="1409"/>
      <c r="D19" s="1409"/>
      <c r="E19" s="1409"/>
      <c r="F19" s="1410"/>
      <c r="G19" s="1435"/>
      <c r="H19" s="1379"/>
      <c r="I19" s="1380"/>
      <c r="J19" s="1412"/>
      <c r="K19" s="1447"/>
      <c r="L19" s="1448" t="s">
        <v>1759</v>
      </c>
      <c r="M19" s="1449"/>
      <c r="N19" s="1449">
        <f>SUM(N16:N18)</f>
        <v>0</v>
      </c>
      <c r="O19" s="1450"/>
      <c r="P19" s="1465" t="s">
        <v>1779</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1780</v>
      </c>
      <c r="L20" s="1424" t="s">
        <v>1781</v>
      </c>
      <c r="M20" s="1425" t="s">
        <v>1782</v>
      </c>
      <c r="N20" s="1468" t="s">
        <v>1783</v>
      </c>
      <c r="O20" s="1426" t="s">
        <v>1784</v>
      </c>
      <c r="P20" s="1427" t="s">
        <v>1729</v>
      </c>
      <c r="Q20" s="1395" t="s">
        <v>124</v>
      </c>
      <c r="R20" s="1452" t="s">
        <v>1730</v>
      </c>
      <c r="S20" s="1372"/>
      <c r="T20" s="1372"/>
      <c r="U20" s="1372"/>
      <c r="V20" s="1380"/>
    </row>
    <row r="21" s="1357" customFormat="1" customHeight="1" spans="1:22">
      <c r="A21" s="1416"/>
      <c r="B21" s="1417"/>
      <c r="C21" s="1430" t="s">
        <v>1785</v>
      </c>
      <c r="D21" s="1469" t="s">
        <v>1786</v>
      </c>
      <c r="E21" s="1431" t="s">
        <v>1787</v>
      </c>
      <c r="F21" s="1467"/>
      <c r="G21" s="1435"/>
      <c r="H21" s="1379"/>
      <c r="I21" s="1380"/>
      <c r="J21" s="1412"/>
      <c r="K21" s="1423"/>
      <c r="L21" s="1424" t="s">
        <v>1788</v>
      </c>
      <c r="M21" s="1425"/>
      <c r="N21" s="1425"/>
      <c r="O21" s="1426"/>
      <c r="P21" s="1427">
        <v>365</v>
      </c>
      <c r="Q21" s="1395"/>
      <c r="R21" s="1470">
        <f>ROUND(M21*N21*O21*P21/10000,0)</f>
        <v>0</v>
      </c>
      <c r="S21" s="1372"/>
      <c r="T21" s="1372"/>
      <c r="U21" s="1372"/>
      <c r="V21" s="1380"/>
    </row>
    <row r="22" s="1357" customFormat="1" customHeight="1" spans="1:22">
      <c r="A22" s="1416"/>
      <c r="B22" s="1417"/>
      <c r="C22" s="1471" t="s">
        <v>1789</v>
      </c>
      <c r="D22" s="1472" t="s">
        <v>1790</v>
      </c>
      <c r="E22" s="1473" t="s">
        <v>1791</v>
      </c>
      <c r="F22" s="1467"/>
      <c r="G22" s="1372"/>
      <c r="H22" s="1379"/>
      <c r="I22" s="1380"/>
      <c r="J22" s="1412"/>
      <c r="K22" s="1423"/>
      <c r="L22" s="1424" t="s">
        <v>1792</v>
      </c>
      <c r="M22" s="1425"/>
      <c r="N22" s="1425"/>
      <c r="O22" s="1426"/>
      <c r="P22" s="1427">
        <v>365</v>
      </c>
      <c r="Q22" s="1395"/>
      <c r="R22" s="1470">
        <f>ROUND(M22*N22*O22*P22/10000,0)</f>
        <v>0</v>
      </c>
      <c r="S22" s="1372"/>
      <c r="T22" s="1372"/>
      <c r="U22" s="1372"/>
      <c r="V22" s="1380"/>
    </row>
    <row r="23" s="1357" customFormat="1" customHeight="1" spans="1:22">
      <c r="A23" s="1474">
        <v>1</v>
      </c>
      <c r="B23" s="1475" t="s">
        <v>1793</v>
      </c>
      <c r="C23" s="1476">
        <f>D6</f>
        <v>0</v>
      </c>
      <c r="D23" s="1477">
        <f>C23*(1+D24)</f>
        <v>0</v>
      </c>
      <c r="E23" s="1478">
        <f>D23*(1+E24)</f>
        <v>0</v>
      </c>
      <c r="F23" s="1479"/>
      <c r="G23" s="1480"/>
      <c r="H23" s="1379"/>
      <c r="I23" s="1380"/>
      <c r="J23" s="1412"/>
      <c r="K23" s="1423"/>
      <c r="L23" s="1424" t="s">
        <v>1794</v>
      </c>
      <c r="M23" s="1425"/>
      <c r="N23" s="1425"/>
      <c r="O23" s="1426"/>
      <c r="P23" s="1427">
        <v>365</v>
      </c>
      <c r="Q23" s="1395"/>
      <c r="R23" s="1470">
        <f>ROUND(M23*N23*O23*P23/10000,0)</f>
        <v>0</v>
      </c>
      <c r="S23" s="1372"/>
      <c r="T23" s="1372"/>
      <c r="U23" s="1372"/>
      <c r="V23" s="1380"/>
    </row>
    <row r="24" s="1357" customFormat="1" customHeight="1" spans="1:22">
      <c r="A24" s="1481"/>
      <c r="B24" s="1482" t="s">
        <v>1795</v>
      </c>
      <c r="C24" s="1483"/>
      <c r="D24" s="1484"/>
      <c r="E24" s="1485"/>
      <c r="F24" s="1486"/>
      <c r="G24" s="1480"/>
      <c r="H24" s="1379"/>
      <c r="I24" s="1380"/>
      <c r="J24" s="1412"/>
      <c r="K24" s="1447"/>
      <c r="L24" s="1448" t="s">
        <v>1759</v>
      </c>
      <c r="M24" s="1449">
        <f>SUM(M21:M23)</f>
        <v>0</v>
      </c>
      <c r="N24" s="1449"/>
      <c r="O24" s="1450"/>
      <c r="P24" s="1465" t="s">
        <v>1779</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1796</v>
      </c>
      <c r="L25" s="1488"/>
      <c r="M25" s="1488"/>
      <c r="N25" s="1488"/>
      <c r="O25" s="1488"/>
      <c r="P25" s="1489"/>
      <c r="Q25" s="1490">
        <v>0</v>
      </c>
      <c r="R25" s="1466">
        <f>ROUND(R14*Q25,0)</f>
        <v>0</v>
      </c>
      <c r="S25" s="1372"/>
      <c r="T25" s="1372"/>
      <c r="U25" s="1372"/>
      <c r="V25" s="1491"/>
    </row>
    <row r="26" s="1358" customFormat="1" customHeight="1" spans="1:22">
      <c r="A26" s="1474">
        <v>2</v>
      </c>
      <c r="B26" s="1475" t="s">
        <v>1797</v>
      </c>
      <c r="C26" s="1476">
        <f>D7</f>
        <v>0</v>
      </c>
      <c r="D26" s="1477">
        <f>D23*D27</f>
        <v>0</v>
      </c>
      <c r="E26" s="1478">
        <f>E23*E27</f>
        <v>0</v>
      </c>
      <c r="F26" s="1479"/>
      <c r="G26" s="1480"/>
      <c r="H26" s="1379"/>
      <c r="I26" s="1380"/>
      <c r="J26" s="1492">
        <v>5</v>
      </c>
      <c r="K26" s="1493" t="s">
        <v>1798</v>
      </c>
      <c r="L26" s="1494"/>
      <c r="M26" s="1495"/>
      <c r="N26" s="1496" t="s">
        <v>505</v>
      </c>
      <c r="O26" s="1496" t="s">
        <v>1799</v>
      </c>
      <c r="P26" s="1497" t="s">
        <v>1800</v>
      </c>
      <c r="Q26" s="1497" t="s">
        <v>1801</v>
      </c>
      <c r="R26" s="1393" t="s">
        <v>1730</v>
      </c>
      <c r="S26" s="1435"/>
      <c r="T26" s="1435"/>
      <c r="U26" s="1435"/>
      <c r="V26" s="1491"/>
    </row>
    <row r="27" s="1357" customFormat="1" customHeight="1" spans="1:22">
      <c r="A27" s="1481"/>
      <c r="B27" s="1482" t="s">
        <v>1802</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1803</v>
      </c>
      <c r="F28" s="1486"/>
      <c r="G28" s="1372"/>
      <c r="H28" s="1499"/>
      <c r="I28" s="1491"/>
      <c r="J28" s="1506">
        <v>6</v>
      </c>
      <c r="K28" s="1507" t="s">
        <v>1804</v>
      </c>
      <c r="L28" s="1508" t="s">
        <v>1805</v>
      </c>
      <c r="M28" s="1509"/>
      <c r="N28" s="1508" t="s">
        <v>1806</v>
      </c>
      <c r="O28" s="1510"/>
      <c r="P28" s="1508" t="s">
        <v>1807</v>
      </c>
      <c r="Q28" s="1511">
        <v>0.015</v>
      </c>
      <c r="R28" s="1512"/>
      <c r="S28" s="1372"/>
      <c r="T28" s="1372"/>
      <c r="U28" s="1372"/>
      <c r="V28" s="1491"/>
    </row>
    <row r="29" s="1358" customFormat="1" customHeight="1" spans="1:22">
      <c r="A29" s="1474">
        <v>3</v>
      </c>
      <c r="B29" s="1475" t="s">
        <v>1808</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1802</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1809</v>
      </c>
      <c r="K31" s="1370"/>
      <c r="L31" s="1370"/>
      <c r="M31" s="1370"/>
      <c r="N31" s="1370"/>
      <c r="O31" s="1370"/>
      <c r="P31" s="1370"/>
      <c r="Q31" s="1370"/>
      <c r="R31" s="1371"/>
      <c r="S31" s="1372"/>
      <c r="T31" s="1372"/>
      <c r="U31" s="1372"/>
      <c r="V31" s="1491"/>
    </row>
    <row r="32" s="1358" customFormat="1" customHeight="1" spans="1:22">
      <c r="A32" s="1474">
        <v>4</v>
      </c>
      <c r="B32" s="1475" t="s">
        <v>1810</v>
      </c>
      <c r="C32" s="1476">
        <f>C23-C26-C29</f>
        <v>0</v>
      </c>
      <c r="D32" s="1477">
        <f>D23-D26-D29</f>
        <v>0</v>
      </c>
      <c r="E32" s="1478">
        <f>E23-E26-E29</f>
        <v>0</v>
      </c>
      <c r="F32" s="1479"/>
      <c r="G32" s="1372"/>
      <c r="H32" s="1379"/>
      <c r="I32" s="1380"/>
      <c r="J32" s="1381" t="s">
        <v>1709</v>
      </c>
      <c r="K32" s="1382"/>
      <c r="L32" s="1383" t="s">
        <v>1710</v>
      </c>
      <c r="M32" s="1383" t="s">
        <v>1711</v>
      </c>
      <c r="N32" s="1383" t="s">
        <v>1712</v>
      </c>
      <c r="O32" s="1383" t="s">
        <v>1713</v>
      </c>
      <c r="P32" s="1383" t="s">
        <v>1714</v>
      </c>
      <c r="Q32" s="1384" t="s">
        <v>1715</v>
      </c>
      <c r="R32" s="1515" t="s">
        <v>1716</v>
      </c>
      <c r="S32" s="1372"/>
      <c r="T32" s="1372"/>
      <c r="U32" s="1372"/>
      <c r="V32" s="1491"/>
    </row>
    <row r="33" s="1357" customFormat="1" customHeight="1" spans="1:23">
      <c r="A33" s="1474"/>
      <c r="B33" s="1475"/>
      <c r="C33" s="1476"/>
      <c r="D33" s="1516"/>
      <c r="E33" s="1441"/>
      <c r="F33" s="1479"/>
      <c r="G33" s="1372"/>
      <c r="H33" s="1499"/>
      <c r="I33" s="1491"/>
      <c r="J33" s="1389" t="s">
        <v>1717</v>
      </c>
      <c r="K33" s="1390"/>
      <c r="L33" s="1391"/>
      <c r="M33" s="1391"/>
      <c r="N33" s="1391"/>
      <c r="O33" s="1391"/>
      <c r="P33" s="1391"/>
      <c r="Q33" s="1392"/>
      <c r="R33" s="1517">
        <f>SUM(L33:Q33)</f>
        <v>0</v>
      </c>
      <c r="S33" s="1372"/>
      <c r="T33" s="1372"/>
      <c r="U33" s="1372"/>
      <c r="V33" s="1380"/>
    </row>
    <row r="34" s="1357" customFormat="1" customHeight="1" spans="1:23">
      <c r="A34" s="1474">
        <v>5</v>
      </c>
      <c r="B34" s="1475" t="s">
        <v>1811</v>
      </c>
      <c r="C34" s="1518"/>
      <c r="D34" s="1519"/>
      <c r="E34" s="1520"/>
      <c r="F34" s="1479"/>
      <c r="G34" s="1372"/>
      <c r="H34" s="1499"/>
      <c r="I34" s="1491"/>
      <c r="J34" s="1389" t="s">
        <v>1718</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1812</v>
      </c>
      <c r="C35" s="1522"/>
      <c r="D35" s="1523"/>
      <c r="E35" s="1524"/>
      <c r="F35" s="1479"/>
      <c r="G35" s="1525"/>
      <c r="H35" s="1379"/>
      <c r="I35" s="1491"/>
      <c r="J35" s="1402" t="s">
        <v>1720</v>
      </c>
      <c r="K35" s="1403"/>
      <c r="L35" s="1403"/>
      <c r="M35" s="1404"/>
      <c r="N35" s="1404"/>
      <c r="O35" s="1404"/>
      <c r="P35" s="1404"/>
      <c r="Q35" s="1404"/>
      <c r="R35" s="1526">
        <f>R40+R41+R43</f>
        <v>0</v>
      </c>
      <c r="S35" s="1372"/>
      <c r="T35" s="1372" t="s">
        <v>1721</v>
      </c>
      <c r="U35" s="1372"/>
      <c r="V35" s="1380"/>
    </row>
    <row r="36" s="1357" customFormat="1" customHeight="1" spans="1:23">
      <c r="A36" s="1474">
        <v>7</v>
      </c>
      <c r="B36" s="1527" t="s">
        <v>1813</v>
      </c>
      <c r="C36" s="1528"/>
      <c r="D36" s="1529"/>
      <c r="E36" s="1530"/>
      <c r="F36" s="1531">
        <f>C36+D36+E36</f>
        <v>0</v>
      </c>
      <c r="G36" s="1372"/>
      <c r="H36" s="1379"/>
      <c r="I36" s="1380"/>
      <c r="J36" s="1412">
        <v>1</v>
      </c>
      <c r="K36" s="1413" t="s">
        <v>1814</v>
      </c>
      <c r="L36" s="1414"/>
      <c r="M36" s="1415"/>
      <c r="N36" s="1415"/>
      <c r="O36" s="1415"/>
      <c r="P36" s="1415"/>
      <c r="Q36" s="1415"/>
      <c r="R36" s="1393" t="s">
        <v>1730</v>
      </c>
      <c r="S36" s="1372"/>
      <c r="T36" s="1372" t="s">
        <v>1731</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1734</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1741</v>
      </c>
      <c r="U38" s="1372"/>
      <c r="V38" s="1380"/>
    </row>
    <row r="39" s="1357" customFormat="1" customHeight="1" spans="1:23">
      <c r="A39" s="1474">
        <v>9</v>
      </c>
      <c r="B39" s="1475" t="s">
        <v>1815</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1816</v>
      </c>
      <c r="C40" s="1533" t="e">
        <f>C39+D39+E39</f>
        <v>#DIV/0!</v>
      </c>
      <c r="D40" s="1534"/>
      <c r="E40" s="1534"/>
      <c r="F40" s="1535"/>
      <c r="G40" s="1372"/>
      <c r="H40" s="1379"/>
      <c r="I40" s="1380"/>
      <c r="J40" s="1412"/>
      <c r="K40" s="1447"/>
      <c r="L40" s="1448" t="s">
        <v>1759</v>
      </c>
      <c r="M40" s="1449"/>
      <c r="N40" s="1449"/>
      <c r="O40" s="1450"/>
      <c r="P40" s="1450"/>
      <c r="Q40" s="1451"/>
      <c r="R40" s="1385">
        <f>SUM(R37:R39)</f>
        <v>0</v>
      </c>
      <c r="S40" s="1372"/>
      <c r="T40" s="1372"/>
      <c r="U40" s="1372"/>
      <c r="V40" s="1380"/>
    </row>
    <row r="41" s="1357" customFormat="1" customHeight="1" spans="1:23">
      <c r="A41" s="1536">
        <v>11</v>
      </c>
      <c r="B41" s="1537" t="s">
        <v>1817</v>
      </c>
      <c r="C41" s="1537" t="e">
        <f>ROUND(C40*10000/B4,0)</f>
        <v>#DIV/0!</v>
      </c>
      <c r="D41" s="1538"/>
      <c r="E41" s="1538"/>
      <c r="F41" s="1539"/>
      <c r="G41" s="1379"/>
      <c r="H41" s="1379"/>
      <c r="I41" s="1380"/>
      <c r="J41" s="1412">
        <v>2</v>
      </c>
      <c r="K41" s="1487" t="s">
        <v>1796</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1798</v>
      </c>
      <c r="L42" s="1494"/>
      <c r="M42" s="1495"/>
      <c r="N42" s="1496" t="s">
        <v>505</v>
      </c>
      <c r="O42" s="1496" t="s">
        <v>1799</v>
      </c>
      <c r="P42" s="1497" t="s">
        <v>1800</v>
      </c>
      <c r="Q42" s="1497" t="s">
        <v>1801</v>
      </c>
      <c r="R42" s="1393" t="s">
        <v>1730</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1804</v>
      </c>
      <c r="L44" s="1541" t="s">
        <v>1805</v>
      </c>
      <c r="M44" s="1509"/>
      <c r="N44" s="1541" t="s">
        <v>1806</v>
      </c>
      <c r="O44" s="1509"/>
      <c r="P44" s="1541" t="s">
        <v>1807</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1818</v>
      </c>
      <c r="B1" s="1336"/>
      <c r="C1" s="1336"/>
      <c r="D1" s="1336"/>
      <c r="E1" s="1337"/>
      <c r="F1" s="1338"/>
      <c r="G1" s="1212"/>
      <c r="H1" s="1212"/>
      <c r="I1" s="1212"/>
      <c r="J1" s="1212"/>
      <c r="K1" s="1212"/>
      <c r="L1" s="1212"/>
      <c r="M1" s="1212"/>
      <c r="N1" s="1212"/>
      <c r="O1" s="1212"/>
      <c r="P1" s="1212"/>
      <c r="Q1" s="1212"/>
      <c r="R1" s="1212"/>
      <c r="S1" s="1212"/>
    </row>
    <row r="2" spans="1:22">
      <c r="A2" s="1339" t="s">
        <v>1061</v>
      </c>
      <c r="B2" s="1340">
        <f ca="1">SUMIF(B6:B13,"&lt;&gt;#ref!",B6:B13)</f>
        <v>116.8576</v>
      </c>
      <c r="C2" s="1341" t="s">
        <v>1819</v>
      </c>
      <c r="D2" s="1342" t="s">
        <v>1820</v>
      </c>
      <c r="E2" s="1343">
        <f>SUM(E6:E13)</f>
        <v>50.74</v>
      </c>
      <c r="F2" s="1338"/>
      <c r="G2" s="1212"/>
      <c r="H2" s="1212"/>
      <c r="I2" s="1212"/>
      <c r="J2" s="1212"/>
      <c r="K2" s="1212"/>
      <c r="L2" s="1212"/>
      <c r="M2" s="1212"/>
      <c r="N2" s="1212"/>
      <c r="O2" s="1212"/>
      <c r="P2" s="1212"/>
      <c r="Q2" s="1212"/>
      <c r="R2" s="1212"/>
      <c r="S2" s="1212"/>
    </row>
    <row r="3" spans="1:22">
      <c r="A3" s="1339" t="s">
        <v>1063</v>
      </c>
      <c r="B3" s="1344">
        <f ca="1">ROUND(B2*10000/E2,0)</f>
        <v>23031</v>
      </c>
      <c r="C3" s="1341" t="s">
        <v>1821</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1822</v>
      </c>
      <c r="B5" s="1348" t="s">
        <v>1823</v>
      </c>
      <c r="C5" s="1349"/>
      <c r="D5" s="1350"/>
      <c r="E5" s="1348" t="s">
        <v>1824</v>
      </c>
      <c r="F5" s="1303" t="s">
        <v>1825</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116.8576</v>
      </c>
      <c r="C6" s="1341" t="s">
        <v>1819</v>
      </c>
      <c r="D6" s="1338"/>
      <c r="E6" s="1352">
        <f>IF(OR(A6=0,F6="否"),0,'数据-取费表'!K6+'数据-取费表'!S6)</f>
        <v>50.74</v>
      </c>
      <c r="F6" s="1353" t="s">
        <v>1826</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1819</v>
      </c>
      <c r="D7" s="1338"/>
      <c r="E7" s="1352">
        <f>IF(OR(A7=0,F7="否"),0,'数据-取费表'!K7+'数据-取费表'!S7)</f>
        <v>0</v>
      </c>
      <c r="F7" s="1353" t="s">
        <v>1826</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1819</v>
      </c>
      <c r="D8" s="1338"/>
      <c r="E8" s="1352">
        <f>IF(OR(A8=0,F8="否"),0,'数据-取费表'!K8+'数据-取费表'!S8)</f>
        <v>0</v>
      </c>
      <c r="F8" s="1353" t="s">
        <v>1826</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1819</v>
      </c>
      <c r="D9" s="1338"/>
      <c r="E9" s="1352">
        <f>IF(OR(A9=0,F9="否"),0,'数据-取费表'!K9+'数据-取费表'!S9)</f>
        <v>0</v>
      </c>
      <c r="F9" s="1353" t="s">
        <v>1826</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1819</v>
      </c>
      <c r="D10" s="1338"/>
      <c r="E10" s="1352">
        <f>IF(OR(A10=0,F10="否"),0,'数据-取费表'!K10+'数据-取费表'!S10)</f>
        <v>0</v>
      </c>
      <c r="F10" s="1353" t="s">
        <v>1826</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1819</v>
      </c>
      <c r="D11" s="1338"/>
      <c r="E11" s="1352">
        <f>IF(OR(A11=0,F11="否"),0,'数据-取费表'!K11+'数据-取费表'!S11)</f>
        <v>0</v>
      </c>
      <c r="F11" s="1353" t="s">
        <v>1826</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1819</v>
      </c>
      <c r="D12" s="1338"/>
      <c r="E12" s="1352">
        <f>IF(OR(A12=0,F12="否"),0,'数据-取费表'!K12+'数据-取费表'!S12)</f>
        <v>0</v>
      </c>
      <c r="F12" s="1353" t="s">
        <v>1826</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1819</v>
      </c>
      <c r="D13" s="1356"/>
      <c r="E13" s="1352">
        <f>IF(OR(A13=0,F13="否"),0,'数据-取费表'!K13+'数据-取费表'!S13)</f>
        <v>0</v>
      </c>
      <c r="F13" s="1353" t="s">
        <v>1826</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1827</v>
      </c>
      <c r="C1" s="1079" t="s">
        <v>1159</v>
      </c>
      <c r="D1" s="1072"/>
      <c r="E1" s="1226"/>
      <c r="F1" s="1074"/>
      <c r="G1" s="1075" t="s">
        <v>1162</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1061</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1063</v>
      </c>
      <c r="B3" s="1087">
        <f ca="1">IF(C2="——",C49,ROUND(B2*10000/D3,0))</f>
        <v>0</v>
      </c>
      <c r="C3" s="1086" t="s">
        <v>1163</v>
      </c>
      <c r="D3" s="1087">
        <f>IF(D1="",'数据-汇总表'!E3,SUMIF('数据-汇总表'!$C19:$C33,D1,'数据-汇总表'!$E19:$E33))</f>
        <v>50.74</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1164</v>
      </c>
      <c r="B4" s="696"/>
      <c r="C4" s="697" t="s">
        <v>1165</v>
      </c>
      <c r="D4" s="698"/>
      <c r="E4" s="699" t="s">
        <v>1166</v>
      </c>
      <c r="F4" s="700"/>
      <c r="G4" s="697" t="s">
        <v>1167</v>
      </c>
      <c r="H4" s="698"/>
      <c r="I4" s="697" t="s">
        <v>1168</v>
      </c>
      <c r="J4" s="698"/>
      <c r="K4" s="1263" t="s">
        <v>1169</v>
      </c>
      <c r="L4" s="702"/>
      <c r="M4" s="703"/>
      <c r="N4" s="703"/>
      <c r="O4" s="703"/>
      <c r="P4" s="704" t="s">
        <v>1170</v>
      </c>
      <c r="Q4" s="705"/>
      <c r="R4" s="706" t="s">
        <v>1166</v>
      </c>
      <c r="S4" s="707"/>
      <c r="T4" s="706" t="s">
        <v>1167</v>
      </c>
      <c r="U4" s="707"/>
      <c r="V4" s="708" t="s">
        <v>1168</v>
      </c>
      <c r="W4" s="708"/>
      <c r="X4" s="709"/>
      <c r="Y4" s="706" t="s">
        <v>1170</v>
      </c>
      <c r="Z4" s="707"/>
      <c r="AA4" s="710" t="s">
        <v>1166</v>
      </c>
      <c r="AB4" s="710" t="s">
        <v>1167</v>
      </c>
      <c r="AC4" s="710" t="s">
        <v>1168</v>
      </c>
    </row>
    <row r="5" ht="15" spans="1:29">
      <c r="A5" s="711"/>
      <c r="B5" s="712"/>
      <c r="C5" s="713" t="s">
        <v>1171</v>
      </c>
      <c r="D5" s="714"/>
      <c r="E5" s="715" t="s">
        <v>1172</v>
      </c>
      <c r="F5" s="716"/>
      <c r="G5" s="713" t="s">
        <v>1173</v>
      </c>
      <c r="H5" s="714"/>
      <c r="I5" s="713" t="s">
        <v>1174</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1264"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19" si="3">D8/F8</f>
        <v>1</v>
      </c>
      <c r="AB8" s="748">
        <f t="shared" ref="AB8:AB19" si="4">D8/H8</f>
        <v>1</v>
      </c>
      <c r="AC8" s="748">
        <f t="shared" ref="AC8:AC19" si="5">D8/J8</f>
        <v>1</v>
      </c>
    </row>
    <row r="9" s="668" customFormat="1" spans="1:29">
      <c r="A9" s="750" t="s">
        <v>1184</v>
      </c>
      <c r="B9" s="751" t="s">
        <v>1185</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81" spans="1:29">
      <c r="A15" s="783" t="s">
        <v>1191</v>
      </c>
      <c r="B15" s="1040" t="s">
        <v>1828</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1194</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1829</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1830</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1179</v>
      </c>
      <c r="S25" s="791">
        <f t="shared" ref="S25:S46" si="12">F25</f>
        <v>100</v>
      </c>
      <c r="T25" s="790" t="s">
        <v>1179</v>
      </c>
      <c r="U25" s="791">
        <f t="shared" ref="U25:U46" si="13">H25</f>
        <v>100</v>
      </c>
      <c r="V25" s="790" t="s">
        <v>1179</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1200</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1179</v>
      </c>
      <c r="S26" s="791">
        <f t="shared" si="12"/>
        <v>100</v>
      </c>
      <c r="T26" s="790" t="s">
        <v>1179</v>
      </c>
      <c r="U26" s="791">
        <f t="shared" si="13"/>
        <v>100</v>
      </c>
      <c r="V26" s="790" t="s">
        <v>1179</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1179</v>
      </c>
      <c r="S27" s="745">
        <f t="shared" si="12"/>
        <v>100</v>
      </c>
      <c r="T27" s="744" t="s">
        <v>1179</v>
      </c>
      <c r="U27" s="745">
        <f t="shared" si="13"/>
        <v>100</v>
      </c>
      <c r="V27" s="744" t="s">
        <v>1179</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1179</v>
      </c>
      <c r="S28" s="791">
        <f t="shared" si="12"/>
        <v>100</v>
      </c>
      <c r="T28" s="790" t="s">
        <v>1179</v>
      </c>
      <c r="U28" s="791">
        <f t="shared" si="13"/>
        <v>100</v>
      </c>
      <c r="V28" s="790" t="s">
        <v>1179</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8"/>
        <v>111</v>
      </c>
      <c r="AA31" s="708">
        <f t="shared" si="15"/>
        <v>1</v>
      </c>
      <c r="AB31" s="708">
        <f t="shared" si="16"/>
        <v>1</v>
      </c>
      <c r="AC31" s="708">
        <f t="shared" si="17"/>
        <v>1</v>
      </c>
    </row>
    <row r="32" ht="15" spans="1:29">
      <c r="A32" s="783" t="s">
        <v>1201</v>
      </c>
      <c r="B32" s="751" t="s">
        <v>1202</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1203</v>
      </c>
      <c r="Q32" s="755" t="str">
        <f t="shared" si="11"/>
        <v>建筑类型</v>
      </c>
      <c r="R32" s="790" t="s">
        <v>1179</v>
      </c>
      <c r="S32" s="791">
        <f t="shared" si="12"/>
        <v>100</v>
      </c>
      <c r="T32" s="790" t="s">
        <v>1179</v>
      </c>
      <c r="U32" s="791">
        <f t="shared" si="13"/>
        <v>100</v>
      </c>
      <c r="V32" s="790" t="s">
        <v>1179</v>
      </c>
      <c r="W32" s="791">
        <f t="shared" si="14"/>
        <v>100</v>
      </c>
      <c r="X32" s="709"/>
      <c r="Y32" s="822" t="s">
        <v>1203</v>
      </c>
      <c r="Z32" s="708" t="str">
        <f t="shared" si="18"/>
        <v>建筑类型</v>
      </c>
      <c r="AA32" s="708">
        <f t="shared" si="15"/>
        <v>1</v>
      </c>
      <c r="AB32" s="708">
        <f t="shared" si="16"/>
        <v>1</v>
      </c>
      <c r="AC32" s="708">
        <f t="shared" si="17"/>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1205</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8"/>
        <v>建筑结构</v>
      </c>
      <c r="AA34" s="708">
        <f t="shared" si="15"/>
        <v>1</v>
      </c>
      <c r="AB34" s="708">
        <f t="shared" si="16"/>
        <v>1</v>
      </c>
      <c r="AC34" s="708">
        <f t="shared" si="17"/>
        <v>1</v>
      </c>
    </row>
    <row r="35" ht="15" spans="1:29">
      <c r="A35" s="837"/>
      <c r="B35" s="758" t="s">
        <v>1831</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1179</v>
      </c>
      <c r="S35" s="791">
        <f t="shared" si="12"/>
        <v>100</v>
      </c>
      <c r="T35" s="790" t="s">
        <v>1179</v>
      </c>
      <c r="U35" s="791">
        <f t="shared" si="13"/>
        <v>100</v>
      </c>
      <c r="V35" s="790" t="s">
        <v>1179</v>
      </c>
      <c r="W35" s="791">
        <f t="shared" si="14"/>
        <v>100</v>
      </c>
      <c r="X35" s="709"/>
      <c r="Y35" s="822"/>
      <c r="Z35" s="708" t="str">
        <f t="shared" si="18"/>
        <v>建筑品质</v>
      </c>
      <c r="AA35" s="708">
        <f t="shared" si="15"/>
        <v>1</v>
      </c>
      <c r="AB35" s="708">
        <f t="shared" si="16"/>
        <v>1</v>
      </c>
      <c r="AC35" s="708">
        <f t="shared" si="17"/>
        <v>1</v>
      </c>
    </row>
    <row r="36" ht="15" spans="1:29">
      <c r="A36" s="837"/>
      <c r="B36" s="758" t="s">
        <v>1206</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1179</v>
      </c>
      <c r="S37" s="745" t="e">
        <f t="shared" si="12"/>
        <v>#N/A</v>
      </c>
      <c r="T37" s="744" t="s">
        <v>1179</v>
      </c>
      <c r="U37" s="745" t="e">
        <f t="shared" si="13"/>
        <v>#N/A</v>
      </c>
      <c r="V37" s="744" t="s">
        <v>1179</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1208</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1203</v>
      </c>
      <c r="Q38" s="755" t="str">
        <f t="shared" si="11"/>
        <v>物业管理</v>
      </c>
      <c r="R38" s="790" t="s">
        <v>1179</v>
      </c>
      <c r="S38" s="791">
        <f t="shared" si="12"/>
        <v>100</v>
      </c>
      <c r="T38" s="790" t="s">
        <v>1179</v>
      </c>
      <c r="U38" s="791">
        <f t="shared" si="13"/>
        <v>100</v>
      </c>
      <c r="V38" s="790" t="s">
        <v>1179</v>
      </c>
      <c r="W38" s="791">
        <f t="shared" si="14"/>
        <v>100</v>
      </c>
      <c r="X38" s="709"/>
      <c r="Y38" s="822" t="s">
        <v>1203</v>
      </c>
      <c r="Z38" s="708" t="str">
        <f t="shared" si="18"/>
        <v>物业管理</v>
      </c>
      <c r="AA38" s="708">
        <f t="shared" si="15"/>
        <v>1</v>
      </c>
      <c r="AB38" s="708">
        <f t="shared" si="16"/>
        <v>1</v>
      </c>
      <c r="AC38" s="708">
        <f t="shared" si="17"/>
        <v>1</v>
      </c>
    </row>
    <row r="39" ht="15" spans="1:29">
      <c r="A39" s="837"/>
      <c r="B39" s="758" t="s">
        <v>1209</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1179</v>
      </c>
      <c r="S39" s="791">
        <f t="shared" si="12"/>
        <v>100</v>
      </c>
      <c r="T39" s="790" t="s">
        <v>1179</v>
      </c>
      <c r="U39" s="791">
        <f t="shared" si="13"/>
        <v>100</v>
      </c>
      <c r="V39" s="790" t="s">
        <v>1179</v>
      </c>
      <c r="W39" s="791">
        <f t="shared" si="14"/>
        <v>100</v>
      </c>
      <c r="X39" s="709"/>
      <c r="Y39" s="822"/>
      <c r="Z39" s="708" t="str">
        <f t="shared" si="18"/>
        <v>市政基础设施</v>
      </c>
      <c r="AA39" s="708">
        <f t="shared" si="15"/>
        <v>1</v>
      </c>
      <c r="AB39" s="708">
        <f t="shared" si="16"/>
        <v>1</v>
      </c>
      <c r="AC39" s="708">
        <f t="shared" si="17"/>
        <v>1</v>
      </c>
    </row>
    <row r="40" ht="15" spans="1:29">
      <c r="A40" s="837"/>
      <c r="B40" s="758" t="s">
        <v>1832</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1179</v>
      </c>
      <c r="S40" s="791">
        <f t="shared" si="12"/>
        <v>100</v>
      </c>
      <c r="T40" s="790" t="s">
        <v>1179</v>
      </c>
      <c r="U40" s="791">
        <f t="shared" si="13"/>
        <v>100</v>
      </c>
      <c r="V40" s="790" t="s">
        <v>1179</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1833</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1179</v>
      </c>
      <c r="S41" s="831">
        <f t="shared" si="12"/>
        <v>100</v>
      </c>
      <c r="T41" s="830" t="s">
        <v>1179</v>
      </c>
      <c r="U41" s="831">
        <f t="shared" si="13"/>
        <v>100</v>
      </c>
      <c r="V41" s="830" t="s">
        <v>1179</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1212</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8"/>
        <v>内部装修</v>
      </c>
      <c r="AA42" s="708">
        <f t="shared" si="15"/>
        <v>1</v>
      </c>
      <c r="AB42" s="708">
        <f t="shared" si="16"/>
        <v>1</v>
      </c>
      <c r="AC42" s="708">
        <f t="shared" si="17"/>
        <v>1</v>
      </c>
    </row>
    <row r="43" ht="15" spans="1:29">
      <c r="A43" s="837"/>
      <c r="B43" s="758" t="s">
        <v>1213</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8"/>
        <v>111</v>
      </c>
      <c r="AA46" s="708">
        <f t="shared" si="15"/>
        <v>1</v>
      </c>
      <c r="AB46" s="708">
        <f t="shared" si="16"/>
        <v>1</v>
      </c>
      <c r="AC46" s="708">
        <f t="shared" si="17"/>
        <v>1</v>
      </c>
    </row>
    <row r="47" ht="15" spans="1:29">
      <c r="A47" s="845" t="s">
        <v>1214</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1221</v>
      </c>
      <c r="B57" s="855"/>
      <c r="C57" s="926"/>
      <c r="D57" s="926"/>
      <c r="E57" s="926"/>
      <c r="F57" s="927"/>
      <c r="G57" s="927"/>
      <c r="H57" s="926"/>
      <c r="I57" s="926"/>
      <c r="J57" s="926"/>
      <c r="K57" s="1063"/>
      <c r="L57" s="1064"/>
      <c r="M57" s="930"/>
      <c r="N57" s="930"/>
      <c r="O57" s="930"/>
      <c r="P57" s="1282"/>
      <c r="Q57" s="1208"/>
    </row>
    <row r="58" s="673" customFormat="1" ht="15" spans="1:29">
      <c r="A58" s="1115" t="s">
        <v>1177</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1222</v>
      </c>
      <c r="B60" s="942"/>
      <c r="C60" s="943"/>
      <c r="D60" s="944"/>
      <c r="E60" s="944"/>
      <c r="F60" s="944"/>
      <c r="G60" s="944"/>
      <c r="H60" s="944"/>
      <c r="I60" s="944"/>
      <c r="J60" s="944"/>
      <c r="K60" s="944"/>
      <c r="L60" s="944"/>
      <c r="M60" s="945"/>
      <c r="N60" s="944"/>
      <c r="O60" s="945"/>
      <c r="P60" s="1286"/>
      <c r="Q60" s="1208"/>
    </row>
    <row r="61" s="668" customFormat="1" ht="15" spans="1:29">
      <c r="A61" s="947" t="s">
        <v>1180</v>
      </c>
      <c r="B61" s="948"/>
      <c r="C61" s="949" t="s">
        <v>1223</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1224</v>
      </c>
      <c r="B63" s="957" t="s">
        <v>1185</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1189</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1190</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1191</v>
      </c>
      <c r="B76" s="957" t="s">
        <v>1828</v>
      </c>
      <c r="C76" s="1000" t="s">
        <v>1225</v>
      </c>
      <c r="D76" s="1000" t="s">
        <v>1226</v>
      </c>
      <c r="E76" s="1000" t="s">
        <v>1227</v>
      </c>
      <c r="F76" s="1000" t="s">
        <v>1228</v>
      </c>
      <c r="G76" s="1000" t="s">
        <v>1229</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1194</v>
      </c>
      <c r="C78" s="1005" t="s">
        <v>1225</v>
      </c>
      <c r="D78" s="1005" t="s">
        <v>1226</v>
      </c>
      <c r="E78" s="1005" t="s">
        <v>1227</v>
      </c>
      <c r="F78" s="1005" t="s">
        <v>1228</v>
      </c>
      <c r="G78" s="1005" t="s">
        <v>1229</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1195</v>
      </c>
      <c r="C80" s="1005" t="s">
        <v>1225</v>
      </c>
      <c r="D80" s="1005" t="s">
        <v>1226</v>
      </c>
      <c r="E80" s="1005" t="s">
        <v>1227</v>
      </c>
      <c r="F80" s="1005" t="s">
        <v>1228</v>
      </c>
      <c r="G80" s="1005" t="s">
        <v>1229</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1196</v>
      </c>
      <c r="C82" s="967" t="s">
        <v>1230</v>
      </c>
      <c r="D82" s="967" t="s">
        <v>1231</v>
      </c>
      <c r="E82" s="967" t="s">
        <v>1232</v>
      </c>
      <c r="F82" s="967" t="s">
        <v>1233</v>
      </c>
      <c r="G82" s="967" t="s">
        <v>1234</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1829</v>
      </c>
      <c r="C84" s="1005" t="s">
        <v>1225</v>
      </c>
      <c r="D84" s="1005" t="s">
        <v>1226</v>
      </c>
      <c r="E84" s="1005" t="s">
        <v>1227</v>
      </c>
      <c r="F84" s="1005" t="s">
        <v>1228</v>
      </c>
      <c r="G84" s="1005" t="s">
        <v>1229</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1830</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1200</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1201</v>
      </c>
      <c r="B100" s="957" t="s">
        <v>1202</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1204</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1205</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1831</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1206</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1208</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1209</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1832</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1833</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1212</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1213</v>
      </c>
      <c r="C124" s="1005" t="s">
        <v>1225</v>
      </c>
      <c r="D124" s="1005" t="s">
        <v>1226</v>
      </c>
      <c r="E124" s="1005" t="s">
        <v>1227</v>
      </c>
      <c r="F124" s="1005" t="s">
        <v>1228</v>
      </c>
      <c r="G124" s="1005" t="s">
        <v>1229</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1834</v>
      </c>
    </row>
    <row r="137" ht="15" spans="1:17">
      <c r="B137" s="1296" t="s">
        <v>1835</v>
      </c>
      <c r="C137" s="1297"/>
      <c r="D137" s="1297"/>
      <c r="E137" s="1297"/>
      <c r="F137" s="1297"/>
      <c r="G137" s="1298"/>
      <c r="H137" s="1299"/>
      <c r="I137" s="1300" t="s">
        <v>1836</v>
      </c>
      <c r="J137" s="1297"/>
      <c r="K137" s="1301"/>
    </row>
    <row r="138" ht="15" spans="1:17">
      <c r="B138" s="1302"/>
      <c r="C138" s="1303" t="s">
        <v>1837</v>
      </c>
      <c r="D138" s="1303" t="s">
        <v>1838</v>
      </c>
      <c r="E138" s="1304" t="s">
        <v>1839</v>
      </c>
      <c r="F138" s="1305" t="s">
        <v>1840</v>
      </c>
      <c r="G138" s="1303" t="s">
        <v>1838</v>
      </c>
      <c r="H138" s="1306" t="s">
        <v>1839</v>
      </c>
      <c r="I138" s="1307"/>
      <c r="J138" s="1303" t="s">
        <v>1841</v>
      </c>
      <c r="K138" s="1306" t="s">
        <v>1842</v>
      </c>
    </row>
    <row r="139" ht="15" spans="1:17">
      <c r="B139" s="1308">
        <v>6</v>
      </c>
      <c r="C139" s="1309">
        <v>96</v>
      </c>
      <c r="D139" s="1310" t="s">
        <v>1843</v>
      </c>
      <c r="E139" s="1311">
        <v>100</v>
      </c>
      <c r="F139" s="1312">
        <v>102.5</v>
      </c>
      <c r="G139" s="1310" t="s">
        <v>1843</v>
      </c>
      <c r="H139" s="1313">
        <v>105</v>
      </c>
      <c r="I139" s="1314" t="s">
        <v>1844</v>
      </c>
      <c r="J139" s="1309">
        <v>20</v>
      </c>
      <c r="K139" s="1315">
        <f>C145/(J139-2)</f>
        <v>0.00405555555555556</v>
      </c>
    </row>
    <row r="140" ht="15" spans="1:17">
      <c r="B140" s="1316">
        <v>5</v>
      </c>
      <c r="C140" s="1317">
        <v>100</v>
      </c>
      <c r="D140" s="1317"/>
      <c r="E140" s="1318"/>
      <c r="F140" s="1319">
        <v>102</v>
      </c>
      <c r="G140" s="1317"/>
      <c r="H140" s="1320"/>
      <c r="I140" s="1321" t="s">
        <v>1845</v>
      </c>
      <c r="J140" s="437">
        <f>ROUNDUP((J139-1)/2,0)</f>
        <v>10</v>
      </c>
      <c r="K140" s="1322">
        <v>100</v>
      </c>
    </row>
    <row r="141" ht="15" spans="1:17">
      <c r="B141" s="1316">
        <v>4</v>
      </c>
      <c r="C141" s="1317">
        <v>102</v>
      </c>
      <c r="D141" s="1317"/>
      <c r="E141" s="1318"/>
      <c r="F141" s="1319">
        <v>101.5</v>
      </c>
      <c r="G141" s="1317"/>
      <c r="H141" s="1320"/>
      <c r="I141" s="1321" t="s">
        <v>1846</v>
      </c>
      <c r="J141" s="437">
        <v>1</v>
      </c>
      <c r="K141" s="1323">
        <f>ROUND(100+(J141-J140)*K139*100,1)</f>
        <v>96.4</v>
      </c>
    </row>
    <row r="142" ht="15" spans="1:17">
      <c r="B142" s="1316">
        <v>3</v>
      </c>
      <c r="C142" s="1317">
        <v>103</v>
      </c>
      <c r="D142" s="1317"/>
      <c r="E142" s="1318"/>
      <c r="F142" s="1319">
        <v>101</v>
      </c>
      <c r="G142" s="1317"/>
      <c r="H142" s="1320"/>
      <c r="I142" s="1321" t="s">
        <v>1847</v>
      </c>
      <c r="J142" s="437">
        <f>J139</f>
        <v>20</v>
      </c>
      <c r="K142" s="1324">
        <v>95</v>
      </c>
    </row>
    <row r="143" ht="15" spans="1:17">
      <c r="B143" s="1316">
        <v>2</v>
      </c>
      <c r="C143" s="1317">
        <v>100</v>
      </c>
      <c r="D143" s="1317"/>
      <c r="E143" s="1318"/>
      <c r="F143" s="1319">
        <v>100.5</v>
      </c>
      <c r="G143" s="1317"/>
      <c r="H143" s="1320"/>
      <c r="I143" s="1321" t="s">
        <v>1848</v>
      </c>
      <c r="J143" s="1317">
        <v>15</v>
      </c>
      <c r="K143" s="1323">
        <f>ROUND(100+(J143-J140)*K139*100,1)</f>
        <v>102</v>
      </c>
    </row>
    <row r="144" ht="15" spans="1:17">
      <c r="B144" s="1316">
        <v>1</v>
      </c>
      <c r="C144" s="1317">
        <v>98</v>
      </c>
      <c r="D144" s="1325" t="s">
        <v>1849</v>
      </c>
      <c r="E144" s="1318">
        <v>102</v>
      </c>
      <c r="F144" s="1326">
        <v>100</v>
      </c>
      <c r="G144" s="1325" t="s">
        <v>1849</v>
      </c>
      <c r="H144" s="1320">
        <v>105</v>
      </c>
      <c r="I144" s="1321" t="s">
        <v>1848</v>
      </c>
      <c r="J144" s="1317">
        <v>18</v>
      </c>
      <c r="K144" s="1323">
        <f>ROUND(100+(J144-J140)*K139*100,1)</f>
        <v>103.2</v>
      </c>
    </row>
    <row r="145" ht="15.75" spans="2:11">
      <c r="B145" s="1327" t="s">
        <v>1850</v>
      </c>
      <c r="C145" s="1328">
        <f>ROUND(MAX(C139:C144)/MIN(C139:C144)-1,3)</f>
        <v>0.073</v>
      </c>
      <c r="D145" s="1329"/>
      <c r="E145" s="1329"/>
      <c r="F145" s="1330" t="s">
        <v>1851</v>
      </c>
      <c r="G145" s="1331"/>
      <c r="H145" s="1332"/>
      <c r="I145" s="1333" t="s">
        <v>1848</v>
      </c>
      <c r="J145" s="1334">
        <v>8</v>
      </c>
      <c r="K145" s="1335">
        <f>ROUND(100+(J145-J140)*K139*100,1)</f>
        <v>99.2</v>
      </c>
    </row>
    <row r="147" spans="2:11">
      <c r="B147" s="1295" t="s">
        <v>1852</v>
      </c>
    </row>
    <row r="148" spans="2:11">
      <c r="B148" s="1295" t="s">
        <v>1853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估价对象为北京市房地产，为所有。根据《国有土地使用证》[]，估价对象（分摊）出让国有建设用地使用权面积为0平方米，建筑面积为50.74平方米。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估价对象为北京市房地产,属开发建设的，该项目尚在开发建设中。根据《国有土地使用证》[]，估价对象（分摊）出让国有建设用地使用权面积为0平方米，规划建筑面积为50.74平方米。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1854</v>
      </c>
      <c r="C1" s="1079" t="s">
        <v>1159</v>
      </c>
      <c r="D1" s="1072"/>
      <c r="E1" s="1226"/>
      <c r="F1" s="1074"/>
      <c r="G1" s="1075" t="s">
        <v>1162</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1061</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1063</v>
      </c>
      <c r="B3" s="692">
        <f ca="1">IF(C2="——",C49,ROUND(B2*10000/D3,0))</f>
        <v>0</v>
      </c>
      <c r="C3" s="1086" t="s">
        <v>1163</v>
      </c>
      <c r="D3" s="1087">
        <f>IF(D1="",'数据-汇总表'!E3,SUMIF('数据-汇总表'!$C19:$C33,D1,'数据-汇总表'!$E19:$E33))</f>
        <v>50.74</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8"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08"/>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6" si="3">D8/F8</f>
        <v>1</v>
      </c>
      <c r="AB8" s="748">
        <f t="shared" ref="AB8:AB46" si="4">D8/H8</f>
        <v>1</v>
      </c>
      <c r="AC8" s="748">
        <f t="shared" ref="AC8:AC46" si="5">D8/J8</f>
        <v>1</v>
      </c>
    </row>
    <row r="9" s="668" customFormat="1" spans="1:29">
      <c r="A9" s="750" t="s">
        <v>1184</v>
      </c>
      <c r="B9" s="751" t="s">
        <v>1185</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68.25" spans="1:29">
      <c r="A15" s="783" t="s">
        <v>1191</v>
      </c>
      <c r="B15" s="1040" t="s">
        <v>1855</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1193</v>
      </c>
      <c r="Q15" s="755" t="str">
        <f t="shared" si="6"/>
        <v>商业繁华度</v>
      </c>
      <c r="R15" s="790" t="s">
        <v>1179</v>
      </c>
      <c r="S15" s="791">
        <f t="shared" si="0"/>
        <v>100</v>
      </c>
      <c r="T15" s="790" t="s">
        <v>1179</v>
      </c>
      <c r="U15" s="791">
        <f t="shared" si="1"/>
        <v>100</v>
      </c>
      <c r="V15" s="790" t="s">
        <v>1179</v>
      </c>
      <c r="W15" s="791">
        <f t="shared" si="2"/>
        <v>100</v>
      </c>
      <c r="X15" s="709"/>
      <c r="Y15" s="789" t="s">
        <v>1193</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1829</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1856</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1179</v>
      </c>
      <c r="S25" s="791">
        <f>F25</f>
        <v>100</v>
      </c>
      <c r="T25" s="790" t="s">
        <v>1179</v>
      </c>
      <c r="U25" s="791">
        <f>H25</f>
        <v>100</v>
      </c>
      <c r="V25" s="790" t="s">
        <v>1179</v>
      </c>
      <c r="W25" s="791">
        <f>J25</f>
        <v>100</v>
      </c>
      <c r="X25" s="709"/>
      <c r="Y25" s="797"/>
      <c r="Z25" s="708" t="str">
        <f>Q25</f>
        <v>临街状况</v>
      </c>
      <c r="AA25" s="708">
        <f t="shared" si="3"/>
        <v>1</v>
      </c>
      <c r="AB25" s="708">
        <f t="shared" si="4"/>
        <v>1</v>
      </c>
      <c r="AC25" s="708">
        <f t="shared" si="5"/>
        <v>1</v>
      </c>
    </row>
    <row r="26" ht="15" spans="1:29">
      <c r="A26" s="765"/>
      <c r="B26" s="940" t="s">
        <v>1857</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1179</v>
      </c>
      <c r="S26" s="791">
        <f>F26</f>
        <v>100</v>
      </c>
      <c r="T26" s="790" t="s">
        <v>1179</v>
      </c>
      <c r="U26" s="791">
        <f>H26</f>
        <v>100</v>
      </c>
      <c r="V26" s="790" t="s">
        <v>1179</v>
      </c>
      <c r="W26" s="791">
        <f>J26</f>
        <v>100</v>
      </c>
      <c r="X26" s="709"/>
      <c r="Y26" s="797"/>
      <c r="Z26" s="708" t="str">
        <f>Q26</f>
        <v>平面位置/可视性</v>
      </c>
      <c r="AA26" s="708">
        <f t="shared" si="3"/>
        <v>1</v>
      </c>
      <c r="AB26" s="708">
        <f t="shared" si="4"/>
        <v>1</v>
      </c>
      <c r="AC26" s="708">
        <f t="shared" si="5"/>
        <v>1</v>
      </c>
    </row>
    <row r="27" s="668" customFormat="1" ht="15" spans="1:29">
      <c r="A27" s="771"/>
      <c r="B27" s="1042" t="s">
        <v>1858</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1179</v>
      </c>
      <c r="S27" s="745">
        <f>F27</f>
        <v>100</v>
      </c>
      <c r="T27" s="744" t="s">
        <v>1179</v>
      </c>
      <c r="U27" s="745">
        <f>H27</f>
        <v>100</v>
      </c>
      <c r="V27" s="744" t="s">
        <v>1179</v>
      </c>
      <c r="W27" s="745">
        <f>J27</f>
        <v>100</v>
      </c>
      <c r="X27" s="746"/>
      <c r="Y27" s="797"/>
      <c r="Z27" s="748" t="str">
        <f>Q27</f>
        <v>人流量</v>
      </c>
      <c r="AA27" s="708">
        <f t="shared" si="3"/>
        <v>1</v>
      </c>
      <c r="AB27" s="708">
        <f t="shared" si="4"/>
        <v>1</v>
      </c>
      <c r="AC27" s="708">
        <f t="shared" si="5"/>
        <v>1</v>
      </c>
    </row>
    <row r="28" ht="15" spans="1:29">
      <c r="A28" s="765"/>
      <c r="B28" s="758" t="s">
        <v>1199</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1179</v>
      </c>
      <c r="S28" s="791">
        <f t="shared" ref="S28:S46" si="12">F28</f>
        <v>100</v>
      </c>
      <c r="T28" s="790" t="s">
        <v>1179</v>
      </c>
      <c r="U28" s="791">
        <f t="shared" ref="U28:U46" si="13">H28</f>
        <v>100</v>
      </c>
      <c r="V28" s="790" t="s">
        <v>1179</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708">
        <f t="shared" si="5"/>
        <v>1</v>
      </c>
    </row>
    <row r="32" ht="15" spans="1:29">
      <c r="A32" s="783" t="s">
        <v>1201</v>
      </c>
      <c r="B32" s="751" t="s">
        <v>1859</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1203</v>
      </c>
      <c r="Q32" s="755" t="str">
        <f t="shared" si="11"/>
        <v>商业类型</v>
      </c>
      <c r="R32" s="790" t="s">
        <v>1179</v>
      </c>
      <c r="S32" s="791">
        <f t="shared" si="12"/>
        <v>100</v>
      </c>
      <c r="T32" s="790" t="s">
        <v>1179</v>
      </c>
      <c r="U32" s="791">
        <f t="shared" si="13"/>
        <v>100</v>
      </c>
      <c r="V32" s="790" t="s">
        <v>1179</v>
      </c>
      <c r="W32" s="791">
        <f t="shared" si="14"/>
        <v>100</v>
      </c>
      <c r="X32" s="709"/>
      <c r="Y32" s="822" t="s">
        <v>1203</v>
      </c>
      <c r="Z32" s="708" t="str">
        <f t="shared" si="15"/>
        <v>商业类型</v>
      </c>
      <c r="AA32" s="708">
        <f t="shared" si="3"/>
        <v>1</v>
      </c>
      <c r="AB32" s="708">
        <f t="shared" si="4"/>
        <v>1</v>
      </c>
      <c r="AC32" s="708">
        <f t="shared" si="5"/>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1205</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5"/>
        <v>建筑结构</v>
      </c>
      <c r="AA34" s="708">
        <f t="shared" si="3"/>
        <v>1</v>
      </c>
      <c r="AB34" s="708">
        <f t="shared" si="4"/>
        <v>1</v>
      </c>
      <c r="AC34" s="708">
        <f t="shared" si="5"/>
        <v>1</v>
      </c>
    </row>
    <row r="35" ht="15" spans="1:29">
      <c r="A35" s="837"/>
      <c r="B35" s="758" t="s">
        <v>1206</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1179</v>
      </c>
      <c r="S35" s="791">
        <f t="shared" si="12"/>
        <v>100</v>
      </c>
      <c r="T35" s="790" t="s">
        <v>1179</v>
      </c>
      <c r="U35" s="791">
        <f t="shared" si="13"/>
        <v>100</v>
      </c>
      <c r="V35" s="790" t="s">
        <v>1179</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1179</v>
      </c>
      <c r="S36" s="791" t="e">
        <f t="shared" si="12"/>
        <v>#N/A</v>
      </c>
      <c r="T36" s="790" t="s">
        <v>1179</v>
      </c>
      <c r="U36" s="791" t="e">
        <f t="shared" si="13"/>
        <v>#N/A</v>
      </c>
      <c r="V36" s="790" t="s">
        <v>1179</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1209</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1179</v>
      </c>
      <c r="S37" s="745">
        <f t="shared" si="12"/>
        <v>100</v>
      </c>
      <c r="T37" s="744" t="s">
        <v>1179</v>
      </c>
      <c r="U37" s="745">
        <f t="shared" si="13"/>
        <v>100</v>
      </c>
      <c r="V37" s="744" t="s">
        <v>1179</v>
      </c>
      <c r="W37" s="745">
        <f t="shared" si="14"/>
        <v>100</v>
      </c>
      <c r="X37" s="746"/>
      <c r="Y37" s="822"/>
      <c r="Z37" s="748" t="str">
        <f t="shared" si="15"/>
        <v>市政基础设施</v>
      </c>
      <c r="AA37" s="748">
        <f t="shared" si="3"/>
        <v>1</v>
      </c>
      <c r="AB37" s="748">
        <f t="shared" si="4"/>
        <v>1</v>
      </c>
      <c r="AC37" s="748">
        <f t="shared" si="5"/>
        <v>1</v>
      </c>
    </row>
    <row r="38" ht="15" spans="1:29">
      <c r="A38" s="837"/>
      <c r="B38" s="758" t="s">
        <v>1860</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1203</v>
      </c>
      <c r="Q38" s="755" t="str">
        <f t="shared" si="11"/>
        <v>业态</v>
      </c>
      <c r="R38" s="790" t="s">
        <v>1179</v>
      </c>
      <c r="S38" s="791">
        <f t="shared" si="12"/>
        <v>100</v>
      </c>
      <c r="T38" s="790" t="s">
        <v>1179</v>
      </c>
      <c r="U38" s="791">
        <f t="shared" si="13"/>
        <v>100</v>
      </c>
      <c r="V38" s="790" t="s">
        <v>1179</v>
      </c>
      <c r="W38" s="791">
        <f t="shared" si="14"/>
        <v>100</v>
      </c>
      <c r="X38" s="709"/>
      <c r="Y38" s="822" t="s">
        <v>1203</v>
      </c>
      <c r="Z38" s="708" t="str">
        <f t="shared" si="15"/>
        <v>业态</v>
      </c>
      <c r="AA38" s="708">
        <f t="shared" si="3"/>
        <v>1</v>
      </c>
      <c r="AB38" s="708">
        <f t="shared" si="4"/>
        <v>1</v>
      </c>
      <c r="AC38" s="708">
        <f t="shared" si="5"/>
        <v>1</v>
      </c>
    </row>
    <row r="39" ht="15" spans="1:29">
      <c r="A39" s="837"/>
      <c r="B39" s="758" t="s">
        <v>1210</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1179</v>
      </c>
      <c r="S39" s="791">
        <f t="shared" si="12"/>
        <v>100</v>
      </c>
      <c r="T39" s="790" t="s">
        <v>1179</v>
      </c>
      <c r="U39" s="791">
        <f t="shared" si="13"/>
        <v>100</v>
      </c>
      <c r="V39" s="790" t="s">
        <v>1179</v>
      </c>
      <c r="W39" s="791">
        <f t="shared" si="14"/>
        <v>100</v>
      </c>
      <c r="X39" s="709"/>
      <c r="Y39" s="822"/>
      <c r="Z39" s="708" t="str">
        <f t="shared" si="15"/>
        <v>层高</v>
      </c>
      <c r="AA39" s="708">
        <f t="shared" si="3"/>
        <v>1</v>
      </c>
      <c r="AB39" s="708">
        <f t="shared" si="4"/>
        <v>1</v>
      </c>
      <c r="AC39" s="708">
        <f t="shared" si="5"/>
        <v>1</v>
      </c>
    </row>
    <row r="40" ht="15" spans="1:29">
      <c r="A40" s="837"/>
      <c r="B40" s="758" t="s">
        <v>1236</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1179</v>
      </c>
      <c r="S40" s="791">
        <f t="shared" si="12"/>
        <v>100</v>
      </c>
      <c r="T40" s="790" t="s">
        <v>1179</v>
      </c>
      <c r="U40" s="791">
        <f t="shared" si="13"/>
        <v>100</v>
      </c>
      <c r="V40" s="790" t="s">
        <v>1179</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1861</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1179</v>
      </c>
      <c r="S41" s="831">
        <f t="shared" si="12"/>
        <v>100</v>
      </c>
      <c r="T41" s="830" t="s">
        <v>1179</v>
      </c>
      <c r="U41" s="831">
        <f t="shared" si="13"/>
        <v>100</v>
      </c>
      <c r="V41" s="830" t="s">
        <v>1179</v>
      </c>
      <c r="W41" s="831">
        <f t="shared" si="14"/>
        <v>100</v>
      </c>
      <c r="X41" s="832"/>
      <c r="Y41" s="822"/>
      <c r="Z41" s="833" t="str">
        <f t="shared" si="15"/>
        <v>进深比</v>
      </c>
      <c r="AA41" s="708">
        <f t="shared" si="3"/>
        <v>1</v>
      </c>
      <c r="AB41" s="708">
        <f t="shared" si="4"/>
        <v>1</v>
      </c>
      <c r="AC41" s="708">
        <f t="shared" si="5"/>
        <v>1</v>
      </c>
    </row>
    <row r="42" ht="15" spans="1:29">
      <c r="A42" s="837"/>
      <c r="B42" s="758" t="s">
        <v>1212</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5"/>
        <v>内部装修</v>
      </c>
      <c r="AA42" s="708">
        <f t="shared" si="3"/>
        <v>1</v>
      </c>
      <c r="AB42" s="708">
        <f t="shared" si="4"/>
        <v>1</v>
      </c>
      <c r="AC42" s="708">
        <f t="shared" si="5"/>
        <v>1</v>
      </c>
    </row>
    <row r="43" ht="15" spans="1:29">
      <c r="A43" s="837"/>
      <c r="B43" s="758" t="s">
        <v>1213</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5"/>
        <v>111</v>
      </c>
      <c r="AA46" s="708">
        <f t="shared" si="3"/>
        <v>1</v>
      </c>
      <c r="AB46" s="708">
        <f t="shared" si="4"/>
        <v>1</v>
      </c>
      <c r="AC46" s="708">
        <f t="shared" si="5"/>
        <v>1</v>
      </c>
    </row>
    <row r="47" ht="15" spans="1:29">
      <c r="A47" s="845" t="s">
        <v>1214</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1221</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1177</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1222</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1180</v>
      </c>
      <c r="B61" s="948"/>
      <c r="C61" s="949" t="s">
        <v>1223</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1224</v>
      </c>
      <c r="B63" s="957" t="s">
        <v>1185</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1189</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1190</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1191</v>
      </c>
      <c r="B76" s="957" t="s">
        <v>1828</v>
      </c>
      <c r="C76" s="1000" t="s">
        <v>1225</v>
      </c>
      <c r="D76" s="1000" t="s">
        <v>1226</v>
      </c>
      <c r="E76" s="1000" t="s">
        <v>1227</v>
      </c>
      <c r="F76" s="1000" t="s">
        <v>1228</v>
      </c>
      <c r="G76" s="1000" t="s">
        <v>1229</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1194</v>
      </c>
      <c r="C78" s="1005" t="s">
        <v>1225</v>
      </c>
      <c r="D78" s="1005" t="s">
        <v>1226</v>
      </c>
      <c r="E78" s="1005" t="s">
        <v>1227</v>
      </c>
      <c r="F78" s="1005" t="s">
        <v>1228</v>
      </c>
      <c r="G78" s="1005" t="s">
        <v>1229</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1195</v>
      </c>
      <c r="C80" s="1005" t="s">
        <v>1225</v>
      </c>
      <c r="D80" s="1005" t="s">
        <v>1226</v>
      </c>
      <c r="E80" s="1005" t="s">
        <v>1227</v>
      </c>
      <c r="F80" s="1005" t="s">
        <v>1228</v>
      </c>
      <c r="G80" s="1005" t="s">
        <v>1229</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1196</v>
      </c>
      <c r="C82" s="797" t="s">
        <v>1230</v>
      </c>
      <c r="D82" s="797" t="s">
        <v>1231</v>
      </c>
      <c r="E82" s="797" t="s">
        <v>1232</v>
      </c>
      <c r="F82" s="797" t="s">
        <v>1233</v>
      </c>
      <c r="G82" s="797" t="s">
        <v>1234</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1829</v>
      </c>
      <c r="C84" s="1005" t="s">
        <v>1225</v>
      </c>
      <c r="D84" s="1005" t="s">
        <v>1226</v>
      </c>
      <c r="E84" s="1005" t="s">
        <v>1227</v>
      </c>
      <c r="F84" s="1005" t="s">
        <v>1228</v>
      </c>
      <c r="G84" s="1005" t="s">
        <v>1229</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1856</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1201</v>
      </c>
      <c r="B100" s="957" t="s">
        <v>1859</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1204</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1205</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1206</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1209</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1860</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1210</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1236</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1862</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1212</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1213</v>
      </c>
      <c r="C124" s="1005" t="s">
        <v>1225</v>
      </c>
      <c r="D124" s="1005" t="s">
        <v>1226</v>
      </c>
      <c r="E124" s="1005" t="s">
        <v>1227</v>
      </c>
      <c r="F124" s="1005" t="s">
        <v>1228</v>
      </c>
      <c r="G124" s="1005" t="s">
        <v>1229</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1863</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1063</v>
      </c>
      <c r="B3" s="692">
        <f ca="1">IF(C2="——",C43,ROUND(B2*10000/D3,0))</f>
        <v>0</v>
      </c>
      <c r="C3" s="1086" t="s">
        <v>1163</v>
      </c>
      <c r="D3" s="1087">
        <f>IF(D1="",'数据-汇总表'!E3,SUMIF('数据-汇总表'!$C19:$C33,D1,'数据-汇总表'!$E19:$E33))</f>
        <v>50.74</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1189"/>
      <c r="M4" s="919"/>
      <c r="N4" s="919"/>
      <c r="O4" s="919"/>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1189"/>
      <c r="M6" s="919"/>
      <c r="N6" s="919"/>
      <c r="O6" s="919"/>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0" si="3">D8/F8</f>
        <v>1</v>
      </c>
      <c r="AB8" s="748">
        <f t="shared" ref="AB8:AB40" si="4">D8/H8</f>
        <v>1</v>
      </c>
      <c r="AC8" s="748">
        <f t="shared" ref="AC8:AC40" si="5">D8/J8</f>
        <v>1</v>
      </c>
    </row>
    <row r="9" s="668" customFormat="1" spans="1:29">
      <c r="A9" s="750" t="s">
        <v>1184</v>
      </c>
      <c r="B9" s="751" t="s">
        <v>1185</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1040" t="s">
        <v>1864</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1197</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1179</v>
      </c>
      <c r="S25" s="791">
        <f>F25</f>
        <v>100</v>
      </c>
      <c r="T25" s="790" t="s">
        <v>1179</v>
      </c>
      <c r="U25" s="791">
        <f>H25</f>
        <v>100</v>
      </c>
      <c r="V25" s="790" t="s">
        <v>1179</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1179</v>
      </c>
      <c r="S26" s="791">
        <f>F26</f>
        <v>100</v>
      </c>
      <c r="T26" s="790" t="s">
        <v>1179</v>
      </c>
      <c r="U26" s="791">
        <f>H26</f>
        <v>100</v>
      </c>
      <c r="V26" s="790" t="s">
        <v>1179</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1179</v>
      </c>
      <c r="S27" s="745">
        <f>F27</f>
        <v>100</v>
      </c>
      <c r="T27" s="744" t="s">
        <v>1179</v>
      </c>
      <c r="U27" s="745">
        <f>H27</f>
        <v>100</v>
      </c>
      <c r="V27" s="744" t="s">
        <v>1179</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1179</v>
      </c>
      <c r="S28" s="791">
        <f t="shared" ref="S28:S40" si="12">F28</f>
        <v>100</v>
      </c>
      <c r="T28" s="790" t="s">
        <v>1179</v>
      </c>
      <c r="U28" s="791">
        <f t="shared" ref="U28:U40" si="13">H28</f>
        <v>100</v>
      </c>
      <c r="V28" s="790" t="s">
        <v>1179</v>
      </c>
      <c r="W28" s="791">
        <f t="shared" ref="W28:W40" si="14">J28</f>
        <v>100</v>
      </c>
      <c r="X28" s="709"/>
      <c r="Y28" s="797"/>
      <c r="Z28" s="708">
        <f t="shared" ref="Z28:Z40" si="15">Q28</f>
        <v>111</v>
      </c>
      <c r="AA28" s="708">
        <f t="shared" si="3"/>
        <v>1</v>
      </c>
      <c r="AB28" s="708">
        <f t="shared" si="4"/>
        <v>1</v>
      </c>
      <c r="AC28" s="708">
        <f t="shared" si="5"/>
        <v>1</v>
      </c>
    </row>
    <row r="29" ht="28.5" spans="1:29">
      <c r="A29" s="1098" t="s">
        <v>1201</v>
      </c>
      <c r="B29" s="751" t="s">
        <v>1202</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1203</v>
      </c>
      <c r="Q29" s="755" t="str">
        <f t="shared" si="11"/>
        <v>建筑类型</v>
      </c>
      <c r="R29" s="790" t="s">
        <v>1179</v>
      </c>
      <c r="S29" s="791">
        <f t="shared" si="12"/>
        <v>100</v>
      </c>
      <c r="T29" s="790" t="s">
        <v>1179</v>
      </c>
      <c r="U29" s="791">
        <f t="shared" si="13"/>
        <v>100</v>
      </c>
      <c r="V29" s="790" t="s">
        <v>1179</v>
      </c>
      <c r="W29" s="791">
        <f t="shared" si="14"/>
        <v>100</v>
      </c>
      <c r="X29" s="709"/>
      <c r="Y29" s="822" t="s">
        <v>1203</v>
      </c>
      <c r="Z29" s="708" t="str">
        <f t="shared" si="15"/>
        <v>建筑类型</v>
      </c>
      <c r="AA29" s="708">
        <f t="shared" si="3"/>
        <v>1</v>
      </c>
      <c r="AB29" s="708">
        <f t="shared" si="4"/>
        <v>1</v>
      </c>
      <c r="AC29" s="708">
        <f t="shared" si="5"/>
        <v>1</v>
      </c>
    </row>
    <row r="30" s="670" customFormat="1" ht="15" spans="1:29">
      <c r="A30" s="842"/>
      <c r="B30" s="758" t="s">
        <v>1204</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1179</v>
      </c>
      <c r="S30" s="831" t="e">
        <f t="shared" si="12"/>
        <v>#N/A</v>
      </c>
      <c r="T30" s="830" t="s">
        <v>1179</v>
      </c>
      <c r="U30" s="831" t="e">
        <f t="shared" si="13"/>
        <v>#N/A</v>
      </c>
      <c r="V30" s="830" t="s">
        <v>1179</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1205</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1179</v>
      </c>
      <c r="S31" s="791">
        <f t="shared" si="12"/>
        <v>100</v>
      </c>
      <c r="T31" s="790" t="s">
        <v>1179</v>
      </c>
      <c r="U31" s="791">
        <f t="shared" si="13"/>
        <v>100</v>
      </c>
      <c r="V31" s="790" t="s">
        <v>1179</v>
      </c>
      <c r="W31" s="791">
        <f t="shared" si="14"/>
        <v>100</v>
      </c>
      <c r="X31" s="709"/>
      <c r="Y31" s="822"/>
      <c r="Z31" s="708" t="str">
        <f t="shared" si="15"/>
        <v>建筑结构</v>
      </c>
      <c r="AA31" s="708">
        <f t="shared" si="3"/>
        <v>1</v>
      </c>
      <c r="AB31" s="708">
        <f t="shared" si="4"/>
        <v>1</v>
      </c>
      <c r="AC31" s="708">
        <f t="shared" si="5"/>
        <v>1</v>
      </c>
    </row>
    <row r="32" ht="15" spans="1:29">
      <c r="A32" s="837"/>
      <c r="B32" s="758" t="s">
        <v>1206</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1179</v>
      </c>
      <c r="S32" s="791">
        <f t="shared" si="12"/>
        <v>100</v>
      </c>
      <c r="T32" s="790" t="s">
        <v>1179</v>
      </c>
      <c r="U32" s="791">
        <f t="shared" si="13"/>
        <v>100</v>
      </c>
      <c r="V32" s="790" t="s">
        <v>1179</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1179</v>
      </c>
      <c r="S33" s="791" t="e">
        <f t="shared" si="12"/>
        <v>#N/A</v>
      </c>
      <c r="T33" s="790" t="s">
        <v>1179</v>
      </c>
      <c r="U33" s="791" t="e">
        <f t="shared" si="13"/>
        <v>#N/A</v>
      </c>
      <c r="V33" s="790" t="s">
        <v>1179</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1208</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1179</v>
      </c>
      <c r="S34" s="745">
        <f t="shared" si="12"/>
        <v>100</v>
      </c>
      <c r="T34" s="744" t="s">
        <v>1179</v>
      </c>
      <c r="U34" s="745">
        <f t="shared" si="13"/>
        <v>100</v>
      </c>
      <c r="V34" s="744" t="s">
        <v>1179</v>
      </c>
      <c r="W34" s="745">
        <f t="shared" si="14"/>
        <v>100</v>
      </c>
      <c r="X34" s="746"/>
      <c r="Y34" s="822"/>
      <c r="Z34" s="748" t="str">
        <f t="shared" si="15"/>
        <v>物业管理</v>
      </c>
      <c r="AA34" s="748">
        <f t="shared" si="3"/>
        <v>1</v>
      </c>
      <c r="AB34" s="748">
        <f t="shared" si="4"/>
        <v>1</v>
      </c>
      <c r="AC34" s="748">
        <f t="shared" si="5"/>
        <v>1</v>
      </c>
    </row>
    <row r="35" ht="15" spans="1:29">
      <c r="A35" s="837"/>
      <c r="B35" s="758" t="s">
        <v>1209</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1203</v>
      </c>
      <c r="Q35" s="755" t="str">
        <f t="shared" si="11"/>
        <v>市政基础设施</v>
      </c>
      <c r="R35" s="790" t="s">
        <v>1179</v>
      </c>
      <c r="S35" s="791">
        <f t="shared" si="12"/>
        <v>100</v>
      </c>
      <c r="T35" s="790" t="s">
        <v>1179</v>
      </c>
      <c r="U35" s="791">
        <f t="shared" si="13"/>
        <v>100</v>
      </c>
      <c r="V35" s="790" t="s">
        <v>1179</v>
      </c>
      <c r="W35" s="791">
        <f t="shared" si="14"/>
        <v>100</v>
      </c>
      <c r="X35" s="709"/>
      <c r="Y35" s="822" t="s">
        <v>1203</v>
      </c>
      <c r="Z35" s="708" t="str">
        <f t="shared" si="15"/>
        <v>市政基础设施</v>
      </c>
      <c r="AA35" s="708">
        <f t="shared" si="3"/>
        <v>1</v>
      </c>
      <c r="AB35" s="708">
        <f t="shared" si="4"/>
        <v>1</v>
      </c>
      <c r="AC35" s="708">
        <f t="shared" si="5"/>
        <v>1</v>
      </c>
    </row>
    <row r="36" ht="15" spans="1:29">
      <c r="A36" s="837"/>
      <c r="B36" s="758" t="s">
        <v>1212</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1179</v>
      </c>
      <c r="S36" s="791">
        <f t="shared" si="12"/>
        <v>100</v>
      </c>
      <c r="T36" s="790" t="s">
        <v>1179</v>
      </c>
      <c r="U36" s="791">
        <f t="shared" si="13"/>
        <v>100</v>
      </c>
      <c r="V36" s="790" t="s">
        <v>1179</v>
      </c>
      <c r="W36" s="791">
        <f t="shared" si="14"/>
        <v>100</v>
      </c>
      <c r="X36" s="709"/>
      <c r="Y36" s="822"/>
      <c r="Z36" s="708" t="str">
        <f t="shared" si="15"/>
        <v>内部装修</v>
      </c>
      <c r="AA36" s="708">
        <f t="shared" si="3"/>
        <v>1</v>
      </c>
      <c r="AB36" s="708">
        <f t="shared" si="4"/>
        <v>1</v>
      </c>
      <c r="AC36" s="708">
        <f t="shared" si="5"/>
        <v>1</v>
      </c>
    </row>
    <row r="37" ht="15" spans="1:29">
      <c r="A37" s="837"/>
      <c r="B37" s="758" t="s">
        <v>1865</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1179</v>
      </c>
      <c r="S37" s="791">
        <f t="shared" si="12"/>
        <v>100</v>
      </c>
      <c r="T37" s="790" t="s">
        <v>1179</v>
      </c>
      <c r="U37" s="791">
        <f t="shared" si="13"/>
        <v>100</v>
      </c>
      <c r="V37" s="790" t="s">
        <v>1179</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1179</v>
      </c>
      <c r="S38" s="831">
        <f t="shared" si="12"/>
        <v>100</v>
      </c>
      <c r="T38" s="830" t="s">
        <v>1179</v>
      </c>
      <c r="U38" s="831">
        <f t="shared" si="13"/>
        <v>100</v>
      </c>
      <c r="V38" s="830" t="s">
        <v>1179</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1179</v>
      </c>
      <c r="S39" s="791">
        <f t="shared" si="12"/>
        <v>100</v>
      </c>
      <c r="T39" s="790" t="s">
        <v>1179</v>
      </c>
      <c r="U39" s="791">
        <f t="shared" si="13"/>
        <v>100</v>
      </c>
      <c r="V39" s="790" t="s">
        <v>1179</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1179</v>
      </c>
      <c r="S40" s="791">
        <f t="shared" si="12"/>
        <v>100</v>
      </c>
      <c r="T40" s="790" t="s">
        <v>1179</v>
      </c>
      <c r="U40" s="791">
        <f t="shared" si="13"/>
        <v>100</v>
      </c>
      <c r="V40" s="790" t="s">
        <v>1179</v>
      </c>
      <c r="W40" s="791">
        <f t="shared" si="14"/>
        <v>100</v>
      </c>
      <c r="X40" s="709"/>
      <c r="Y40" s="1202"/>
      <c r="Z40" s="708">
        <f t="shared" si="15"/>
        <v>111</v>
      </c>
      <c r="AA40" s="708">
        <f t="shared" si="3"/>
        <v>1</v>
      </c>
      <c r="AB40" s="708">
        <f t="shared" si="4"/>
        <v>1</v>
      </c>
      <c r="AC40" s="708">
        <f t="shared" si="5"/>
        <v>1</v>
      </c>
    </row>
    <row r="41" ht="15" spans="1:29">
      <c r="A41" s="845" t="s">
        <v>1214</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1215</v>
      </c>
      <c r="B42" s="1110"/>
      <c r="C42" s="1111" t="e">
        <f>R43</f>
        <v>#DIV/0!</v>
      </c>
      <c r="D42" s="860" t="s">
        <v>1216</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1217</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1221</v>
      </c>
      <c r="B51" s="855"/>
      <c r="C51" s="926"/>
      <c r="D51" s="926"/>
      <c r="E51" s="926"/>
      <c r="F51" s="927"/>
      <c r="G51" s="927"/>
      <c r="H51" s="926"/>
      <c r="I51" s="926"/>
      <c r="J51" s="926"/>
      <c r="K51" s="1063"/>
      <c r="L51" s="1064"/>
      <c r="M51" s="930"/>
      <c r="N51" s="930"/>
      <c r="O51" s="930"/>
      <c r="P51" s="1207"/>
      <c r="Q51" s="1208"/>
    </row>
    <row r="52" s="673" customFormat="1" ht="15" spans="1:17">
      <c r="A52" s="1115" t="s">
        <v>1177</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1222</v>
      </c>
      <c r="B54" s="942"/>
      <c r="C54" s="943"/>
      <c r="D54" s="944"/>
      <c r="E54" s="944"/>
      <c r="F54" s="944"/>
      <c r="G54" s="944"/>
      <c r="H54" s="944"/>
      <c r="I54" s="944"/>
      <c r="J54" s="944"/>
      <c r="K54" s="944"/>
      <c r="L54" s="944"/>
      <c r="M54" s="945"/>
      <c r="N54" s="1209"/>
      <c r="O54" s="1210"/>
      <c r="P54" s="1208"/>
      <c r="Q54" s="1208"/>
    </row>
    <row r="55" s="668" customFormat="1" ht="15" spans="1:17">
      <c r="A55" s="947" t="s">
        <v>1180</v>
      </c>
      <c r="B55" s="948"/>
      <c r="C55" s="949" t="s">
        <v>1223</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1224</v>
      </c>
      <c r="B57" s="957" t="s">
        <v>1185</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1189</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1190</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1191</v>
      </c>
      <c r="B70" s="957" t="s">
        <v>1864</v>
      </c>
      <c r="C70" s="1000" t="s">
        <v>1225</v>
      </c>
      <c r="D70" s="1000" t="s">
        <v>1226</v>
      </c>
      <c r="E70" s="1000" t="s">
        <v>1227</v>
      </c>
      <c r="F70" s="1000" t="s">
        <v>1228</v>
      </c>
      <c r="G70" s="1000" t="s">
        <v>1229</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1194</v>
      </c>
      <c r="C72" s="1005" t="s">
        <v>1225</v>
      </c>
      <c r="D72" s="1005" t="s">
        <v>1226</v>
      </c>
      <c r="E72" s="1005" t="s">
        <v>1227</v>
      </c>
      <c r="F72" s="1005" t="s">
        <v>1228</v>
      </c>
      <c r="G72" s="1005" t="s">
        <v>1229</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1195</v>
      </c>
      <c r="C74" s="1005" t="s">
        <v>1225</v>
      </c>
      <c r="D74" s="1005" t="s">
        <v>1226</v>
      </c>
      <c r="E74" s="1005" t="s">
        <v>1227</v>
      </c>
      <c r="F74" s="1005" t="s">
        <v>1228</v>
      </c>
      <c r="G74" s="1005" t="s">
        <v>1229</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1196</v>
      </c>
      <c r="C76" s="797" t="s">
        <v>1230</v>
      </c>
      <c r="D76" s="797" t="s">
        <v>1231</v>
      </c>
      <c r="E76" s="797" t="s">
        <v>1232</v>
      </c>
      <c r="F76" s="797" t="s">
        <v>1233</v>
      </c>
      <c r="G76" s="797" t="s">
        <v>1234</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1197</v>
      </c>
      <c r="C78" s="1005" t="s">
        <v>1225</v>
      </c>
      <c r="D78" s="1005" t="s">
        <v>1226</v>
      </c>
      <c r="E78" s="1005" t="s">
        <v>1227</v>
      </c>
      <c r="F78" s="1005" t="s">
        <v>1228</v>
      </c>
      <c r="G78" s="1005" t="s">
        <v>1229</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1201</v>
      </c>
      <c r="B88" s="957" t="s">
        <v>1202</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1204</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1205</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1206</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1208</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1209</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1212</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1866</v>
      </c>
      <c r="C106" s="1005" t="s">
        <v>1225</v>
      </c>
      <c r="D106" s="1005" t="s">
        <v>1226</v>
      </c>
      <c r="E106" s="1005" t="s">
        <v>1227</v>
      </c>
      <c r="F106" s="1005" t="s">
        <v>1228</v>
      </c>
      <c r="G106" s="1005" t="s">
        <v>1229</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1868</v>
      </c>
      <c r="C1" s="1071" t="s">
        <v>1159</v>
      </c>
      <c r="D1" s="1072"/>
      <c r="E1" s="1073"/>
      <c r="F1" s="1074"/>
      <c r="G1" s="1132" t="s">
        <v>1162</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1063</v>
      </c>
      <c r="B3" s="692" t="e">
        <f ca="1">IF(AND(C2="——",B37="元/平方米"),C39,ROUND(B2*10000/D3,0))</f>
        <v>#DIV/0!</v>
      </c>
      <c r="C3" s="1086" t="s">
        <v>1163</v>
      </c>
      <c r="D3" s="1087">
        <f>SUMIF('数据-汇总表'!$C19:$C33,D1,'数据-汇总表'!$E19:$E33)</f>
        <v>0</v>
      </c>
      <c r="E3" s="1086" t="s">
        <v>1869</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6" si="3">D8/F8</f>
        <v>1</v>
      </c>
      <c r="AB8" s="748">
        <f t="shared" ref="AB8:AB36" si="4">D8/H8</f>
        <v>1</v>
      </c>
      <c r="AC8" s="748">
        <f t="shared" ref="AC8:AC36" si="5">D8/J8</f>
        <v>1</v>
      </c>
    </row>
    <row r="9" s="668" customFormat="1" spans="1:29">
      <c r="A9" s="1139" t="s">
        <v>1184</v>
      </c>
      <c r="B9" s="1140" t="s">
        <v>1185</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1142"/>
      <c r="B10" s="1143" t="s">
        <v>1189</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695" t="s">
        <v>1191</v>
      </c>
      <c r="B14" s="784" t="s">
        <v>1194</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1195</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1196</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1829</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1199</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154" t="s">
        <v>1201</v>
      </c>
      <c r="B26" s="753" t="s">
        <v>1870</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1203</v>
      </c>
      <c r="Q26" s="755" t="str">
        <f t="shared" si="11"/>
        <v>配套类型</v>
      </c>
      <c r="R26" s="790" t="s">
        <v>1179</v>
      </c>
      <c r="S26" s="791">
        <f t="shared" ref="S26:S36" si="12">F26</f>
        <v>0</v>
      </c>
      <c r="T26" s="790" t="s">
        <v>1179</v>
      </c>
      <c r="U26" s="791">
        <f t="shared" ref="U26:U36" si="13">H26</f>
        <v>0</v>
      </c>
      <c r="V26" s="790" t="s">
        <v>1179</v>
      </c>
      <c r="W26" s="791">
        <f t="shared" ref="W26:W36" si="14">J26</f>
        <v>0</v>
      </c>
      <c r="X26" s="709"/>
      <c r="Y26" s="822" t="s">
        <v>1203</v>
      </c>
      <c r="Z26" s="708" t="str">
        <f t="shared" ref="Z26:Z36" si="15">Q26</f>
        <v>配套类型</v>
      </c>
      <c r="AA26" s="708" t="e">
        <f t="shared" si="3"/>
        <v>#DIV/0!</v>
      </c>
      <c r="AB26" s="708" t="e">
        <f t="shared" si="4"/>
        <v>#DIV/0!</v>
      </c>
      <c r="AC26" s="708" t="e">
        <f t="shared" si="5"/>
        <v>#DIV/0!</v>
      </c>
    </row>
    <row r="27" s="670" customFormat="1" ht="15" spans="1:29">
      <c r="A27" s="1156"/>
      <c r="B27" s="760" t="s">
        <v>1871</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1179</v>
      </c>
      <c r="S27" s="831">
        <f t="shared" si="12"/>
        <v>100</v>
      </c>
      <c r="T27" s="830" t="s">
        <v>1179</v>
      </c>
      <c r="U27" s="831">
        <f t="shared" si="13"/>
        <v>100</v>
      </c>
      <c r="V27" s="830" t="s">
        <v>1179</v>
      </c>
      <c r="W27" s="831">
        <f t="shared" si="14"/>
        <v>100</v>
      </c>
      <c r="X27" s="832"/>
      <c r="Y27" s="822"/>
      <c r="Z27" s="833" t="str">
        <f t="shared" si="15"/>
        <v>项目停车位配比</v>
      </c>
      <c r="AA27" s="708">
        <f t="shared" si="3"/>
        <v>1</v>
      </c>
      <c r="AB27" s="708">
        <f t="shared" si="4"/>
        <v>1</v>
      </c>
      <c r="AC27" s="708">
        <f t="shared" si="5"/>
        <v>1</v>
      </c>
    </row>
    <row r="28" ht="15" spans="1:29">
      <c r="A28" s="1158"/>
      <c r="B28" s="760" t="s">
        <v>1206</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1179</v>
      </c>
      <c r="S28" s="791">
        <f t="shared" si="12"/>
        <v>100</v>
      </c>
      <c r="T28" s="790" t="s">
        <v>1179</v>
      </c>
      <c r="U28" s="791">
        <f t="shared" si="13"/>
        <v>100</v>
      </c>
      <c r="V28" s="790" t="s">
        <v>1179</v>
      </c>
      <c r="W28" s="791">
        <f t="shared" si="14"/>
        <v>100</v>
      </c>
      <c r="X28" s="709"/>
      <c r="Y28" s="822"/>
      <c r="Z28" s="708" t="str">
        <f t="shared" si="15"/>
        <v>公共部分装修</v>
      </c>
      <c r="AA28" s="708">
        <f t="shared" si="3"/>
        <v>1</v>
      </c>
      <c r="AB28" s="708">
        <f t="shared" si="4"/>
        <v>1</v>
      </c>
      <c r="AC28" s="708">
        <f t="shared" si="5"/>
        <v>1</v>
      </c>
    </row>
    <row r="29" ht="15" spans="1:29">
      <c r="A29" s="1158"/>
      <c r="B29" s="760" t="s">
        <v>1872</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1179</v>
      </c>
      <c r="S29" s="791" t="e">
        <f t="shared" si="12"/>
        <v>#N/A</v>
      </c>
      <c r="T29" s="790" t="s">
        <v>1179</v>
      </c>
      <c r="U29" s="791" t="e">
        <f t="shared" si="13"/>
        <v>#N/A</v>
      </c>
      <c r="V29" s="790" t="s">
        <v>1179</v>
      </c>
      <c r="W29" s="791" t="e">
        <f t="shared" si="14"/>
        <v>#N/A</v>
      </c>
      <c r="X29" s="709"/>
      <c r="Y29" s="822"/>
      <c r="Z29" s="708" t="str">
        <f t="shared" si="15"/>
        <v>成新率</v>
      </c>
      <c r="AA29" s="708" t="e">
        <f t="shared" si="3"/>
        <v>#N/A</v>
      </c>
      <c r="AB29" s="708" t="e">
        <f t="shared" si="4"/>
        <v>#N/A</v>
      </c>
      <c r="AC29" s="708" t="e">
        <f t="shared" si="5"/>
        <v>#N/A</v>
      </c>
    </row>
    <row r="30" ht="15" spans="1:29">
      <c r="A30" s="1158"/>
      <c r="B30" s="760" t="s">
        <v>1873</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1179</v>
      </c>
      <c r="S30" s="791">
        <f t="shared" si="12"/>
        <v>100</v>
      </c>
      <c r="T30" s="790" t="s">
        <v>1179</v>
      </c>
      <c r="U30" s="791">
        <f t="shared" si="13"/>
        <v>100</v>
      </c>
      <c r="V30" s="790" t="s">
        <v>1179</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1874</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1179</v>
      </c>
      <c r="S31" s="745" t="e">
        <f t="shared" si="12"/>
        <v>#N/A</v>
      </c>
      <c r="T31" s="744" t="s">
        <v>1179</v>
      </c>
      <c r="U31" s="745" t="e">
        <f t="shared" si="13"/>
        <v>#N/A</v>
      </c>
      <c r="V31" s="744" t="s">
        <v>1179</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1875</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1203</v>
      </c>
      <c r="Q32" s="755" t="str">
        <f t="shared" si="11"/>
        <v>车位类型</v>
      </c>
      <c r="R32" s="790" t="s">
        <v>1179</v>
      </c>
      <c r="S32" s="791">
        <f t="shared" si="12"/>
        <v>100</v>
      </c>
      <c r="T32" s="790" t="s">
        <v>1179</v>
      </c>
      <c r="U32" s="791">
        <f t="shared" si="13"/>
        <v>100</v>
      </c>
      <c r="V32" s="790" t="s">
        <v>1179</v>
      </c>
      <c r="W32" s="791">
        <f t="shared" si="14"/>
        <v>100</v>
      </c>
      <c r="X32" s="709"/>
      <c r="Y32" s="822" t="s">
        <v>1203</v>
      </c>
      <c r="Z32" s="708" t="str">
        <f t="shared" si="15"/>
        <v>车位类型</v>
      </c>
      <c r="AA32" s="708">
        <f t="shared" si="3"/>
        <v>1</v>
      </c>
      <c r="AB32" s="708">
        <f t="shared" si="4"/>
        <v>1</v>
      </c>
      <c r="AC32" s="708">
        <f t="shared" si="5"/>
        <v>1</v>
      </c>
    </row>
    <row r="33" ht="15" spans="1:29">
      <c r="A33" s="1158"/>
      <c r="B33" s="760" t="s">
        <v>1876</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1179</v>
      </c>
      <c r="S33" s="791">
        <f t="shared" si="12"/>
        <v>100</v>
      </c>
      <c r="T33" s="790" t="s">
        <v>1179</v>
      </c>
      <c r="U33" s="791">
        <f t="shared" si="13"/>
        <v>100</v>
      </c>
      <c r="V33" s="790" t="s">
        <v>1179</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1179</v>
      </c>
      <c r="S35" s="831">
        <f t="shared" si="12"/>
        <v>100</v>
      </c>
      <c r="T35" s="830" t="s">
        <v>1179</v>
      </c>
      <c r="U35" s="831">
        <f t="shared" si="13"/>
        <v>100</v>
      </c>
      <c r="V35" s="830" t="s">
        <v>1179</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1179</v>
      </c>
      <c r="S36" s="791">
        <f t="shared" si="12"/>
        <v>100</v>
      </c>
      <c r="T36" s="790" t="s">
        <v>1179</v>
      </c>
      <c r="U36" s="791">
        <f t="shared" si="13"/>
        <v>100</v>
      </c>
      <c r="V36" s="790" t="s">
        <v>1179</v>
      </c>
      <c r="W36" s="791">
        <f t="shared" si="14"/>
        <v>100</v>
      </c>
      <c r="X36" s="709"/>
      <c r="Y36" s="822"/>
      <c r="Z36" s="708">
        <f t="shared" si="15"/>
        <v>111</v>
      </c>
      <c r="AA36" s="708">
        <f t="shared" si="3"/>
        <v>1</v>
      </c>
      <c r="AB36" s="708">
        <f t="shared" si="4"/>
        <v>1</v>
      </c>
      <c r="AC36" s="708">
        <f t="shared" si="5"/>
        <v>1</v>
      </c>
    </row>
    <row r="37" ht="15" spans="1:29">
      <c r="A37" s="845" t="s">
        <v>1877</v>
      </c>
      <c r="B37" s="1161" t="s">
        <v>1878</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1215</v>
      </c>
      <c r="B38" s="1110" t="str">
        <f>B37</f>
        <v>元/平方米</v>
      </c>
      <c r="C38" s="1111" t="e">
        <f>R39</f>
        <v>#DIV/0!</v>
      </c>
      <c r="D38" s="860" t="s">
        <v>1216</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1879</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1218</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1219</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1220</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1221</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1177</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1222</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1180</v>
      </c>
      <c r="B51" s="948"/>
      <c r="C51" s="949" t="s">
        <v>1223</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1224</v>
      </c>
      <c r="B53" s="957" t="s">
        <v>1185</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1189</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1191</v>
      </c>
      <c r="B63" s="957" t="s">
        <v>1194</v>
      </c>
      <c r="C63" s="1000" t="s">
        <v>1225</v>
      </c>
      <c r="D63" s="1000" t="s">
        <v>1226</v>
      </c>
      <c r="E63" s="1000" t="s">
        <v>1227</v>
      </c>
      <c r="F63" s="1000" t="s">
        <v>1228</v>
      </c>
      <c r="G63" s="1000" t="s">
        <v>1229</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1195</v>
      </c>
      <c r="C65" s="1005" t="s">
        <v>1225</v>
      </c>
      <c r="D65" s="1005" t="s">
        <v>1226</v>
      </c>
      <c r="E65" s="1005" t="s">
        <v>1227</v>
      </c>
      <c r="F65" s="1005" t="s">
        <v>1228</v>
      </c>
      <c r="G65" s="1005" t="s">
        <v>1229</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1196</v>
      </c>
      <c r="C67" s="797" t="s">
        <v>1230</v>
      </c>
      <c r="D67" s="797" t="s">
        <v>1231</v>
      </c>
      <c r="E67" s="797" t="s">
        <v>1232</v>
      </c>
      <c r="F67" s="797" t="s">
        <v>1233</v>
      </c>
      <c r="G67" s="797" t="s">
        <v>1234</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1829</v>
      </c>
      <c r="C69" s="1005" t="s">
        <v>1225</v>
      </c>
      <c r="D69" s="1005" t="s">
        <v>1226</v>
      </c>
      <c r="E69" s="1005" t="s">
        <v>1227</v>
      </c>
      <c r="F69" s="1005" t="s">
        <v>1228</v>
      </c>
      <c r="G69" s="1005" t="s">
        <v>1229</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1199</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1201</v>
      </c>
      <c r="B79" s="957" t="s">
        <v>1880</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1871</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1206</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1872</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1873</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1874</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1875</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1876</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1881</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IF(C2="——",C37,ROUND(B2*10000/D3,0))</f>
        <v>#DIV/0!</v>
      </c>
      <c r="C3" s="1086" t="s">
        <v>1163</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4" si="3">D8/F8</f>
        <v>1</v>
      </c>
      <c r="AB8" s="748">
        <f t="shared" ref="AB8:AB34" si="4">D8/H8</f>
        <v>1</v>
      </c>
      <c r="AC8" s="748">
        <f t="shared" ref="AC8:AC34" si="5">D8/J8</f>
        <v>1</v>
      </c>
    </row>
    <row r="9" s="668" customFormat="1" spans="1:29">
      <c r="A9" s="750" t="s">
        <v>1184</v>
      </c>
      <c r="B9" s="751" t="s">
        <v>1185</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757"/>
      <c r="B10" s="758" t="s">
        <v>1189</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783" t="s">
        <v>1191</v>
      </c>
      <c r="B14" s="1040" t="s">
        <v>1194</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1195</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1196</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1829</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1199</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098" t="s">
        <v>1201</v>
      </c>
      <c r="B26" s="751" t="s">
        <v>1206</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1203</v>
      </c>
      <c r="Q26" s="755" t="str">
        <f t="shared" si="11"/>
        <v>公共部分装修</v>
      </c>
      <c r="R26" s="790" t="s">
        <v>1179</v>
      </c>
      <c r="S26" s="791">
        <f t="shared" ref="S26:S34" si="12">F26</f>
        <v>100</v>
      </c>
      <c r="T26" s="790" t="s">
        <v>1179</v>
      </c>
      <c r="U26" s="791">
        <f t="shared" ref="U26:U34" si="13">H26</f>
        <v>100</v>
      </c>
      <c r="V26" s="790" t="s">
        <v>1179</v>
      </c>
      <c r="W26" s="791">
        <f t="shared" ref="W26:W34" si="14">J26</f>
        <v>100</v>
      </c>
      <c r="X26" s="709"/>
      <c r="Y26" s="822" t="s">
        <v>1203</v>
      </c>
      <c r="Z26" s="708" t="str">
        <f t="shared" ref="Z26:Z34" si="15">Q26</f>
        <v>公共部分装修</v>
      </c>
      <c r="AA26" s="708">
        <f t="shared" si="3"/>
        <v>1</v>
      </c>
      <c r="AB26" s="708">
        <f t="shared" si="4"/>
        <v>1</v>
      </c>
      <c r="AC26" s="708">
        <f t="shared" si="5"/>
        <v>1</v>
      </c>
    </row>
    <row r="27" s="670" customFormat="1" ht="15" spans="1:29">
      <c r="A27" s="842"/>
      <c r="B27" s="758" t="s">
        <v>1872</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1179</v>
      </c>
      <c r="S27" s="831" t="e">
        <f t="shared" si="12"/>
        <v>#N/A</v>
      </c>
      <c r="T27" s="830" t="s">
        <v>1179</v>
      </c>
      <c r="U27" s="831" t="e">
        <f t="shared" si="13"/>
        <v>#N/A</v>
      </c>
      <c r="V27" s="830" t="s">
        <v>1179</v>
      </c>
      <c r="W27" s="831" t="e">
        <f t="shared" si="14"/>
        <v>#N/A</v>
      </c>
      <c r="X27" s="832"/>
      <c r="Y27" s="822"/>
      <c r="Z27" s="833" t="str">
        <f t="shared" si="15"/>
        <v>成新率</v>
      </c>
      <c r="AA27" s="708" t="e">
        <f t="shared" si="3"/>
        <v>#N/A</v>
      </c>
      <c r="AB27" s="708" t="e">
        <f t="shared" si="4"/>
        <v>#N/A</v>
      </c>
      <c r="AC27" s="708" t="e">
        <f t="shared" si="5"/>
        <v>#N/A</v>
      </c>
    </row>
    <row r="28" ht="15" spans="1:29">
      <c r="A28" s="837"/>
      <c r="B28" s="758" t="s">
        <v>1873</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1179</v>
      </c>
      <c r="S28" s="791">
        <f t="shared" si="12"/>
        <v>100</v>
      </c>
      <c r="T28" s="790" t="s">
        <v>1179</v>
      </c>
      <c r="U28" s="791">
        <f t="shared" si="13"/>
        <v>100</v>
      </c>
      <c r="V28" s="790" t="s">
        <v>1179</v>
      </c>
      <c r="W28" s="791">
        <f t="shared" si="14"/>
        <v>100</v>
      </c>
      <c r="X28" s="709"/>
      <c r="Y28" s="822"/>
      <c r="Z28" s="708" t="str">
        <f t="shared" si="15"/>
        <v>物业等级</v>
      </c>
      <c r="AA28" s="708">
        <f t="shared" si="3"/>
        <v>1</v>
      </c>
      <c r="AB28" s="708">
        <f t="shared" si="4"/>
        <v>1</v>
      </c>
      <c r="AC28" s="708">
        <f t="shared" si="5"/>
        <v>1</v>
      </c>
    </row>
    <row r="29" ht="15" spans="1:29">
      <c r="A29" s="837"/>
      <c r="B29" s="758" t="s">
        <v>1882</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1179</v>
      </c>
      <c r="S29" s="791">
        <f t="shared" si="12"/>
        <v>100</v>
      </c>
      <c r="T29" s="790" t="s">
        <v>1179</v>
      </c>
      <c r="U29" s="791">
        <f t="shared" si="13"/>
        <v>100</v>
      </c>
      <c r="V29" s="790" t="s">
        <v>1179</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1179</v>
      </c>
      <c r="S30" s="791" t="e">
        <f t="shared" si="12"/>
        <v>#N/A</v>
      </c>
      <c r="T30" s="790" t="s">
        <v>1179</v>
      </c>
      <c r="U30" s="791" t="e">
        <f t="shared" si="13"/>
        <v>#N/A</v>
      </c>
      <c r="V30" s="790" t="s">
        <v>1179</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1883</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1179</v>
      </c>
      <c r="S31" s="745">
        <f t="shared" si="12"/>
        <v>100</v>
      </c>
      <c r="T31" s="744" t="s">
        <v>1179</v>
      </c>
      <c r="U31" s="745">
        <f t="shared" si="13"/>
        <v>100</v>
      </c>
      <c r="V31" s="744" t="s">
        <v>1179</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1203</v>
      </c>
      <c r="Q32" s="755">
        <f t="shared" si="11"/>
        <v>111</v>
      </c>
      <c r="R32" s="790" t="s">
        <v>1179</v>
      </c>
      <c r="S32" s="791">
        <f t="shared" si="12"/>
        <v>100</v>
      </c>
      <c r="T32" s="790" t="s">
        <v>1179</v>
      </c>
      <c r="U32" s="791">
        <f t="shared" si="13"/>
        <v>100</v>
      </c>
      <c r="V32" s="790" t="s">
        <v>1179</v>
      </c>
      <c r="W32" s="791">
        <f t="shared" si="14"/>
        <v>100</v>
      </c>
      <c r="X32" s="709"/>
      <c r="Y32" s="822" t="s">
        <v>1203</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1179</v>
      </c>
      <c r="S33" s="791">
        <f t="shared" si="12"/>
        <v>100</v>
      </c>
      <c r="T33" s="790" t="s">
        <v>1179</v>
      </c>
      <c r="U33" s="791">
        <f t="shared" si="13"/>
        <v>100</v>
      </c>
      <c r="V33" s="790" t="s">
        <v>1179</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ht="15" spans="1:30">
      <c r="A35" s="845" t="s">
        <v>1214</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1215</v>
      </c>
      <c r="B36" s="1110"/>
      <c r="C36" s="1111" t="e">
        <f>R37</f>
        <v>#DIV/0!</v>
      </c>
      <c r="D36" s="860" t="s">
        <v>1216</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1217</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1218</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1219</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1220</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1221</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1177</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1222</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1180</v>
      </c>
      <c r="B49" s="948"/>
      <c r="C49" s="949" t="s">
        <v>1223</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1224</v>
      </c>
      <c r="B51" s="957" t="s">
        <v>1185</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1189</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1191</v>
      </c>
      <c r="B61" s="957" t="s">
        <v>1194</v>
      </c>
      <c r="C61" s="1000" t="s">
        <v>1225</v>
      </c>
      <c r="D61" s="1000" t="s">
        <v>1226</v>
      </c>
      <c r="E61" s="1000" t="s">
        <v>1227</v>
      </c>
      <c r="F61" s="1000" t="s">
        <v>1228</v>
      </c>
      <c r="G61" s="1000" t="s">
        <v>1229</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1884</v>
      </c>
      <c r="C63" s="1005" t="s">
        <v>1225</v>
      </c>
      <c r="D63" s="1005" t="s">
        <v>1226</v>
      </c>
      <c r="E63" s="1005" t="s">
        <v>1227</v>
      </c>
      <c r="F63" s="1005" t="s">
        <v>1228</v>
      </c>
      <c r="G63" s="1005" t="s">
        <v>1229</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1196</v>
      </c>
      <c r="C65" s="797" t="s">
        <v>1230</v>
      </c>
      <c r="D65" s="797" t="s">
        <v>1231</v>
      </c>
      <c r="E65" s="797" t="s">
        <v>1232</v>
      </c>
      <c r="F65" s="797" t="s">
        <v>1233</v>
      </c>
      <c r="G65" s="797" t="s">
        <v>1234</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1829</v>
      </c>
      <c r="C67" s="1005" t="s">
        <v>1225</v>
      </c>
      <c r="D67" s="1005" t="s">
        <v>1226</v>
      </c>
      <c r="E67" s="1005" t="s">
        <v>1227</v>
      </c>
      <c r="F67" s="1005" t="s">
        <v>1228</v>
      </c>
      <c r="G67" s="1005" t="s">
        <v>1229</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1199</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1201</v>
      </c>
      <c r="B77" s="957" t="s">
        <v>1206</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1872</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1873</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1882</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1883</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1886</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5" si="3">D8/F8</f>
        <v>#DIV/0!</v>
      </c>
      <c r="AB8" s="748" t="e">
        <f t="shared" ref="AB8:AB45" si="4">D8/H8</f>
        <v>#DIV/0!</v>
      </c>
      <c r="AC8" s="748" t="e">
        <f t="shared" ref="AC8:AC45" si="5">D8/J8</f>
        <v>#DIV/0!</v>
      </c>
    </row>
    <row r="9" s="668" customFormat="1" spans="1:29">
      <c r="A9" s="750" t="s">
        <v>1184</v>
      </c>
      <c r="B9" s="751" t="s">
        <v>1185</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1887</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1179</v>
      </c>
      <c r="S12" s="745">
        <f t="shared" si="0"/>
        <v>100</v>
      </c>
      <c r="T12" s="744" t="s">
        <v>1179</v>
      </c>
      <c r="U12" s="745">
        <f t="shared" si="1"/>
        <v>100</v>
      </c>
      <c r="V12" s="744" t="s">
        <v>1179</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94.5" spans="1:29">
      <c r="A15" s="783" t="s">
        <v>1191</v>
      </c>
      <c r="B15" s="1040" t="s">
        <v>1828</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1855</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1179</v>
      </c>
      <c r="S17" s="791">
        <f>F17</f>
        <v>100</v>
      </c>
      <c r="T17" s="790" t="s">
        <v>1179</v>
      </c>
      <c r="U17" s="791">
        <f>H17</f>
        <v>100</v>
      </c>
      <c r="V17" s="790" t="s">
        <v>1179</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1192</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1179</v>
      </c>
      <c r="S19" s="791">
        <f>F19</f>
        <v>100</v>
      </c>
      <c r="T19" s="790" t="s">
        <v>1179</v>
      </c>
      <c r="U19" s="791">
        <f>H19</f>
        <v>100</v>
      </c>
      <c r="V19" s="790" t="s">
        <v>1179</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1194</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1179</v>
      </c>
      <c r="S21" s="791">
        <f>F21</f>
        <v>100</v>
      </c>
      <c r="T21" s="790" t="s">
        <v>1179</v>
      </c>
      <c r="U21" s="791">
        <f>H21</f>
        <v>100</v>
      </c>
      <c r="V21" s="790" t="s">
        <v>1179</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1888</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1179</v>
      </c>
      <c r="S23" s="791">
        <f>F23</f>
        <v>100</v>
      </c>
      <c r="T23" s="790" t="s">
        <v>1179</v>
      </c>
      <c r="U23" s="791">
        <f>H23</f>
        <v>100</v>
      </c>
      <c r="V23" s="790" t="s">
        <v>1179</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1889</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1179</v>
      </c>
      <c r="S25" s="791">
        <f>F25</f>
        <v>100</v>
      </c>
      <c r="T25" s="790" t="s">
        <v>1179</v>
      </c>
      <c r="U25" s="791">
        <f>H25</f>
        <v>100</v>
      </c>
      <c r="V25" s="790" t="s">
        <v>1179</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1195</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1179</v>
      </c>
      <c r="S27" s="745">
        <f>F27</f>
        <v>100</v>
      </c>
      <c r="T27" s="744" t="s">
        <v>1179</v>
      </c>
      <c r="U27" s="745">
        <f>H27</f>
        <v>100</v>
      </c>
      <c r="V27" s="744" t="s">
        <v>1179</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1196</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1179</v>
      </c>
      <c r="S29" s="745">
        <f>F29</f>
        <v>100</v>
      </c>
      <c r="T29" s="744" t="s">
        <v>1179</v>
      </c>
      <c r="U29" s="745">
        <f>H29</f>
        <v>100</v>
      </c>
      <c r="V29" s="744" t="s">
        <v>1179</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1856</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1179</v>
      </c>
      <c r="S31" s="791">
        <f t="shared" ref="S31:S45" si="10">F31</f>
        <v>100</v>
      </c>
      <c r="T31" s="790" t="s">
        <v>1179</v>
      </c>
      <c r="U31" s="791">
        <f t="shared" ref="U31:U45" si="11">H31</f>
        <v>100</v>
      </c>
      <c r="V31" s="790" t="s">
        <v>1179</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1198</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1179</v>
      </c>
      <c r="S32" s="791">
        <f t="shared" si="10"/>
        <v>100</v>
      </c>
      <c r="T32" s="790" t="s">
        <v>1179</v>
      </c>
      <c r="U32" s="791">
        <f t="shared" si="11"/>
        <v>100</v>
      </c>
      <c r="V32" s="790" t="s">
        <v>1179</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1890</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1179</v>
      </c>
      <c r="S34" s="791">
        <f t="shared" si="10"/>
        <v>100</v>
      </c>
      <c r="T34" s="790" t="s">
        <v>1179</v>
      </c>
      <c r="U34" s="791">
        <f t="shared" si="11"/>
        <v>100</v>
      </c>
      <c r="V34" s="790" t="s">
        <v>1179</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1179</v>
      </c>
      <c r="S35" s="791">
        <f t="shared" si="10"/>
        <v>100</v>
      </c>
      <c r="T35" s="790" t="s">
        <v>1179</v>
      </c>
      <c r="U35" s="791">
        <f t="shared" si="11"/>
        <v>100</v>
      </c>
      <c r="V35" s="790" t="s">
        <v>1179</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1203</v>
      </c>
      <c r="Q36" s="755">
        <f t="shared" si="8"/>
        <v>111</v>
      </c>
      <c r="R36" s="790" t="s">
        <v>1179</v>
      </c>
      <c r="S36" s="791">
        <f t="shared" si="10"/>
        <v>100</v>
      </c>
      <c r="T36" s="790" t="s">
        <v>1179</v>
      </c>
      <c r="U36" s="791">
        <f t="shared" si="11"/>
        <v>100</v>
      </c>
      <c r="V36" s="790" t="s">
        <v>1179</v>
      </c>
      <c r="W36" s="791">
        <f t="shared" si="12"/>
        <v>100</v>
      </c>
      <c r="X36" s="709"/>
      <c r="Y36" s="822" t="s">
        <v>1203</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1179</v>
      </c>
      <c r="S37" s="831">
        <f t="shared" si="10"/>
        <v>100</v>
      </c>
      <c r="T37" s="830" t="s">
        <v>1179</v>
      </c>
      <c r="U37" s="831">
        <f t="shared" si="11"/>
        <v>100</v>
      </c>
      <c r="V37" s="830" t="s">
        <v>1179</v>
      </c>
      <c r="W37" s="831">
        <f t="shared" si="12"/>
        <v>100</v>
      </c>
      <c r="X37" s="832"/>
      <c r="Y37" s="822"/>
      <c r="Z37" s="833">
        <f t="shared" si="13"/>
        <v>111</v>
      </c>
      <c r="AA37" s="708">
        <f t="shared" si="3"/>
        <v>1</v>
      </c>
      <c r="AB37" s="708">
        <f t="shared" si="4"/>
        <v>1</v>
      </c>
      <c r="AC37" s="708">
        <f t="shared" si="5"/>
        <v>1</v>
      </c>
    </row>
    <row r="38" ht="15" spans="1:29">
      <c r="A38" s="837" t="s">
        <v>1201</v>
      </c>
      <c r="B38" s="834" t="s">
        <v>1891</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1179</v>
      </c>
      <c r="S38" s="791" t="e">
        <f t="shared" si="10"/>
        <v>#N/A</v>
      </c>
      <c r="T38" s="790" t="s">
        <v>1179</v>
      </c>
      <c r="U38" s="791" t="e">
        <f t="shared" si="11"/>
        <v>#N/A</v>
      </c>
      <c r="V38" s="790" t="s">
        <v>1179</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1892</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1179</v>
      </c>
      <c r="S39" s="791">
        <f t="shared" si="10"/>
        <v>100</v>
      </c>
      <c r="T39" s="790" t="s">
        <v>1179</v>
      </c>
      <c r="U39" s="791">
        <f t="shared" si="11"/>
        <v>100</v>
      </c>
      <c r="V39" s="790" t="s">
        <v>1179</v>
      </c>
      <c r="W39" s="791">
        <f t="shared" si="12"/>
        <v>100</v>
      </c>
      <c r="X39" s="709"/>
      <c r="Y39" s="822"/>
      <c r="Z39" s="708" t="str">
        <f t="shared" si="13"/>
        <v>宗地形状</v>
      </c>
      <c r="AA39" s="708">
        <f t="shared" si="3"/>
        <v>1</v>
      </c>
      <c r="AB39" s="708">
        <f t="shared" si="4"/>
        <v>1</v>
      </c>
      <c r="AC39" s="708">
        <f t="shared" si="5"/>
        <v>1</v>
      </c>
    </row>
    <row r="40" ht="15" spans="1:29">
      <c r="A40" s="837"/>
      <c r="B40" s="758" t="s">
        <v>1893</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1179</v>
      </c>
      <c r="S40" s="791">
        <f t="shared" si="10"/>
        <v>100</v>
      </c>
      <c r="T40" s="790" t="s">
        <v>1179</v>
      </c>
      <c r="U40" s="791">
        <f t="shared" si="11"/>
        <v>100</v>
      </c>
      <c r="V40" s="790" t="s">
        <v>1179</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1894</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1179</v>
      </c>
      <c r="S41" s="745">
        <f t="shared" si="10"/>
        <v>100</v>
      </c>
      <c r="T41" s="744" t="s">
        <v>1179</v>
      </c>
      <c r="U41" s="745">
        <f t="shared" si="11"/>
        <v>100</v>
      </c>
      <c r="V41" s="744" t="s">
        <v>1179</v>
      </c>
      <c r="W41" s="745">
        <f t="shared" si="12"/>
        <v>100</v>
      </c>
      <c r="X41" s="746"/>
      <c r="Y41" s="822"/>
      <c r="Z41" s="748" t="str">
        <f t="shared" si="13"/>
        <v>宗地开发程度</v>
      </c>
      <c r="AA41" s="748">
        <f t="shared" si="3"/>
        <v>1</v>
      </c>
      <c r="AB41" s="748">
        <f t="shared" si="4"/>
        <v>1</v>
      </c>
      <c r="AC41" s="748">
        <f t="shared" si="5"/>
        <v>1</v>
      </c>
    </row>
    <row r="42" ht="15" spans="1:29">
      <c r="A42" s="837"/>
      <c r="B42" s="758" t="s">
        <v>1895</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1203</v>
      </c>
      <c r="Q42" s="755" t="str">
        <f t="shared" si="14"/>
        <v>工程地质条件</v>
      </c>
      <c r="R42" s="790" t="s">
        <v>1179</v>
      </c>
      <c r="S42" s="791">
        <f t="shared" si="10"/>
        <v>100</v>
      </c>
      <c r="T42" s="790" t="s">
        <v>1179</v>
      </c>
      <c r="U42" s="791">
        <f t="shared" si="11"/>
        <v>100</v>
      </c>
      <c r="V42" s="790" t="s">
        <v>1179</v>
      </c>
      <c r="W42" s="791">
        <f t="shared" si="12"/>
        <v>100</v>
      </c>
      <c r="X42" s="709"/>
      <c r="Y42" s="822" t="s">
        <v>1203</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1179</v>
      </c>
      <c r="S43" s="791">
        <f t="shared" si="10"/>
        <v>100</v>
      </c>
      <c r="T43" s="790" t="s">
        <v>1179</v>
      </c>
      <c r="U43" s="791">
        <f t="shared" si="11"/>
        <v>100</v>
      </c>
      <c r="V43" s="790" t="s">
        <v>1179</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1179</v>
      </c>
      <c r="S44" s="791">
        <f t="shared" si="10"/>
        <v>100</v>
      </c>
      <c r="T44" s="790" t="s">
        <v>1179</v>
      </c>
      <c r="U44" s="791">
        <f t="shared" si="11"/>
        <v>100</v>
      </c>
      <c r="V44" s="790" t="s">
        <v>1179</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1179</v>
      </c>
      <c r="S45" s="831">
        <f t="shared" si="10"/>
        <v>100</v>
      </c>
      <c r="T45" s="830" t="s">
        <v>1179</v>
      </c>
      <c r="U45" s="831">
        <f t="shared" si="11"/>
        <v>100</v>
      </c>
      <c r="V45" s="830" t="s">
        <v>1179</v>
      </c>
      <c r="W45" s="831">
        <f t="shared" si="12"/>
        <v>100</v>
      </c>
      <c r="X45" s="832"/>
      <c r="Y45" s="822"/>
      <c r="Z45" s="833">
        <f t="shared" si="13"/>
        <v>111</v>
      </c>
      <c r="AA45" s="708">
        <f t="shared" si="3"/>
        <v>1</v>
      </c>
      <c r="AB45" s="708">
        <f t="shared" si="4"/>
        <v>1</v>
      </c>
      <c r="AC45" s="708">
        <f t="shared" si="5"/>
        <v>1</v>
      </c>
    </row>
    <row r="46" ht="15" spans="1:29">
      <c r="A46" s="845" t="s">
        <v>1877</v>
      </c>
      <c r="B46" s="846" t="s">
        <v>1896</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1215</v>
      </c>
      <c r="B47" s="858"/>
      <c r="C47" s="859" t="e">
        <f>R48</f>
        <v>#DIV/0!</v>
      </c>
      <c r="D47" s="860" t="s">
        <v>1216</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1897</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1218</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1219</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1220</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1898</v>
      </c>
      <c r="B55" s="887" t="s">
        <v>1899</v>
      </c>
      <c r="C55" s="888" t="s">
        <v>1900</v>
      </c>
      <c r="D55" s="889" t="s">
        <v>1901</v>
      </c>
      <c r="E55" s="890" t="s">
        <v>1902</v>
      </c>
      <c r="F55" s="1052" t="s">
        <v>1903</v>
      </c>
      <c r="G55" s="697" t="s">
        <v>1904</v>
      </c>
      <c r="H55" s="892"/>
      <c r="I55" s="1053" t="s">
        <v>1905</v>
      </c>
      <c r="J55" s="1054">
        <f>项目基本情况!F35</f>
        <v>0</v>
      </c>
      <c r="K55" s="893" t="s">
        <v>1906</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1907</v>
      </c>
      <c r="B56" s="895" t="e">
        <f>C48</f>
        <v>#DIV/0!</v>
      </c>
      <c r="C56" s="896">
        <v>1</v>
      </c>
      <c r="D56" s="897">
        <v>1</v>
      </c>
      <c r="E56" s="896">
        <f>'数据-汇总表'!E8+'数据-汇总表'!E9</f>
        <v>50.74</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1908</v>
      </c>
      <c r="B57" s="377" t="e">
        <f>ROUND($C$48*C57*D57,0)</f>
        <v>#DIV/0!</v>
      </c>
      <c r="C57" s="903">
        <f t="shared" ref="C57:C64" si="16">IF($C$55="北京市系数",I57,J57)</f>
        <v>0</v>
      </c>
      <c r="D57" s="904">
        <v>0.25</v>
      </c>
      <c r="E57" s="905"/>
      <c r="F57" s="1055" t="e">
        <f t="shared" si="15"/>
        <v>#DIV/0!</v>
      </c>
      <c r="G57" s="906" t="s">
        <v>1909</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1910</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1911</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1912</v>
      </c>
      <c r="B60" s="377" t="e">
        <f t="shared" si="17"/>
        <v>#DIV/0!</v>
      </c>
      <c r="C60" s="903">
        <f t="shared" si="16"/>
        <v>0.25</v>
      </c>
      <c r="D60" s="904">
        <v>0.25</v>
      </c>
      <c r="E60" s="376">
        <f>'数据-汇总表'!E11</f>
        <v>0</v>
      </c>
      <c r="F60" s="1055" t="e">
        <f t="shared" si="15"/>
        <v>#DIV/0!</v>
      </c>
      <c r="G60" s="911" t="s">
        <v>1913</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1914</v>
      </c>
      <c r="B61" s="377" t="e">
        <f t="shared" si="17"/>
        <v>#DIV/0!</v>
      </c>
      <c r="C61" s="903">
        <f t="shared" si="16"/>
        <v>0.25</v>
      </c>
      <c r="D61" s="904">
        <v>0.25</v>
      </c>
      <c r="E61" s="376">
        <f>'数据-汇总表'!E12</f>
        <v>0</v>
      </c>
      <c r="F61" s="1055" t="e">
        <f t="shared" si="15"/>
        <v>#DIV/0!</v>
      </c>
      <c r="G61" s="912" t="s">
        <v>1915</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1916</v>
      </c>
      <c r="B62" s="377" t="e">
        <f t="shared" si="17"/>
        <v>#DIV/0!</v>
      </c>
      <c r="C62" s="903">
        <f t="shared" si="16"/>
        <v>0</v>
      </c>
      <c r="D62" s="904">
        <v>0.25</v>
      </c>
      <c r="E62" s="376">
        <f>'数据-汇总表'!E13</f>
        <v>0</v>
      </c>
      <c r="F62" s="1055" t="e">
        <f t="shared" si="15"/>
        <v>#DIV/0!</v>
      </c>
      <c r="G62" s="912" t="s">
        <v>1917</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1918</v>
      </c>
      <c r="B63" s="377" t="e">
        <f t="shared" si="17"/>
        <v>#DIV/0!</v>
      </c>
      <c r="C63" s="903">
        <f t="shared" si="16"/>
        <v>0</v>
      </c>
      <c r="D63" s="904">
        <v>0.25</v>
      </c>
      <c r="E63" s="376">
        <f>'数据-汇总表'!E14</f>
        <v>0</v>
      </c>
      <c r="F63" s="1055" t="e">
        <f t="shared" si="15"/>
        <v>#DIV/0!</v>
      </c>
      <c r="G63" s="911" t="s">
        <v>1909</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1919</v>
      </c>
      <c r="B64" s="377" t="e">
        <f t="shared" si="17"/>
        <v>#DIV/0!</v>
      </c>
      <c r="C64" s="903">
        <f t="shared" si="16"/>
        <v>0.15</v>
      </c>
      <c r="D64" s="904">
        <v>0.25</v>
      </c>
      <c r="E64" s="376">
        <f>'数据-汇总表'!E15</f>
        <v>0</v>
      </c>
      <c r="F64" s="1055" t="e">
        <f t="shared" si="15"/>
        <v>#DIV/0!</v>
      </c>
      <c r="G64" s="913" t="s">
        <v>1913</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1920</v>
      </c>
      <c r="B65" s="916" t="s">
        <v>1921</v>
      </c>
      <c r="C65" s="916" t="s">
        <v>1921</v>
      </c>
      <c r="D65" s="916" t="s">
        <v>1921</v>
      </c>
      <c r="E65" s="916">
        <f>IF(B46="楼面地价",SUM(E56:E64),'数据-汇总表'!D3)</f>
        <v>50.74</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1221</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1922</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1923</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1222</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1180</v>
      </c>
      <c r="B72" s="948"/>
      <c r="C72" s="949" t="s">
        <v>1223</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1224</v>
      </c>
      <c r="B74" s="957" t="s">
        <v>1185</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1189</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1190</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1191</v>
      </c>
      <c r="B87" s="957" t="s">
        <v>1828</v>
      </c>
      <c r="C87" s="1000" t="s">
        <v>1225</v>
      </c>
      <c r="D87" s="1000" t="s">
        <v>1226</v>
      </c>
      <c r="E87" s="1000" t="s">
        <v>1227</v>
      </c>
      <c r="F87" s="1000" t="s">
        <v>1228</v>
      </c>
      <c r="G87" s="1000" t="s">
        <v>1229</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1855</v>
      </c>
      <c r="C89" s="1005" t="s">
        <v>1225</v>
      </c>
      <c r="D89" s="1005" t="s">
        <v>1226</v>
      </c>
      <c r="E89" s="1005" t="s">
        <v>1227</v>
      </c>
      <c r="F89" s="1005" t="s">
        <v>1228</v>
      </c>
      <c r="G89" s="1005" t="s">
        <v>1229</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1192</v>
      </c>
      <c r="C91" s="1005" t="s">
        <v>1225</v>
      </c>
      <c r="D91" s="1005" t="s">
        <v>1226</v>
      </c>
      <c r="E91" s="1005" t="s">
        <v>1227</v>
      </c>
      <c r="F91" s="1005" t="s">
        <v>1228</v>
      </c>
      <c r="G91" s="1005" t="s">
        <v>1229</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1194</v>
      </c>
      <c r="C93" s="1005" t="s">
        <v>1225</v>
      </c>
      <c r="D93" s="1005" t="s">
        <v>1226</v>
      </c>
      <c r="E93" s="1005" t="s">
        <v>1227</v>
      </c>
      <c r="F93" s="1005" t="s">
        <v>1228</v>
      </c>
      <c r="G93" s="1005" t="s">
        <v>1229</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1888</v>
      </c>
      <c r="C95" s="1005" t="s">
        <v>1225</v>
      </c>
      <c r="D95" s="1005" t="s">
        <v>1226</v>
      </c>
      <c r="E95" s="1005" t="s">
        <v>1227</v>
      </c>
      <c r="F95" s="1005" t="s">
        <v>1228</v>
      </c>
      <c r="G95" s="1005" t="s">
        <v>1229</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1889</v>
      </c>
      <c r="C97" s="1000" t="s">
        <v>1225</v>
      </c>
      <c r="D97" s="1000" t="s">
        <v>1226</v>
      </c>
      <c r="E97" s="1000" t="s">
        <v>1227</v>
      </c>
      <c r="F97" s="1000" t="s">
        <v>1228</v>
      </c>
      <c r="G97" s="1000" t="s">
        <v>1229</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1195</v>
      </c>
      <c r="C99" s="1000" t="s">
        <v>1225</v>
      </c>
      <c r="D99" s="1000" t="s">
        <v>1226</v>
      </c>
      <c r="E99" s="1000" t="s">
        <v>1227</v>
      </c>
      <c r="F99" s="1000" t="s">
        <v>1228</v>
      </c>
      <c r="G99" s="1000" t="s">
        <v>1229</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1196</v>
      </c>
      <c r="C101" s="797" t="s">
        <v>1230</v>
      </c>
      <c r="D101" s="797" t="s">
        <v>1231</v>
      </c>
      <c r="E101" s="797" t="s">
        <v>1232</v>
      </c>
      <c r="F101" s="797" t="s">
        <v>1233</v>
      </c>
      <c r="G101" s="797" t="s">
        <v>1234</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1924</v>
      </c>
      <c r="D103" s="967" t="s">
        <v>1925</v>
      </c>
      <c r="E103" s="967" t="s">
        <v>1926</v>
      </c>
      <c r="F103" s="967" t="s">
        <v>1927</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1198</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1890</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1201</v>
      </c>
      <c r="B115" s="957" t="s">
        <v>1891</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1892</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1893</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1894</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1895</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1863</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1928</v>
      </c>
      <c r="D6" s="724"/>
      <c r="E6" s="725" t="s">
        <v>1928</v>
      </c>
      <c r="F6" s="726"/>
      <c r="G6" s="723" t="s">
        <v>1928</v>
      </c>
      <c r="H6" s="724"/>
      <c r="I6" s="723" t="s">
        <v>1928</v>
      </c>
      <c r="J6" s="724"/>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0" si="3">D8/F8</f>
        <v>#DIV/0!</v>
      </c>
      <c r="AB8" s="748" t="e">
        <f t="shared" ref="AB8:AB40" si="4">D8/H8</f>
        <v>#DIV/0!</v>
      </c>
      <c r="AC8" s="748" t="e">
        <f t="shared" ref="AC8:AC40" si="5">D8/J8</f>
        <v>#DIV/0!</v>
      </c>
    </row>
    <row r="9" s="668" customFormat="1" spans="1:29">
      <c r="A9" s="750" t="s">
        <v>1184</v>
      </c>
      <c r="B9" s="751" t="s">
        <v>1185</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784" t="s">
        <v>1864</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1194</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1888</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1179</v>
      </c>
      <c r="S19" s="791">
        <f>F19</f>
        <v>100</v>
      </c>
      <c r="T19" s="790" t="s">
        <v>1179</v>
      </c>
      <c r="U19" s="791">
        <f>H19</f>
        <v>100</v>
      </c>
      <c r="V19" s="790" t="s">
        <v>1179</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1929</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1179</v>
      </c>
      <c r="S21" s="791">
        <f>F21</f>
        <v>100</v>
      </c>
      <c r="T21" s="790" t="s">
        <v>1179</v>
      </c>
      <c r="U21" s="791">
        <f>H21</f>
        <v>100</v>
      </c>
      <c r="V21" s="790" t="s">
        <v>1179</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1195</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1179</v>
      </c>
      <c r="S23" s="745">
        <f>F23</f>
        <v>100</v>
      </c>
      <c r="T23" s="744" t="s">
        <v>1179</v>
      </c>
      <c r="U23" s="745">
        <f>H23</f>
        <v>100</v>
      </c>
      <c r="V23" s="744" t="s">
        <v>1179</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1196</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1179</v>
      </c>
      <c r="S25" s="745">
        <f>F25</f>
        <v>100</v>
      </c>
      <c r="T25" s="744" t="s">
        <v>1179</v>
      </c>
      <c r="U25" s="745">
        <f>H25</f>
        <v>100</v>
      </c>
      <c r="V25" s="744" t="s">
        <v>1179</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1856</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1179</v>
      </c>
      <c r="S27" s="791">
        <f t="shared" ref="S27:S40" si="10">F27</f>
        <v>100</v>
      </c>
      <c r="T27" s="790" t="s">
        <v>1179</v>
      </c>
      <c r="U27" s="791">
        <f t="shared" ref="U27:U40" si="11">H27</f>
        <v>100</v>
      </c>
      <c r="V27" s="790" t="s">
        <v>1179</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1198</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1179</v>
      </c>
      <c r="S28" s="791">
        <f t="shared" si="10"/>
        <v>100</v>
      </c>
      <c r="T28" s="790" t="s">
        <v>1179</v>
      </c>
      <c r="U28" s="791">
        <f t="shared" si="11"/>
        <v>100</v>
      </c>
      <c r="V28" s="790" t="s">
        <v>1179</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1890</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1179</v>
      </c>
      <c r="S30" s="791">
        <f t="shared" si="10"/>
        <v>100</v>
      </c>
      <c r="T30" s="790" t="s">
        <v>1179</v>
      </c>
      <c r="U30" s="791">
        <f t="shared" si="11"/>
        <v>100</v>
      </c>
      <c r="V30" s="790" t="s">
        <v>1179</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1179</v>
      </c>
      <c r="S31" s="791">
        <f t="shared" si="10"/>
        <v>100</v>
      </c>
      <c r="T31" s="790" t="s">
        <v>1179</v>
      </c>
      <c r="U31" s="791">
        <f t="shared" si="11"/>
        <v>100</v>
      </c>
      <c r="V31" s="790" t="s">
        <v>1179</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1203</v>
      </c>
      <c r="Q32" s="755">
        <f t="shared" si="8"/>
        <v>111</v>
      </c>
      <c r="R32" s="790" t="s">
        <v>1179</v>
      </c>
      <c r="S32" s="791">
        <f t="shared" si="10"/>
        <v>100</v>
      </c>
      <c r="T32" s="790" t="s">
        <v>1179</v>
      </c>
      <c r="U32" s="791">
        <f t="shared" si="11"/>
        <v>100</v>
      </c>
      <c r="V32" s="790" t="s">
        <v>1179</v>
      </c>
      <c r="W32" s="791">
        <f t="shared" si="12"/>
        <v>100</v>
      </c>
      <c r="X32" s="709"/>
      <c r="Y32" s="822" t="s">
        <v>1203</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1179</v>
      </c>
      <c r="S33" s="831">
        <f t="shared" si="10"/>
        <v>100</v>
      </c>
      <c r="T33" s="830" t="s">
        <v>1179</v>
      </c>
      <c r="U33" s="831">
        <f t="shared" si="11"/>
        <v>100</v>
      </c>
      <c r="V33" s="830" t="s">
        <v>1179</v>
      </c>
      <c r="W33" s="831">
        <f t="shared" si="12"/>
        <v>100</v>
      </c>
      <c r="X33" s="832"/>
      <c r="Y33" s="822"/>
      <c r="Z33" s="833">
        <f t="shared" si="13"/>
        <v>111</v>
      </c>
      <c r="AA33" s="708">
        <f t="shared" si="3"/>
        <v>1</v>
      </c>
      <c r="AB33" s="708">
        <f t="shared" si="4"/>
        <v>1</v>
      </c>
      <c r="AC33" s="708">
        <f t="shared" si="5"/>
        <v>1</v>
      </c>
    </row>
    <row r="34" ht="15" spans="1:31">
      <c r="A34" s="783" t="s">
        <v>1201</v>
      </c>
      <c r="B34" s="834" t="s">
        <v>1891</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1179</v>
      </c>
      <c r="S34" s="791" t="e">
        <f t="shared" si="10"/>
        <v>#N/A</v>
      </c>
      <c r="T34" s="790" t="s">
        <v>1179</v>
      </c>
      <c r="U34" s="791" t="e">
        <f t="shared" si="11"/>
        <v>#N/A</v>
      </c>
      <c r="V34" s="790" t="s">
        <v>1179</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1892</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1179</v>
      </c>
      <c r="S35" s="791">
        <f t="shared" si="10"/>
        <v>100</v>
      </c>
      <c r="T35" s="790" t="s">
        <v>1179</v>
      </c>
      <c r="U35" s="791">
        <f t="shared" si="11"/>
        <v>100</v>
      </c>
      <c r="V35" s="790" t="s">
        <v>1179</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1894</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1179</v>
      </c>
      <c r="S36" s="745">
        <f t="shared" si="10"/>
        <v>100</v>
      </c>
      <c r="T36" s="744" t="s">
        <v>1179</v>
      </c>
      <c r="U36" s="745">
        <f t="shared" si="11"/>
        <v>100</v>
      </c>
      <c r="V36" s="744" t="s">
        <v>1179</v>
      </c>
      <c r="W36" s="745">
        <f t="shared" si="12"/>
        <v>100</v>
      </c>
      <c r="X36" s="746"/>
      <c r="Y36" s="822"/>
      <c r="Z36" s="748" t="str">
        <f t="shared" si="13"/>
        <v>宗地开发程度</v>
      </c>
      <c r="AA36" s="748">
        <f t="shared" si="3"/>
        <v>1</v>
      </c>
      <c r="AB36" s="748">
        <f t="shared" si="4"/>
        <v>1</v>
      </c>
      <c r="AC36" s="748">
        <f t="shared" si="5"/>
        <v>1</v>
      </c>
    </row>
    <row r="37" ht="15" spans="1:31">
      <c r="A37" s="837"/>
      <c r="B37" s="758" t="s">
        <v>1895</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1203</v>
      </c>
      <c r="Q37" s="755" t="str">
        <f t="shared" si="14"/>
        <v>工程地质条件</v>
      </c>
      <c r="R37" s="790" t="s">
        <v>1179</v>
      </c>
      <c r="S37" s="791">
        <f t="shared" si="10"/>
        <v>100</v>
      </c>
      <c r="T37" s="790" t="s">
        <v>1179</v>
      </c>
      <c r="U37" s="791">
        <f t="shared" si="11"/>
        <v>100</v>
      </c>
      <c r="V37" s="790" t="s">
        <v>1179</v>
      </c>
      <c r="W37" s="791">
        <f t="shared" si="12"/>
        <v>100</v>
      </c>
      <c r="X37" s="709"/>
      <c r="Y37" s="822" t="s">
        <v>1203</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1179</v>
      </c>
      <c r="S38" s="791">
        <f t="shared" si="10"/>
        <v>100</v>
      </c>
      <c r="T38" s="790" t="s">
        <v>1179</v>
      </c>
      <c r="U38" s="791">
        <f t="shared" si="11"/>
        <v>100</v>
      </c>
      <c r="V38" s="790" t="s">
        <v>1179</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1179</v>
      </c>
      <c r="S39" s="791">
        <f t="shared" si="10"/>
        <v>100</v>
      </c>
      <c r="T39" s="790" t="s">
        <v>1179</v>
      </c>
      <c r="U39" s="791">
        <f t="shared" si="11"/>
        <v>100</v>
      </c>
      <c r="V39" s="790" t="s">
        <v>1179</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1179</v>
      </c>
      <c r="S40" s="831">
        <f t="shared" si="10"/>
        <v>100</v>
      </c>
      <c r="T40" s="830" t="s">
        <v>1179</v>
      </c>
      <c r="U40" s="831">
        <f t="shared" si="11"/>
        <v>100</v>
      </c>
      <c r="V40" s="830" t="s">
        <v>1179</v>
      </c>
      <c r="W40" s="831">
        <f t="shared" si="12"/>
        <v>100</v>
      </c>
      <c r="X40" s="832"/>
      <c r="Y40" s="822"/>
      <c r="Z40" s="833">
        <f t="shared" si="13"/>
        <v>111</v>
      </c>
      <c r="AA40" s="708">
        <f t="shared" si="3"/>
        <v>1</v>
      </c>
      <c r="AB40" s="708">
        <f t="shared" si="4"/>
        <v>1</v>
      </c>
      <c r="AC40" s="708">
        <f t="shared" si="5"/>
        <v>1</v>
      </c>
    </row>
    <row r="41" ht="15" spans="1:31">
      <c r="A41" s="845" t="s">
        <v>1877</v>
      </c>
      <c r="B41" s="846" t="s">
        <v>1930</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1215</v>
      </c>
      <c r="B42" s="858"/>
      <c r="C42" s="859" t="e">
        <f>R43</f>
        <v>#DIV/0!</v>
      </c>
      <c r="D42" s="860" t="s">
        <v>1216</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1217</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1898</v>
      </c>
      <c r="B50" s="887" t="s">
        <v>1899</v>
      </c>
      <c r="C50" s="888" t="s">
        <v>1900</v>
      </c>
      <c r="D50" s="889" t="s">
        <v>1901</v>
      </c>
      <c r="E50" s="890" t="s">
        <v>1902</v>
      </c>
      <c r="F50" s="891" t="s">
        <v>1903</v>
      </c>
      <c r="G50" s="697" t="s">
        <v>1904</v>
      </c>
      <c r="H50" s="892"/>
      <c r="I50" s="708" t="s">
        <v>1931</v>
      </c>
      <c r="J50" s="708">
        <f>项目基本情况!F35</f>
        <v>0</v>
      </c>
      <c r="K50" s="893" t="s">
        <v>1906</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1907</v>
      </c>
      <c r="B51" s="895" t="e">
        <f>C43</f>
        <v>#DIV/0!</v>
      </c>
      <c r="C51" s="896">
        <v>1</v>
      </c>
      <c r="D51" s="897">
        <v>1</v>
      </c>
      <c r="E51" s="896">
        <f>'数据-汇总表'!E8+'数据-汇总表'!E9</f>
        <v>50.74</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1908</v>
      </c>
      <c r="B52" s="377" t="e">
        <f>ROUND($C$43*C52*D52,0)</f>
        <v>#DIV/0!</v>
      </c>
      <c r="C52" s="903">
        <f t="shared" ref="C52:C60" si="16">IF($C$50="北京市系数",I52,J52)</f>
        <v>0</v>
      </c>
      <c r="D52" s="904">
        <v>0.25</v>
      </c>
      <c r="E52" s="905"/>
      <c r="F52" s="898" t="e">
        <f t="shared" si="15"/>
        <v>#DIV/0!</v>
      </c>
      <c r="G52" s="906" t="s">
        <v>1909</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1910</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1911</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1912</v>
      </c>
      <c r="B56" s="377" t="e">
        <f t="shared" si="17"/>
        <v>#DIV/0!</v>
      </c>
      <c r="C56" s="903">
        <f t="shared" si="16"/>
        <v>0.25</v>
      </c>
      <c r="D56" s="904">
        <v>0.25</v>
      </c>
      <c r="E56" s="376">
        <f>'数据-汇总表'!E11</f>
        <v>0</v>
      </c>
      <c r="F56" s="898" t="e">
        <f t="shared" si="15"/>
        <v>#DIV/0!</v>
      </c>
      <c r="G56" s="911" t="s">
        <v>1913</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1914</v>
      </c>
      <c r="B57" s="377" t="e">
        <f t="shared" si="17"/>
        <v>#DIV/0!</v>
      </c>
      <c r="C57" s="903">
        <f t="shared" si="16"/>
        <v>0.25</v>
      </c>
      <c r="D57" s="904">
        <v>0.25</v>
      </c>
      <c r="E57" s="376">
        <f>'数据-汇总表'!E12</f>
        <v>0</v>
      </c>
      <c r="F57" s="898" t="e">
        <f t="shared" si="15"/>
        <v>#DIV/0!</v>
      </c>
      <c r="G57" s="912" t="s">
        <v>1915</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1916</v>
      </c>
      <c r="B58" s="377" t="e">
        <f t="shared" si="17"/>
        <v>#DIV/0!</v>
      </c>
      <c r="C58" s="903">
        <f t="shared" si="16"/>
        <v>0</v>
      </c>
      <c r="D58" s="904">
        <v>0.25</v>
      </c>
      <c r="E58" s="376">
        <f>'数据-汇总表'!E13</f>
        <v>0</v>
      </c>
      <c r="F58" s="898" t="e">
        <f t="shared" si="15"/>
        <v>#DIV/0!</v>
      </c>
      <c r="G58" s="912" t="s">
        <v>1917</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1918</v>
      </c>
      <c r="B59" s="377" t="e">
        <f t="shared" si="17"/>
        <v>#DIV/0!</v>
      </c>
      <c r="C59" s="903">
        <f t="shared" si="16"/>
        <v>0</v>
      </c>
      <c r="D59" s="904">
        <v>0.25</v>
      </c>
      <c r="E59" s="376">
        <f>'数据-汇总表'!E14</f>
        <v>0</v>
      </c>
      <c r="F59" s="898" t="e">
        <f t="shared" si="15"/>
        <v>#DIV/0!</v>
      </c>
      <c r="G59" s="911" t="s">
        <v>1909</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1919</v>
      </c>
      <c r="B60" s="377" t="e">
        <f t="shared" si="17"/>
        <v>#DIV/0!</v>
      </c>
      <c r="C60" s="903">
        <f t="shared" si="16"/>
        <v>0.15</v>
      </c>
      <c r="D60" s="904">
        <v>0.25</v>
      </c>
      <c r="E60" s="376">
        <f>'数据-汇总表'!E15</f>
        <v>0</v>
      </c>
      <c r="F60" s="898" t="e">
        <f t="shared" si="15"/>
        <v>#DIV/0!</v>
      </c>
      <c r="G60" s="913" t="s">
        <v>1913</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1920</v>
      </c>
      <c r="B61" s="916" t="s">
        <v>1921</v>
      </c>
      <c r="C61" s="916" t="s">
        <v>1921</v>
      </c>
      <c r="D61" s="916" t="s">
        <v>1921</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1221</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1922</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1932</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1222</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1180</v>
      </c>
      <c r="B68" s="948"/>
      <c r="C68" s="949" t="s">
        <v>1223</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1224</v>
      </c>
      <c r="B70" s="957" t="s">
        <v>1185</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1189</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1190</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1191</v>
      </c>
      <c r="B83" s="957" t="s">
        <v>1864</v>
      </c>
      <c r="C83" s="1000" t="s">
        <v>1225</v>
      </c>
      <c r="D83" s="1000" t="s">
        <v>1226</v>
      </c>
      <c r="E83" s="1000" t="s">
        <v>1227</v>
      </c>
      <c r="F83" s="1000" t="s">
        <v>1228</v>
      </c>
      <c r="G83" s="1000" t="s">
        <v>1229</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1194</v>
      </c>
      <c r="C85" s="1005" t="s">
        <v>1225</v>
      </c>
      <c r="D85" s="1005" t="s">
        <v>1226</v>
      </c>
      <c r="E85" s="1005" t="s">
        <v>1227</v>
      </c>
      <c r="F85" s="1005" t="s">
        <v>1228</v>
      </c>
      <c r="G85" s="1005" t="s">
        <v>1229</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1888</v>
      </c>
      <c r="C87" s="1000" t="s">
        <v>1225</v>
      </c>
      <c r="D87" s="1000" t="s">
        <v>1226</v>
      </c>
      <c r="E87" s="1000" t="s">
        <v>1227</v>
      </c>
      <c r="F87" s="1000" t="s">
        <v>1228</v>
      </c>
      <c r="G87" s="1000" t="s">
        <v>1229</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1889</v>
      </c>
      <c r="C89" s="1000" t="s">
        <v>1225</v>
      </c>
      <c r="D89" s="1000" t="s">
        <v>1226</v>
      </c>
      <c r="E89" s="1000" t="s">
        <v>1227</v>
      </c>
      <c r="F89" s="1000" t="s">
        <v>1228</v>
      </c>
      <c r="G89" s="1000" t="s">
        <v>1229</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1195</v>
      </c>
      <c r="C91" s="1000" t="s">
        <v>1225</v>
      </c>
      <c r="D91" s="1000" t="s">
        <v>1226</v>
      </c>
      <c r="E91" s="1000" t="s">
        <v>1227</v>
      </c>
      <c r="F91" s="1000" t="s">
        <v>1228</v>
      </c>
      <c r="G91" s="1000" t="s">
        <v>1229</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1196</v>
      </c>
      <c r="C93" s="797" t="s">
        <v>1230</v>
      </c>
      <c r="D93" s="797" t="s">
        <v>1231</v>
      </c>
      <c r="E93" s="797" t="s">
        <v>1232</v>
      </c>
      <c r="F93" s="797" t="s">
        <v>1233</v>
      </c>
      <c r="G93" s="797" t="s">
        <v>1234</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1924</v>
      </c>
      <c r="D95" s="967" t="s">
        <v>1925</v>
      </c>
      <c r="E95" s="967" t="s">
        <v>1926</v>
      </c>
      <c r="F95" s="967" t="s">
        <v>1927</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1198</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1890</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1201</v>
      </c>
      <c r="B107" s="957" t="s">
        <v>1891</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1892</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1894</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1895</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 workbookViewId="0">
      <selection activeCell="S7" sqref="S7"/>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1933</v>
      </c>
      <c r="C1" s="553" t="s">
        <v>1934</v>
      </c>
      <c r="D1" s="554"/>
      <c r="E1" s="554"/>
      <c r="F1" s="554"/>
      <c r="G1" s="554"/>
      <c r="H1" s="554"/>
      <c r="I1" s="554"/>
      <c r="J1" s="554"/>
      <c r="K1" s="554"/>
      <c r="L1" s="554"/>
      <c r="M1" s="554"/>
      <c r="N1" s="554"/>
      <c r="O1" s="554"/>
      <c r="P1" s="554"/>
      <c r="Q1" s="554"/>
      <c r="R1" s="554"/>
      <c r="S1" s="555"/>
      <c r="T1" s="552" t="s">
        <v>1317</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1935</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1936</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1937</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1938</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1939</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1940</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1941</v>
      </c>
      <c r="B17" s="625" t="s">
        <v>1942</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1943</v>
      </c>
      <c r="E19" s="644"/>
      <c r="F19" s="644"/>
      <c r="G19" s="644"/>
      <c r="H19" s="645"/>
      <c r="I19" s="642"/>
      <c r="J19" s="642"/>
      <c r="K19" s="642"/>
      <c r="L19" s="642"/>
      <c r="M19" s="642"/>
      <c r="N19" s="642"/>
      <c r="O19" s="642"/>
      <c r="P19" s="642"/>
      <c r="Q19" s="642"/>
      <c r="R19" s="642"/>
      <c r="S19" s="641"/>
    </row>
    <row r="20" ht="16.5" spans="1:45">
      <c r="A20" s="646" t="s">
        <v>1944</v>
      </c>
      <c r="B20" s="647" t="e">
        <f ca="1">IF(D20="——",S22,S22-F20)</f>
        <v>#REF!</v>
      </c>
      <c r="C20" s="642"/>
      <c r="D20" s="648"/>
      <c r="E20" s="649"/>
      <c r="F20" s="552" t="e">
        <f ca="1">SUMIF(INDIRECT("'"&amp;H20&amp;"'"&amp;"!A:A"),"承租人权益价值",INDIRECT("'"&amp;H20&amp;"'"&amp;"!c:c"))</f>
        <v>#REF!</v>
      </c>
      <c r="G20" s="552" t="s">
        <v>877</v>
      </c>
      <c r="H20" s="650"/>
      <c r="I20" s="642"/>
      <c r="J20" s="642"/>
      <c r="K20" s="642"/>
      <c r="L20" s="642"/>
      <c r="M20" s="642"/>
      <c r="N20" s="642"/>
      <c r="O20" s="642"/>
      <c r="P20" s="642"/>
      <c r="Q20" s="642"/>
      <c r="R20" s="642"/>
      <c r="S20" s="641"/>
    </row>
    <row r="21" ht="15.75" spans="1:45">
      <c r="A21" s="646" t="s">
        <v>1945</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1946</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1947</v>
      </c>
      <c r="B23" s="656" t="s">
        <v>505</v>
      </c>
      <c r="C23" s="656" t="s">
        <v>1317</v>
      </c>
      <c r="D23" s="656" t="str">
        <f>B5</f>
        <v>修正项2</v>
      </c>
      <c r="E23" s="656" t="s">
        <v>1317</v>
      </c>
      <c r="F23" s="656" t="str">
        <f>B7</f>
        <v>修正项3</v>
      </c>
      <c r="G23" s="656" t="s">
        <v>1317</v>
      </c>
      <c r="H23" s="656" t="str">
        <f>B9</f>
        <v>修正项4</v>
      </c>
      <c r="I23" s="656" t="s">
        <v>1317</v>
      </c>
      <c r="J23" s="656" t="str">
        <f>B11</f>
        <v>修正项5</v>
      </c>
      <c r="K23" s="656" t="s">
        <v>1317</v>
      </c>
      <c r="L23" s="656" t="str">
        <f>B13</f>
        <v>修正项6</v>
      </c>
      <c r="M23" s="656" t="s">
        <v>1317</v>
      </c>
      <c r="N23" s="656" t="str">
        <f>B15</f>
        <v>修正项7</v>
      </c>
      <c r="O23" s="656" t="s">
        <v>1317</v>
      </c>
      <c r="P23" s="656" t="str">
        <f>B17</f>
        <v>楼层</v>
      </c>
      <c r="Q23" s="656" t="s">
        <v>1317</v>
      </c>
      <c r="R23" s="656" t="s">
        <v>1948</v>
      </c>
      <c r="S23" s="656" t="s">
        <v>1949</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1950</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1951</v>
      </c>
      <c r="B1" s="533"/>
      <c r="C1" s="533"/>
      <c r="D1" s="533"/>
      <c r="E1" s="533"/>
      <c r="F1" s="534"/>
      <c r="G1" s="534"/>
      <c r="H1" s="534"/>
      <c r="I1" s="534"/>
      <c r="J1" s="534"/>
      <c r="K1" s="534"/>
      <c r="L1" s="534"/>
      <c r="M1" s="534"/>
      <c r="N1" s="534"/>
      <c r="O1" s="534"/>
      <c r="P1" s="534"/>
    </row>
    <row r="2" spans="1:16">
      <c r="A2" s="535" t="s">
        <v>97</v>
      </c>
      <c r="B2" s="536">
        <f ca="1">SUMIF(B6:B13,"&lt;&gt;#ref!",B6:B13)</f>
        <v>83</v>
      </c>
      <c r="C2" s="535" t="s">
        <v>1952</v>
      </c>
      <c r="D2" s="535" t="s">
        <v>1953</v>
      </c>
      <c r="E2" s="537">
        <f ca="1">SUMIF(E6:E13,"&lt;&gt;#ref!",E6:E13)</f>
        <v>50.74</v>
      </c>
      <c r="F2" s="534"/>
      <c r="G2" s="534"/>
      <c r="H2" s="534"/>
      <c r="I2" s="534"/>
      <c r="J2" s="534"/>
      <c r="K2" s="534"/>
      <c r="L2" s="534"/>
      <c r="M2" s="534"/>
      <c r="N2" s="534"/>
      <c r="O2" s="534"/>
      <c r="P2" s="534"/>
    </row>
    <row r="3" ht="15.75" spans="1:16">
      <c r="A3" s="535" t="s">
        <v>1954</v>
      </c>
      <c r="B3" s="536">
        <f ca="1">ROUND(B2*10000/E2,0)</f>
        <v>16358</v>
      </c>
      <c r="C3" s="535" t="s">
        <v>1955</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1956</v>
      </c>
      <c r="B5" s="540" t="s">
        <v>1957</v>
      </c>
      <c r="C5" s="541"/>
      <c r="D5" s="534"/>
      <c r="E5" s="542" t="s">
        <v>1958</v>
      </c>
      <c r="F5" s="534"/>
      <c r="G5" s="534"/>
      <c r="H5" s="534"/>
      <c r="I5" s="534"/>
      <c r="J5" s="534"/>
      <c r="K5" s="534"/>
      <c r="L5" s="534"/>
      <c r="M5" s="534"/>
      <c r="N5" s="534"/>
      <c r="O5" s="534"/>
      <c r="P5" s="534"/>
    </row>
    <row r="6" spans="1:16">
      <c r="A6" s="543" t="s">
        <v>1959</v>
      </c>
      <c r="B6" s="536">
        <f ca="1">SUMIF(INDIRECT("'"&amp;A6&amp;"'"&amp;"!A:A"),"总价",INDIRECT("'"&amp;A6&amp;"'"&amp;"!B:B"))</f>
        <v>83</v>
      </c>
      <c r="C6" s="535" t="s">
        <v>1952</v>
      </c>
      <c r="D6" s="534"/>
      <c r="E6" s="537">
        <f ca="1">SUMIF(INDIRECT("'"&amp;A6&amp;"'"&amp;"!C:C"),"建筑面积",INDIRECT("'"&amp;A6&amp;"'"&amp;"!D:D"))</f>
        <v>50.74</v>
      </c>
      <c r="F6" s="534"/>
      <c r="G6" s="534"/>
      <c r="H6" s="534"/>
      <c r="I6" s="534"/>
      <c r="J6" s="534"/>
      <c r="K6" s="534"/>
      <c r="L6" s="534"/>
      <c r="M6" s="534"/>
      <c r="N6" s="534"/>
      <c r="O6" s="534"/>
      <c r="P6" s="534"/>
    </row>
    <row r="7" ht="15.75" spans="1:16">
      <c r="A7" s="543"/>
      <c r="B7" s="536" t="e">
        <f ca="1">SUMIF(INDIRECT("'"&amp;A7&amp;"'"&amp;"!A:A"),"总价",INDIRECT("'"&amp;A7&amp;"'"&amp;"!B:B"))</f>
        <v>#REF!</v>
      </c>
      <c r="C7" s="535" t="s">
        <v>1952</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1952</v>
      </c>
      <c r="D8" s="534"/>
      <c r="E8" s="537" t="e">
        <f ca="1" t="shared" si="0"/>
        <v>#REF!</v>
      </c>
      <c r="F8" s="534"/>
      <c r="G8" s="534"/>
      <c r="H8" s="534"/>
      <c r="I8" s="534"/>
      <c r="J8" s="534"/>
      <c r="K8" s="534"/>
      <c r="L8" s="534"/>
      <c r="M8" s="534"/>
      <c r="N8" s="534"/>
      <c r="O8" s="534"/>
      <c r="P8" s="534"/>
    </row>
    <row r="9" ht="15.75" spans="1:16">
      <c r="A9" s="543"/>
      <c r="B9" s="536" t="e">
        <f ca="1" t="shared" si="1"/>
        <v>#REF!</v>
      </c>
      <c r="C9" s="535" t="s">
        <v>1952</v>
      </c>
      <c r="D9" s="534"/>
      <c r="E9" s="537" t="e">
        <f ca="1" t="shared" si="0"/>
        <v>#REF!</v>
      </c>
      <c r="F9" s="534"/>
      <c r="G9" s="534"/>
      <c r="H9" s="534"/>
      <c r="I9" s="534"/>
      <c r="J9" s="534"/>
      <c r="K9" s="534"/>
      <c r="L9" s="534"/>
      <c r="M9" s="534"/>
      <c r="N9" s="534"/>
      <c r="O9" s="534"/>
      <c r="P9" s="534"/>
    </row>
    <row r="10" ht="15.75" spans="1:16">
      <c r="A10" s="543"/>
      <c r="B10" s="536" t="e">
        <f ca="1" t="shared" si="1"/>
        <v>#REF!</v>
      </c>
      <c r="C10" s="535" t="s">
        <v>1952</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1952</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1952</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1952</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1960</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1962</v>
      </c>
      <c r="B18" s="488"/>
      <c r="C18" s="489"/>
      <c r="D18" s="489"/>
      <c r="E18" s="488"/>
      <c r="F18" s="489"/>
      <c r="G18" s="489"/>
    </row>
    <row r="19" customHeight="1" spans="1:13">
      <c r="A19" s="486" t="s">
        <v>1963</v>
      </c>
      <c r="B19" s="490" t="s">
        <v>1964</v>
      </c>
      <c r="C19" s="490" t="s">
        <v>1965</v>
      </c>
      <c r="D19" s="491"/>
      <c r="E19" s="486" t="s">
        <v>1966</v>
      </c>
      <c r="F19" s="492"/>
      <c r="G19" s="492"/>
    </row>
    <row r="20" customHeight="1" spans="1:13">
      <c r="A20" s="493" t="s">
        <v>229</v>
      </c>
      <c r="B20" s="494" t="s">
        <v>1967</v>
      </c>
      <c r="C20" s="494" t="s">
        <v>244</v>
      </c>
      <c r="D20" s="494"/>
      <c r="E20" s="495">
        <v>1</v>
      </c>
      <c r="F20" s="496" t="s">
        <v>1968</v>
      </c>
      <c r="G20" s="496"/>
    </row>
    <row r="21" customHeight="1" spans="1:13">
      <c r="A21" s="497"/>
      <c r="B21" s="498"/>
      <c r="C21" s="498" t="s">
        <v>259</v>
      </c>
      <c r="D21" s="498"/>
      <c r="E21" s="499">
        <v>1</v>
      </c>
      <c r="F21" s="496" t="s">
        <v>1969</v>
      </c>
      <c r="G21" s="496"/>
    </row>
    <row r="22" customHeight="1" spans="1:13">
      <c r="A22" s="497"/>
      <c r="B22" s="498"/>
      <c r="C22" s="498" t="s">
        <v>270</v>
      </c>
      <c r="D22" s="498"/>
      <c r="E22" s="499">
        <v>0.9</v>
      </c>
      <c r="F22" s="496" t="s">
        <v>1970</v>
      </c>
      <c r="G22" s="496"/>
    </row>
    <row r="23" customHeight="1" spans="1:13">
      <c r="A23" s="497"/>
      <c r="B23" s="498"/>
      <c r="C23" s="498" t="s">
        <v>281</v>
      </c>
      <c r="D23" s="498"/>
      <c r="E23" s="499">
        <v>0.9</v>
      </c>
      <c r="F23" s="496" t="s">
        <v>1971</v>
      </c>
      <c r="G23" s="496"/>
    </row>
    <row r="24" customHeight="1" spans="1:13">
      <c r="A24" s="497"/>
      <c r="B24" s="498"/>
      <c r="C24" s="498" t="s">
        <v>290</v>
      </c>
      <c r="D24" s="498"/>
      <c r="E24" s="499">
        <v>0.8</v>
      </c>
      <c r="F24" s="496" t="s">
        <v>1972</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1973</v>
      </c>
      <c r="G27" s="496"/>
    </row>
    <row r="28" customHeight="1" spans="1:13">
      <c r="A28" s="503" t="s">
        <v>230</v>
      </c>
      <c r="B28" s="504" t="s">
        <v>1967</v>
      </c>
      <c r="C28" s="505" t="s">
        <v>245</v>
      </c>
      <c r="D28" s="506"/>
      <c r="E28" s="507">
        <v>1</v>
      </c>
      <c r="F28" s="496" t="s">
        <v>1974</v>
      </c>
      <c r="G28" s="496"/>
    </row>
    <row r="29" customHeight="1" spans="1:13">
      <c r="A29" s="508" t="s">
        <v>231</v>
      </c>
      <c r="B29" s="509" t="s">
        <v>231</v>
      </c>
      <c r="C29" s="510" t="s">
        <v>246</v>
      </c>
      <c r="D29" s="511"/>
      <c r="E29" s="495">
        <v>1</v>
      </c>
      <c r="F29" s="496" t="s">
        <v>1975</v>
      </c>
      <c r="G29" s="496"/>
    </row>
    <row r="30" customHeight="1" spans="1:13">
      <c r="A30" s="512"/>
      <c r="B30" s="513"/>
      <c r="C30" s="514" t="s">
        <v>260</v>
      </c>
      <c r="D30" s="515"/>
      <c r="E30" s="499">
        <v>1</v>
      </c>
      <c r="F30" s="496" t="s">
        <v>1976</v>
      </c>
      <c r="G30" s="496"/>
    </row>
    <row r="31" customHeight="1" spans="1:13">
      <c r="A31" s="512"/>
      <c r="B31" s="513"/>
      <c r="C31" s="514" t="s">
        <v>271</v>
      </c>
      <c r="D31" s="515"/>
      <c r="E31" s="499">
        <v>0.8</v>
      </c>
      <c r="F31" s="496" t="s">
        <v>1977</v>
      </c>
      <c r="G31" s="496"/>
    </row>
    <row r="32" customHeight="1" spans="1:13">
      <c r="A32" s="512"/>
      <c r="B32" s="513"/>
      <c r="C32" s="514" t="s">
        <v>282</v>
      </c>
      <c r="D32" s="515"/>
      <c r="E32" s="499">
        <v>0.8</v>
      </c>
      <c r="F32" s="496" t="s">
        <v>1978</v>
      </c>
      <c r="G32" s="496"/>
    </row>
    <row r="33" customHeight="1" spans="1:7">
      <c r="A33" s="512"/>
      <c r="B33" s="513"/>
      <c r="C33" s="514" t="s">
        <v>291</v>
      </c>
      <c r="D33" s="515"/>
      <c r="E33" s="499">
        <v>0.8</v>
      </c>
      <c r="F33" s="496" t="s">
        <v>1979</v>
      </c>
      <c r="G33" s="496"/>
    </row>
    <row r="34" customHeight="1" spans="1:7">
      <c r="A34" s="512"/>
      <c r="B34" s="513"/>
      <c r="C34" s="514" t="s">
        <v>299</v>
      </c>
      <c r="D34" s="515"/>
      <c r="E34" s="499">
        <v>0.7</v>
      </c>
      <c r="F34" s="496" t="s">
        <v>1980</v>
      </c>
      <c r="G34" s="496"/>
    </row>
    <row r="35" customHeight="1" spans="1:7">
      <c r="A35" s="512"/>
      <c r="B35" s="513"/>
      <c r="C35" s="514" t="s">
        <v>307</v>
      </c>
      <c r="D35" s="515"/>
      <c r="E35" s="499">
        <v>0.8</v>
      </c>
      <c r="F35" s="496" t="s">
        <v>1981</v>
      </c>
      <c r="G35" s="496"/>
    </row>
    <row r="36" customHeight="1" spans="1:7">
      <c r="A36" s="512"/>
      <c r="B36" s="513"/>
      <c r="C36" s="514" t="s">
        <v>314</v>
      </c>
      <c r="D36" s="515"/>
      <c r="E36" s="499">
        <v>0.6</v>
      </c>
      <c r="F36" s="496" t="s">
        <v>1982</v>
      </c>
      <c r="G36" s="496"/>
    </row>
    <row r="37" customHeight="1" spans="1:7">
      <c r="A37" s="512"/>
      <c r="B37" s="513"/>
      <c r="C37" s="514" t="s">
        <v>320</v>
      </c>
      <c r="D37" s="515"/>
      <c r="E37" s="499">
        <v>0.2</v>
      </c>
      <c r="F37" s="496" t="s">
        <v>1983</v>
      </c>
      <c r="G37" s="496"/>
    </row>
    <row r="38" customHeight="1" spans="1:7">
      <c r="A38" s="512"/>
      <c r="B38" s="513"/>
      <c r="C38" s="514" t="s">
        <v>326</v>
      </c>
      <c r="D38" s="515"/>
      <c r="E38" s="499">
        <v>0.2</v>
      </c>
      <c r="F38" s="496" t="s">
        <v>1984</v>
      </c>
      <c r="G38" s="496"/>
    </row>
    <row r="39" customHeight="1" spans="1:7">
      <c r="A39" s="512"/>
      <c r="B39" s="516" t="s">
        <v>1985</v>
      </c>
      <c r="C39" s="514" t="s">
        <v>332</v>
      </c>
      <c r="D39" s="515"/>
      <c r="E39" s="499">
        <v>0.6</v>
      </c>
      <c r="F39" s="496" t="s">
        <v>1986</v>
      </c>
      <c r="G39" s="496"/>
    </row>
    <row r="40" customHeight="1" spans="1:7">
      <c r="A40" s="512"/>
      <c r="B40" s="513"/>
      <c r="C40" s="514" t="s">
        <v>338</v>
      </c>
      <c r="D40" s="515"/>
      <c r="E40" s="499">
        <v>0.6</v>
      </c>
      <c r="F40" s="496" t="s">
        <v>1987</v>
      </c>
      <c r="G40" s="496"/>
    </row>
    <row r="41" customHeight="1" spans="1:7">
      <c r="A41" s="503"/>
      <c r="B41" s="504"/>
      <c r="C41" s="517" t="s">
        <v>342</v>
      </c>
      <c r="D41" s="518"/>
      <c r="E41" s="502">
        <v>0.6</v>
      </c>
      <c r="F41" s="496" t="s">
        <v>1988</v>
      </c>
      <c r="G41" s="496"/>
    </row>
    <row r="42" customHeight="1" spans="1:7">
      <c r="A42" s="519" t="s">
        <v>232</v>
      </c>
      <c r="B42" s="520" t="s">
        <v>232</v>
      </c>
      <c r="C42" s="521" t="s">
        <v>247</v>
      </c>
      <c r="D42" s="522"/>
      <c r="E42" s="523">
        <v>1</v>
      </c>
      <c r="F42" s="496" t="s">
        <v>1989</v>
      </c>
      <c r="G42" s="496"/>
    </row>
    <row r="43" customHeight="1" spans="1:7">
      <c r="A43" s="493" t="s">
        <v>233</v>
      </c>
      <c r="B43" s="509" t="s">
        <v>1990</v>
      </c>
      <c r="C43" s="510" t="s">
        <v>248</v>
      </c>
      <c r="D43" s="511"/>
      <c r="E43" s="495">
        <v>1</v>
      </c>
      <c r="F43" s="496" t="s">
        <v>1991</v>
      </c>
      <c r="G43" s="496"/>
    </row>
    <row r="44" customHeight="1" spans="1:7">
      <c r="A44" s="497"/>
      <c r="B44" s="513"/>
      <c r="C44" s="514" t="s">
        <v>261</v>
      </c>
      <c r="D44" s="515"/>
      <c r="E44" s="499">
        <v>1</v>
      </c>
      <c r="F44" s="496" t="s">
        <v>1992</v>
      </c>
      <c r="G44" s="496"/>
    </row>
    <row r="45" customHeight="1" spans="1:7">
      <c r="A45" s="497"/>
      <c r="B45" s="524"/>
      <c r="C45" s="514" t="s">
        <v>272</v>
      </c>
      <c r="D45" s="515"/>
      <c r="E45" s="499">
        <v>1.5</v>
      </c>
      <c r="F45" s="496" t="s">
        <v>1993</v>
      </c>
      <c r="G45" s="496"/>
    </row>
    <row r="46" customHeight="1" spans="1:7">
      <c r="A46" s="497"/>
      <c r="B46" s="498" t="s">
        <v>231</v>
      </c>
      <c r="C46" s="514" t="s">
        <v>283</v>
      </c>
      <c r="D46" s="515"/>
      <c r="E46" s="499">
        <v>2</v>
      </c>
      <c r="F46" s="496" t="s">
        <v>1994</v>
      </c>
      <c r="G46" s="496"/>
    </row>
    <row r="47" customHeight="1" spans="1:7">
      <c r="A47" s="497"/>
      <c r="B47" s="516" t="s">
        <v>1995</v>
      </c>
      <c r="C47" s="514" t="s">
        <v>292</v>
      </c>
      <c r="D47" s="515"/>
      <c r="E47" s="499">
        <v>1</v>
      </c>
      <c r="F47" s="496" t="s">
        <v>1996</v>
      </c>
      <c r="G47" s="496"/>
    </row>
    <row r="48" customHeight="1" spans="1:7">
      <c r="A48" s="497"/>
      <c r="B48" s="513"/>
      <c r="C48" s="514" t="s">
        <v>300</v>
      </c>
      <c r="D48" s="515"/>
      <c r="E48" s="499">
        <v>1</v>
      </c>
      <c r="F48" s="496" t="s">
        <v>1997</v>
      </c>
      <c r="G48" s="496"/>
    </row>
    <row r="49" customHeight="1" spans="1:7">
      <c r="A49" s="497"/>
      <c r="B49" s="513"/>
      <c r="C49" s="514" t="s">
        <v>308</v>
      </c>
      <c r="D49" s="515"/>
      <c r="E49" s="499">
        <v>1</v>
      </c>
      <c r="F49" s="496" t="s">
        <v>1998</v>
      </c>
      <c r="G49" s="496"/>
    </row>
    <row r="50" customHeight="1" spans="1:7">
      <c r="A50" s="497"/>
      <c r="B50" s="513"/>
      <c r="C50" s="514" t="s">
        <v>315</v>
      </c>
      <c r="D50" s="515"/>
      <c r="E50" s="499">
        <v>1</v>
      </c>
      <c r="F50" s="496" t="s">
        <v>1999</v>
      </c>
      <c r="G50" s="496"/>
    </row>
    <row r="51" customHeight="1" spans="1:7">
      <c r="A51" s="497"/>
      <c r="B51" s="513"/>
      <c r="C51" s="514" t="s">
        <v>321</v>
      </c>
      <c r="D51" s="515"/>
      <c r="E51" s="499">
        <v>1</v>
      </c>
      <c r="F51" s="496" t="s">
        <v>2000</v>
      </c>
      <c r="G51" s="496"/>
    </row>
    <row r="52" customHeight="1" spans="1:7">
      <c r="A52" s="497"/>
      <c r="B52" s="513"/>
      <c r="C52" s="514" t="s">
        <v>327</v>
      </c>
      <c r="D52" s="515"/>
      <c r="E52" s="499">
        <v>1</v>
      </c>
      <c r="F52" s="496" t="s">
        <v>2001</v>
      </c>
      <c r="G52" s="496"/>
    </row>
    <row r="53" customHeight="1" spans="1:7">
      <c r="A53" s="500"/>
      <c r="B53" s="504"/>
      <c r="C53" s="517" t="s">
        <v>333</v>
      </c>
      <c r="D53" s="518"/>
      <c r="E53" s="502">
        <v>1</v>
      </c>
      <c r="F53" s="496" t="s">
        <v>2002</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2003</v>
      </c>
      <c r="G56" s="486" t="s">
        <v>468</v>
      </c>
    </row>
    <row r="57" customHeight="1" spans="1:7">
      <c r="A57" s="527"/>
      <c r="B57" s="486" t="s">
        <v>229</v>
      </c>
      <c r="C57" s="486" t="s">
        <v>229</v>
      </c>
      <c r="D57" s="486" t="s">
        <v>229</v>
      </c>
      <c r="E57" s="483" t="s">
        <v>230</v>
      </c>
      <c r="F57" s="483" t="s">
        <v>233</v>
      </c>
      <c r="G57" s="483" t="s">
        <v>1868</v>
      </c>
    </row>
    <row r="58" customHeight="1" spans="1:7">
      <c r="A58" s="528"/>
      <c r="B58" s="483">
        <v>1</v>
      </c>
      <c r="C58" s="483">
        <v>2</v>
      </c>
      <c r="D58" s="483">
        <v>3</v>
      </c>
      <c r="E58" s="529" t="s">
        <v>2004</v>
      </c>
      <c r="F58" s="529" t="s">
        <v>2004</v>
      </c>
      <c r="G58" s="529" t="s">
        <v>2004</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2005</v>
      </c>
      <c r="E72" s="530"/>
      <c r="F72" s="530"/>
    </row>
    <row r="73" customHeight="1" spans="1:7">
      <c r="A73" s="498" t="s">
        <v>789</v>
      </c>
      <c r="B73" s="498" t="s">
        <v>2006</v>
      </c>
      <c r="C73" s="498" t="s">
        <v>2007</v>
      </c>
      <c r="D73" s="498" t="s">
        <v>2008</v>
      </c>
      <c r="E73" s="498" t="s">
        <v>2009</v>
      </c>
      <c r="F73" s="498" t="s">
        <v>2010</v>
      </c>
    </row>
    <row r="74" ht="13.5" spans="1:7">
      <c r="A74" s="498"/>
      <c r="B74" s="498"/>
      <c r="C74" s="498" t="s">
        <v>1273</v>
      </c>
      <c r="D74" s="498"/>
      <c r="E74" s="498" t="s">
        <v>124</v>
      </c>
      <c r="F74" s="498" t="s">
        <v>124</v>
      </c>
    </row>
    <row r="75" ht="13.5" spans="1:7">
      <c r="A75" s="498">
        <v>1</v>
      </c>
      <c r="B75" s="516" t="s">
        <v>2011</v>
      </c>
      <c r="C75" s="483" t="s">
        <v>2012</v>
      </c>
      <c r="D75" s="483" t="s">
        <v>2013</v>
      </c>
      <c r="E75" s="498">
        <v>0.2</v>
      </c>
      <c r="F75" s="498">
        <v>25</v>
      </c>
    </row>
    <row r="76" ht="24" spans="1:7">
      <c r="A76" s="498">
        <v>2</v>
      </c>
      <c r="B76" s="513"/>
      <c r="C76" s="483" t="s">
        <v>2014</v>
      </c>
      <c r="D76" s="483" t="s">
        <v>2015</v>
      </c>
      <c r="E76" s="498">
        <v>0.2</v>
      </c>
      <c r="F76" s="498">
        <v>25</v>
      </c>
    </row>
    <row r="77" ht="24" spans="1:7">
      <c r="A77" s="498">
        <v>3</v>
      </c>
      <c r="B77" s="513"/>
      <c r="C77" s="483" t="s">
        <v>2016</v>
      </c>
      <c r="D77" s="483" t="s">
        <v>2017</v>
      </c>
      <c r="E77" s="498">
        <v>0.2</v>
      </c>
      <c r="F77" s="498">
        <v>25</v>
      </c>
    </row>
    <row r="78" ht="13.5" spans="1:7">
      <c r="A78" s="498">
        <v>4</v>
      </c>
      <c r="B78" s="513"/>
      <c r="C78" s="483" t="s">
        <v>2018</v>
      </c>
      <c r="D78" s="483" t="s">
        <v>2019</v>
      </c>
      <c r="E78" s="498">
        <v>0.15</v>
      </c>
      <c r="F78" s="498">
        <v>20</v>
      </c>
    </row>
    <row r="79" ht="24" spans="1:7">
      <c r="A79" s="498">
        <v>5</v>
      </c>
      <c r="B79" s="513"/>
      <c r="C79" s="483" t="s">
        <v>2020</v>
      </c>
      <c r="D79" s="483" t="s">
        <v>2021</v>
      </c>
      <c r="E79" s="498">
        <v>0.15</v>
      </c>
      <c r="F79" s="498">
        <v>20</v>
      </c>
    </row>
    <row r="80" ht="24" spans="1:7">
      <c r="A80" s="498">
        <v>6</v>
      </c>
      <c r="B80" s="513"/>
      <c r="C80" s="483" t="s">
        <v>2022</v>
      </c>
      <c r="D80" s="483" t="s">
        <v>2023</v>
      </c>
      <c r="E80" s="498">
        <v>0.15</v>
      </c>
      <c r="F80" s="498">
        <v>20</v>
      </c>
    </row>
    <row r="81" ht="24" spans="1:6">
      <c r="A81" s="498">
        <v>7</v>
      </c>
      <c r="B81" s="513"/>
      <c r="C81" s="483" t="s">
        <v>2024</v>
      </c>
      <c r="D81" s="483" t="s">
        <v>2025</v>
      </c>
      <c r="E81" s="498">
        <v>0.15</v>
      </c>
      <c r="F81" s="498">
        <v>20</v>
      </c>
    </row>
    <row r="82" ht="24" spans="1:6">
      <c r="A82" s="498">
        <v>8</v>
      </c>
      <c r="B82" s="513"/>
      <c r="C82" s="483" t="s">
        <v>2026</v>
      </c>
      <c r="D82" s="483" t="s">
        <v>2027</v>
      </c>
      <c r="E82" s="498">
        <v>0.1</v>
      </c>
      <c r="F82" s="498">
        <v>15</v>
      </c>
    </row>
    <row r="83" ht="24" spans="1:6">
      <c r="A83" s="498">
        <v>9</v>
      </c>
      <c r="B83" s="513"/>
      <c r="C83" s="483" t="s">
        <v>2028</v>
      </c>
      <c r="D83" s="483" t="s">
        <v>2029</v>
      </c>
      <c r="E83" s="498">
        <v>0.1</v>
      </c>
      <c r="F83" s="498">
        <v>15</v>
      </c>
    </row>
    <row r="84" ht="24" spans="1:6">
      <c r="A84" s="498">
        <v>10</v>
      </c>
      <c r="B84" s="513"/>
      <c r="C84" s="483" t="s">
        <v>2030</v>
      </c>
      <c r="D84" s="483" t="s">
        <v>2031</v>
      </c>
      <c r="E84" s="498">
        <v>0.1</v>
      </c>
      <c r="F84" s="498">
        <v>15</v>
      </c>
    </row>
    <row r="85" ht="24" spans="1:6">
      <c r="A85" s="498">
        <v>11</v>
      </c>
      <c r="B85" s="513"/>
      <c r="C85" s="483" t="s">
        <v>2032</v>
      </c>
      <c r="D85" s="483" t="s">
        <v>2033</v>
      </c>
      <c r="E85" s="498">
        <v>0.1</v>
      </c>
      <c r="F85" s="498">
        <v>15</v>
      </c>
    </row>
    <row r="86" ht="24" spans="1:6">
      <c r="A86" s="498">
        <v>12</v>
      </c>
      <c r="B86" s="513"/>
      <c r="C86" s="483" t="s">
        <v>2034</v>
      </c>
      <c r="D86" s="483" t="s">
        <v>2035</v>
      </c>
      <c r="E86" s="498">
        <v>0.1</v>
      </c>
      <c r="F86" s="498">
        <v>15</v>
      </c>
    </row>
    <row r="87" ht="13.5" spans="1:6">
      <c r="A87" s="498">
        <v>13</v>
      </c>
      <c r="B87" s="513"/>
      <c r="C87" s="483" t="s">
        <v>2036</v>
      </c>
      <c r="D87" s="483" t="s">
        <v>2037</v>
      </c>
      <c r="E87" s="498">
        <v>0.1</v>
      </c>
      <c r="F87" s="498">
        <v>15</v>
      </c>
    </row>
    <row r="88" ht="13.5" spans="1:6">
      <c r="A88" s="498">
        <v>14</v>
      </c>
      <c r="B88" s="513"/>
      <c r="C88" s="483" t="s">
        <v>2038</v>
      </c>
      <c r="D88" s="483" t="s">
        <v>2039</v>
      </c>
      <c r="E88" s="498">
        <v>0.1</v>
      </c>
      <c r="F88" s="498">
        <v>15</v>
      </c>
    </row>
    <row r="89" ht="13.5" spans="1:6">
      <c r="A89" s="498">
        <v>15</v>
      </c>
      <c r="B89" s="513"/>
      <c r="C89" s="483" t="s">
        <v>2040</v>
      </c>
      <c r="D89" s="483" t="s">
        <v>2041</v>
      </c>
      <c r="E89" s="498">
        <v>0.1</v>
      </c>
      <c r="F89" s="498">
        <v>15</v>
      </c>
    </row>
    <row r="90" ht="24" spans="1:6">
      <c r="A90" s="498">
        <v>16</v>
      </c>
      <c r="B90" s="513"/>
      <c r="C90" s="483" t="s">
        <v>2042</v>
      </c>
      <c r="D90" s="483" t="s">
        <v>2043</v>
      </c>
      <c r="E90" s="498">
        <v>0.1</v>
      </c>
      <c r="F90" s="498">
        <v>15</v>
      </c>
    </row>
    <row r="91" ht="24" spans="1:6">
      <c r="A91" s="498">
        <v>17</v>
      </c>
      <c r="B91" s="524"/>
      <c r="C91" s="483" t="s">
        <v>2044</v>
      </c>
      <c r="D91" s="483" t="s">
        <v>2045</v>
      </c>
      <c r="E91" s="498">
        <v>0.1</v>
      </c>
      <c r="F91" s="498">
        <v>15</v>
      </c>
    </row>
    <row r="92" ht="13.5" spans="1:6">
      <c r="A92" s="498">
        <v>18</v>
      </c>
      <c r="B92" s="516" t="s">
        <v>2046</v>
      </c>
      <c r="C92" s="483" t="s">
        <v>2047</v>
      </c>
      <c r="D92" s="483" t="s">
        <v>2048</v>
      </c>
      <c r="E92" s="498">
        <v>0.2</v>
      </c>
      <c r="F92" s="498">
        <v>25</v>
      </c>
    </row>
    <row r="93" ht="24" spans="1:6">
      <c r="A93" s="498">
        <v>19</v>
      </c>
      <c r="B93" s="513"/>
      <c r="C93" s="483" t="s">
        <v>2049</v>
      </c>
      <c r="D93" s="483" t="s">
        <v>2050</v>
      </c>
      <c r="E93" s="498">
        <v>0.2</v>
      </c>
      <c r="F93" s="498">
        <v>25</v>
      </c>
    </row>
    <row r="94" ht="13.5" spans="1:6">
      <c r="A94" s="498">
        <v>20</v>
      </c>
      <c r="B94" s="513"/>
      <c r="C94" s="483" t="s">
        <v>2051</v>
      </c>
      <c r="D94" s="483" t="s">
        <v>2052</v>
      </c>
      <c r="E94" s="498">
        <v>0.15</v>
      </c>
      <c r="F94" s="498">
        <v>20</v>
      </c>
    </row>
    <row r="95" ht="13.5" spans="1:6">
      <c r="A95" s="498">
        <v>21</v>
      </c>
      <c r="B95" s="513"/>
      <c r="C95" s="483" t="s">
        <v>2053</v>
      </c>
      <c r="D95" s="483" t="s">
        <v>2054</v>
      </c>
      <c r="E95" s="498">
        <v>0.15</v>
      </c>
      <c r="F95" s="498">
        <v>20</v>
      </c>
    </row>
    <row r="96" ht="13.5" spans="1:6">
      <c r="A96" s="498">
        <v>22</v>
      </c>
      <c r="B96" s="513"/>
      <c r="C96" s="483" t="s">
        <v>2055</v>
      </c>
      <c r="D96" s="483" t="s">
        <v>2056</v>
      </c>
      <c r="E96" s="498">
        <v>0.15</v>
      </c>
      <c r="F96" s="498">
        <v>20</v>
      </c>
    </row>
    <row r="97" ht="36" spans="1:6">
      <c r="A97" s="498">
        <v>23</v>
      </c>
      <c r="B97" s="513"/>
      <c r="C97" s="483" t="s">
        <v>2057</v>
      </c>
      <c r="D97" s="483" t="s">
        <v>2058</v>
      </c>
      <c r="E97" s="498">
        <v>0.15</v>
      </c>
      <c r="F97" s="498">
        <v>20</v>
      </c>
    </row>
    <row r="98" ht="13.5" spans="1:6">
      <c r="A98" s="498">
        <v>24</v>
      </c>
      <c r="B98" s="513"/>
      <c r="C98" s="483" t="s">
        <v>2059</v>
      </c>
      <c r="D98" s="483" t="s">
        <v>2060</v>
      </c>
      <c r="E98" s="498">
        <v>0.1</v>
      </c>
      <c r="F98" s="498">
        <v>15</v>
      </c>
    </row>
    <row r="99" ht="13.5" spans="1:6">
      <c r="A99" s="498">
        <v>25</v>
      </c>
      <c r="B99" s="513"/>
      <c r="C99" s="483" t="s">
        <v>2061</v>
      </c>
      <c r="D99" s="483" t="s">
        <v>2062</v>
      </c>
      <c r="E99" s="498">
        <v>0.1</v>
      </c>
      <c r="F99" s="498">
        <v>15</v>
      </c>
    </row>
    <row r="100" ht="24" spans="1:6">
      <c r="A100" s="498">
        <v>26</v>
      </c>
      <c r="B100" s="513"/>
      <c r="C100" s="483" t="s">
        <v>2063</v>
      </c>
      <c r="D100" s="483" t="s">
        <v>2064</v>
      </c>
      <c r="E100" s="498">
        <v>0.1</v>
      </c>
      <c r="F100" s="498">
        <v>15</v>
      </c>
    </row>
    <row r="101" ht="24" spans="1:6">
      <c r="A101" s="498">
        <v>27</v>
      </c>
      <c r="B101" s="513"/>
      <c r="C101" s="483" t="s">
        <v>2065</v>
      </c>
      <c r="D101" s="483" t="s">
        <v>2066</v>
      </c>
      <c r="E101" s="498">
        <v>0.1</v>
      </c>
      <c r="F101" s="498">
        <v>15</v>
      </c>
    </row>
    <row r="102" ht="13.5" spans="1:6">
      <c r="A102" s="498">
        <v>28</v>
      </c>
      <c r="B102" s="513"/>
      <c r="C102" s="483" t="s">
        <v>2067</v>
      </c>
      <c r="D102" s="483" t="s">
        <v>2068</v>
      </c>
      <c r="E102" s="498">
        <v>0.1</v>
      </c>
      <c r="F102" s="498">
        <v>15</v>
      </c>
    </row>
    <row r="103" ht="13.5" spans="1:6">
      <c r="A103" s="498">
        <v>29</v>
      </c>
      <c r="B103" s="513"/>
      <c r="C103" s="483" t="s">
        <v>2069</v>
      </c>
      <c r="D103" s="483" t="s">
        <v>2070</v>
      </c>
      <c r="E103" s="498">
        <v>0.1</v>
      </c>
      <c r="F103" s="498">
        <v>15</v>
      </c>
    </row>
    <row r="104" ht="13.5" spans="1:6">
      <c r="A104" s="498">
        <v>30</v>
      </c>
      <c r="B104" s="513"/>
      <c r="C104" s="483" t="s">
        <v>2071</v>
      </c>
      <c r="D104" s="483" t="s">
        <v>2072</v>
      </c>
      <c r="E104" s="498">
        <v>0.1</v>
      </c>
      <c r="F104" s="498">
        <v>15</v>
      </c>
    </row>
    <row r="105" ht="24" spans="1:6">
      <c r="A105" s="498">
        <v>31</v>
      </c>
      <c r="B105" s="513"/>
      <c r="C105" s="483" t="s">
        <v>2073</v>
      </c>
      <c r="D105" s="483" t="s">
        <v>2074</v>
      </c>
      <c r="E105" s="498">
        <v>0.1</v>
      </c>
      <c r="F105" s="498">
        <v>15</v>
      </c>
    </row>
    <row r="106" ht="24" spans="1:6">
      <c r="A106" s="498">
        <v>32</v>
      </c>
      <c r="B106" s="513"/>
      <c r="C106" s="483" t="s">
        <v>2075</v>
      </c>
      <c r="D106" s="483" t="s">
        <v>2076</v>
      </c>
      <c r="E106" s="498">
        <v>0.1</v>
      </c>
      <c r="F106" s="498">
        <v>15</v>
      </c>
    </row>
    <row r="107" ht="24" spans="1:6">
      <c r="A107" s="498">
        <v>33</v>
      </c>
      <c r="B107" s="513"/>
      <c r="C107" s="483" t="s">
        <v>2077</v>
      </c>
      <c r="D107" s="483" t="s">
        <v>2078</v>
      </c>
      <c r="E107" s="498">
        <v>0.1</v>
      </c>
      <c r="F107" s="498">
        <v>15</v>
      </c>
    </row>
    <row r="108" ht="24" spans="1:6">
      <c r="A108" s="498">
        <v>34</v>
      </c>
      <c r="B108" s="524"/>
      <c r="C108" s="483" t="s">
        <v>2079</v>
      </c>
      <c r="D108" s="483" t="s">
        <v>2080</v>
      </c>
      <c r="E108" s="498">
        <v>0.1</v>
      </c>
      <c r="F108" s="498">
        <v>15</v>
      </c>
    </row>
    <row r="109" ht="24" spans="1:6">
      <c r="A109" s="498">
        <v>35</v>
      </c>
      <c r="B109" s="516" t="s">
        <v>2081</v>
      </c>
      <c r="C109" s="498" t="s">
        <v>2082</v>
      </c>
      <c r="D109" s="483" t="s">
        <v>2083</v>
      </c>
      <c r="E109" s="498">
        <v>0.15</v>
      </c>
      <c r="F109" s="498">
        <v>20</v>
      </c>
    </row>
    <row r="110" ht="13.5" spans="1:6">
      <c r="A110" s="498">
        <v>36</v>
      </c>
      <c r="B110" s="513"/>
      <c r="C110" s="498" t="s">
        <v>2084</v>
      </c>
      <c r="D110" s="483" t="s">
        <v>2085</v>
      </c>
      <c r="E110" s="498">
        <v>0.15</v>
      </c>
      <c r="F110" s="498">
        <v>20</v>
      </c>
    </row>
    <row r="111" ht="13.5" spans="1:6">
      <c r="A111" s="498">
        <v>37</v>
      </c>
      <c r="B111" s="513"/>
      <c r="C111" s="498" t="s">
        <v>2086</v>
      </c>
      <c r="D111" s="483" t="s">
        <v>2087</v>
      </c>
      <c r="E111" s="498">
        <v>0.15</v>
      </c>
      <c r="F111" s="498">
        <v>20</v>
      </c>
    </row>
    <row r="112" ht="13.5" spans="1:6">
      <c r="A112" s="498">
        <v>38</v>
      </c>
      <c r="B112" s="513"/>
      <c r="C112" s="498" t="s">
        <v>2088</v>
      </c>
      <c r="D112" s="483" t="s">
        <v>2089</v>
      </c>
      <c r="E112" s="498">
        <v>0.1</v>
      </c>
      <c r="F112" s="498">
        <v>15</v>
      </c>
    </row>
    <row r="113" ht="24" spans="1:6">
      <c r="A113" s="498">
        <v>39</v>
      </c>
      <c r="B113" s="513"/>
      <c r="C113" s="498" t="s">
        <v>2090</v>
      </c>
      <c r="D113" s="483" t="s">
        <v>2091</v>
      </c>
      <c r="E113" s="498">
        <v>0.1</v>
      </c>
      <c r="F113" s="498">
        <v>15</v>
      </c>
    </row>
    <row r="114" ht="24" spans="1:6">
      <c r="A114" s="498">
        <v>40</v>
      </c>
      <c r="B114" s="524"/>
      <c r="C114" s="498" t="s">
        <v>2092</v>
      </c>
      <c r="D114" s="483" t="s">
        <v>2093</v>
      </c>
      <c r="E114" s="498">
        <v>0.1</v>
      </c>
      <c r="F114" s="498">
        <v>15</v>
      </c>
    </row>
    <row r="115" ht="13.5" spans="1:6">
      <c r="A115" s="498">
        <v>41</v>
      </c>
      <c r="B115" s="498" t="s">
        <v>2094</v>
      </c>
      <c r="C115" s="498" t="s">
        <v>2095</v>
      </c>
      <c r="D115" s="483" t="s">
        <v>2096</v>
      </c>
      <c r="E115" s="498">
        <v>0.1</v>
      </c>
      <c r="F115" s="498">
        <v>15</v>
      </c>
    </row>
    <row r="116" ht="13.5" spans="1:6">
      <c r="A116" s="498">
        <v>42</v>
      </c>
      <c r="B116" s="498"/>
      <c r="C116" s="498" t="s">
        <v>2097</v>
      </c>
      <c r="D116" s="483" t="s">
        <v>2098</v>
      </c>
      <c r="E116" s="498">
        <v>0.1</v>
      </c>
      <c r="F116" s="498">
        <v>15</v>
      </c>
    </row>
    <row r="117" ht="24" spans="1:6">
      <c r="A117" s="498">
        <v>43</v>
      </c>
      <c r="B117" s="498"/>
      <c r="C117" s="498" t="s">
        <v>2099</v>
      </c>
      <c r="D117" s="483" t="s">
        <v>2100</v>
      </c>
      <c r="E117" s="498">
        <v>0.1</v>
      </c>
      <c r="F117" s="498">
        <v>15</v>
      </c>
    </row>
    <row r="118" ht="13.5" spans="1:6">
      <c r="A118" s="498">
        <v>44</v>
      </c>
      <c r="B118" s="516" t="s">
        <v>2101</v>
      </c>
      <c r="C118" s="498" t="s">
        <v>2102</v>
      </c>
      <c r="D118" s="483" t="s">
        <v>2103</v>
      </c>
      <c r="E118" s="498">
        <v>0.1</v>
      </c>
      <c r="F118" s="498">
        <v>15</v>
      </c>
    </row>
    <row r="119" ht="24" spans="1:6">
      <c r="A119" s="498">
        <v>45</v>
      </c>
      <c r="B119" s="524"/>
      <c r="C119" s="483" t="s">
        <v>2104</v>
      </c>
      <c r="D119" s="483" t="s">
        <v>2105</v>
      </c>
      <c r="E119" s="498">
        <v>0.1</v>
      </c>
      <c r="F119" s="498">
        <v>15</v>
      </c>
    </row>
    <row r="120" ht="24" spans="1:6">
      <c r="A120" s="498">
        <v>46</v>
      </c>
      <c r="B120" s="516" t="s">
        <v>2106</v>
      </c>
      <c r="C120" s="498" t="s">
        <v>2107</v>
      </c>
      <c r="D120" s="483" t="s">
        <v>2108</v>
      </c>
      <c r="E120" s="498">
        <v>0.1</v>
      </c>
      <c r="F120" s="498">
        <v>15</v>
      </c>
    </row>
    <row r="121" ht="24" spans="1:6">
      <c r="A121" s="498">
        <v>47</v>
      </c>
      <c r="B121" s="524"/>
      <c r="C121" s="498" t="s">
        <v>2109</v>
      </c>
      <c r="D121" s="483" t="s">
        <v>2110</v>
      </c>
      <c r="E121" s="498">
        <v>0.1</v>
      </c>
      <c r="F121" s="498">
        <v>15</v>
      </c>
    </row>
    <row r="122" ht="13.5" spans="1:6">
      <c r="A122" s="498">
        <v>48</v>
      </c>
      <c r="B122" s="516" t="s">
        <v>2111</v>
      </c>
      <c r="C122" s="498" t="s">
        <v>2112</v>
      </c>
      <c r="D122" s="483" t="s">
        <v>2113</v>
      </c>
      <c r="E122" s="498">
        <v>0.1</v>
      </c>
      <c r="F122" s="498">
        <v>15</v>
      </c>
    </row>
    <row r="123" ht="13.5" spans="1:6">
      <c r="A123" s="498">
        <v>49</v>
      </c>
      <c r="B123" s="524"/>
      <c r="C123" s="498" t="s">
        <v>2114</v>
      </c>
      <c r="D123" s="483" t="s">
        <v>2115</v>
      </c>
      <c r="E123" s="498">
        <v>0.1</v>
      </c>
      <c r="F123" s="498">
        <v>15</v>
      </c>
    </row>
    <row r="124" ht="24" spans="1:6">
      <c r="A124" s="498">
        <v>50</v>
      </c>
      <c r="B124" s="498" t="s">
        <v>2116</v>
      </c>
      <c r="C124" s="498" t="s">
        <v>2117</v>
      </c>
      <c r="D124" s="483" t="s">
        <v>2118</v>
      </c>
      <c r="E124" s="498">
        <v>0.1</v>
      </c>
      <c r="F124" s="498">
        <v>15</v>
      </c>
    </row>
    <row r="125" ht="24" spans="1:6">
      <c r="A125" s="498">
        <v>51</v>
      </c>
      <c r="B125" s="498"/>
      <c r="C125" s="498" t="s">
        <v>2119</v>
      </c>
      <c r="D125" s="483" t="s">
        <v>2120</v>
      </c>
      <c r="E125" s="498">
        <v>0.1</v>
      </c>
      <c r="F125" s="498">
        <v>15</v>
      </c>
    </row>
    <row r="126" ht="24" spans="1:6">
      <c r="A126" s="498">
        <v>52</v>
      </c>
      <c r="B126" s="498" t="s">
        <v>2121</v>
      </c>
      <c r="C126" s="498" t="s">
        <v>2122</v>
      </c>
      <c r="D126" s="483" t="s">
        <v>2123</v>
      </c>
      <c r="E126" s="498">
        <v>0.1</v>
      </c>
      <c r="F126" s="498">
        <v>15</v>
      </c>
    </row>
    <row r="127" ht="24" spans="1:6">
      <c r="A127" s="498">
        <v>53</v>
      </c>
      <c r="B127" s="498"/>
      <c r="C127" s="498" t="s">
        <v>2124</v>
      </c>
      <c r="D127" s="483" t="s">
        <v>2125</v>
      </c>
      <c r="E127" s="498">
        <v>0.1</v>
      </c>
      <c r="F127" s="498">
        <v>15</v>
      </c>
    </row>
    <row r="128" ht="13.5" spans="1:6">
      <c r="A128" s="498">
        <v>54</v>
      </c>
      <c r="B128" s="498" t="s">
        <v>2126</v>
      </c>
      <c r="C128" s="498" t="s">
        <v>2127</v>
      </c>
      <c r="D128" s="483" t="s">
        <v>2128</v>
      </c>
      <c r="E128" s="498">
        <v>0.1</v>
      </c>
      <c r="F128" s="498">
        <v>15</v>
      </c>
    </row>
    <row r="129" ht="13.5" spans="1:6">
      <c r="A129" s="498">
        <v>55</v>
      </c>
      <c r="B129" s="498" t="s">
        <v>2129</v>
      </c>
      <c r="C129" s="498" t="s">
        <v>2130</v>
      </c>
      <c r="D129" s="483" t="s">
        <v>2131</v>
      </c>
      <c r="E129" s="498">
        <v>0.1</v>
      </c>
      <c r="F129" s="498">
        <v>15</v>
      </c>
    </row>
    <row r="130" ht="13.5" spans="1:6">
      <c r="A130" s="498">
        <v>56</v>
      </c>
      <c r="B130" s="498"/>
      <c r="C130" s="498" t="s">
        <v>2132</v>
      </c>
      <c r="D130" s="483" t="s">
        <v>2133</v>
      </c>
      <c r="E130" s="498">
        <v>0.1</v>
      </c>
      <c r="F130" s="498">
        <v>15</v>
      </c>
    </row>
    <row r="131" ht="24" spans="1:6">
      <c r="A131" s="498">
        <v>57</v>
      </c>
      <c r="B131" s="498"/>
      <c r="C131" s="498" t="s">
        <v>2134</v>
      </c>
      <c r="D131" s="483" t="s">
        <v>2135</v>
      </c>
      <c r="E131" s="498">
        <v>0.1</v>
      </c>
      <c r="F131" s="498">
        <v>15</v>
      </c>
    </row>
    <row r="132" ht="24" spans="1:6">
      <c r="A132" s="498">
        <v>58</v>
      </c>
      <c r="B132" s="498" t="s">
        <v>2136</v>
      </c>
      <c r="C132" s="498" t="s">
        <v>2137</v>
      </c>
      <c r="D132" s="483" t="s">
        <v>2138</v>
      </c>
      <c r="E132" s="498">
        <v>0.1</v>
      </c>
      <c r="F132" s="498">
        <v>15</v>
      </c>
    </row>
    <row r="133" ht="13.5" spans="1:6">
      <c r="A133" s="498">
        <v>59</v>
      </c>
      <c r="B133" s="498"/>
      <c r="C133" s="498" t="s">
        <v>2139</v>
      </c>
      <c r="D133" s="483" t="s">
        <v>2140</v>
      </c>
      <c r="E133" s="498">
        <v>0.1</v>
      </c>
      <c r="F133" s="498">
        <v>15</v>
      </c>
    </row>
    <row r="134" ht="13.5" spans="1:6">
      <c r="A134" s="498">
        <v>60</v>
      </c>
      <c r="B134" s="516" t="s">
        <v>2141</v>
      </c>
      <c r="C134" s="498" t="s">
        <v>2142</v>
      </c>
      <c r="D134" s="483" t="s">
        <v>2143</v>
      </c>
      <c r="E134" s="498">
        <v>0.1</v>
      </c>
      <c r="F134" s="498">
        <v>15</v>
      </c>
    </row>
    <row r="135" ht="13.5" spans="1:6">
      <c r="A135" s="498">
        <v>61</v>
      </c>
      <c r="B135" s="524"/>
      <c r="C135" s="498" t="s">
        <v>2144</v>
      </c>
      <c r="D135" s="483" t="s">
        <v>2145</v>
      </c>
      <c r="E135" s="498">
        <v>0.1</v>
      </c>
      <c r="F135" s="498">
        <v>15</v>
      </c>
    </row>
    <row r="136" ht="24" spans="1:6">
      <c r="A136" s="498">
        <v>62</v>
      </c>
      <c r="B136" s="498" t="s">
        <v>2146</v>
      </c>
      <c r="C136" s="498" t="s">
        <v>2147</v>
      </c>
      <c r="D136" s="483" t="s">
        <v>2148</v>
      </c>
      <c r="E136" s="498">
        <v>0.1</v>
      </c>
      <c r="F136" s="498">
        <v>15</v>
      </c>
    </row>
    <row r="137" ht="13.5" spans="1:6">
      <c r="A137" s="498">
        <v>63</v>
      </c>
      <c r="B137" s="498" t="s">
        <v>2149</v>
      </c>
      <c r="C137" s="498" t="s">
        <v>2150</v>
      </c>
      <c r="D137" s="483" t="s">
        <v>2151</v>
      </c>
      <c r="E137" s="498">
        <v>0.1</v>
      </c>
      <c r="F137" s="498">
        <v>15</v>
      </c>
    </row>
    <row r="138" ht="13.5" spans="1:6">
      <c r="A138" s="498">
        <v>64</v>
      </c>
      <c r="B138" s="498"/>
      <c r="C138" s="498" t="s">
        <v>2152</v>
      </c>
      <c r="D138" s="483" t="s">
        <v>2153</v>
      </c>
      <c r="E138" s="498">
        <v>0.1</v>
      </c>
      <c r="F138" s="498">
        <v>15</v>
      </c>
    </row>
    <row r="139" ht="13.5" spans="1:6">
      <c r="A139" s="498">
        <v>65</v>
      </c>
      <c r="B139" s="498" t="s">
        <v>2154</v>
      </c>
      <c r="C139" s="498" t="s">
        <v>2155</v>
      </c>
      <c r="D139" s="483" t="s">
        <v>2156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127</v>
      </c>
    </row>
    <row r="6" spans="1:5">
      <c r="B6" s="3373"/>
      <c r="C6" s="3374" t="s">
        <v>98</v>
      </c>
      <c r="D6" s="3375" t="str">
        <f ca="1">NUMBERSTRING(INT(D5*10000),2)&amp;"元整"</f>
        <v>壹佰贰拾柒万元整</v>
      </c>
    </row>
    <row r="7" ht="15.75" spans="1:5">
      <c r="B7" s="3376"/>
      <c r="C7" s="3377" t="s">
        <v>99</v>
      </c>
      <c r="D7" s="3378">
        <f ca="1">结果表!H102</f>
        <v>24935</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127</v>
      </c>
    </row>
    <row r="14" spans="1:5">
      <c r="B14" s="3373"/>
      <c r="C14" s="3374" t="s">
        <v>98</v>
      </c>
      <c r="D14" s="3375" t="str">
        <f ca="1">NUMBERSTRING(INT(D13*10000),2)&amp;"元整"</f>
        <v>壹佰贰拾柒万元整</v>
      </c>
    </row>
    <row r="15" ht="15" spans="1:5">
      <c r="B15" s="3376"/>
      <c r="C15" s="3377" t="s">
        <v>99</v>
      </c>
      <c r="D15" s="3388">
        <f ca="1">结果表!H108</f>
        <v>24935</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2157</v>
      </c>
      <c r="B1" s="442"/>
      <c r="C1" s="442"/>
      <c r="D1" s="442"/>
      <c r="E1" s="442"/>
      <c r="F1" s="442"/>
      <c r="G1" s="442"/>
      <c r="H1" s="442"/>
      <c r="I1" s="442"/>
      <c r="J1" s="442"/>
      <c r="K1" s="442"/>
      <c r="L1" s="442"/>
      <c r="M1" s="442"/>
      <c r="N1" s="443"/>
    </row>
    <row r="2" spans="1:20">
      <c r="A2" s="444" t="s">
        <v>2158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2159</v>
      </c>
      <c r="R2" s="449" t="s">
        <v>2160</v>
      </c>
      <c r="S2" s="449" t="s">
        <v>2161</v>
      </c>
      <c r="T2" s="449" t="s">
        <v>2162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2163</v>
      </c>
      <c r="B93" s="442"/>
      <c r="C93" s="442"/>
      <c r="D93" s="442"/>
      <c r="E93" s="442"/>
      <c r="F93" s="442"/>
      <c r="G93" s="442"/>
      <c r="H93" s="442"/>
      <c r="I93" s="442"/>
      <c r="J93" s="442"/>
      <c r="K93" s="442"/>
      <c r="L93" s="442"/>
      <c r="M93" s="442"/>
    </row>
    <row r="94" spans="1:20">
      <c r="A94" s="444" t="s">
        <v>2158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2159</v>
      </c>
      <c r="R94" s="449" t="s">
        <v>2160</v>
      </c>
      <c r="S94" s="449" t="s">
        <v>2161</v>
      </c>
      <c r="T94" s="449" t="s">
        <v>2162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2164</v>
      </c>
      <c r="B185" s="442"/>
      <c r="C185" s="442"/>
      <c r="D185" s="442"/>
      <c r="E185" s="442"/>
      <c r="F185" s="442"/>
      <c r="G185" s="442"/>
      <c r="H185" s="442"/>
      <c r="I185" s="442"/>
      <c r="J185" s="442"/>
      <c r="K185" s="442"/>
      <c r="L185" s="442"/>
      <c r="M185" s="442"/>
    </row>
    <row r="186" spans="1:20">
      <c r="A186" s="444" t="s">
        <v>2158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2159</v>
      </c>
      <c r="R186" s="449" t="s">
        <v>2160</v>
      </c>
      <c r="S186" s="449" t="s">
        <v>2161</v>
      </c>
      <c r="T186" s="449" t="s">
        <v>2162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2165</v>
      </c>
      <c r="B277" s="442"/>
      <c r="C277" s="442"/>
      <c r="D277" s="442"/>
      <c r="E277" s="442"/>
      <c r="F277" s="442"/>
      <c r="G277" s="442"/>
      <c r="H277" s="442"/>
      <c r="I277" s="442"/>
      <c r="J277" s="442"/>
      <c r="K277" s="442"/>
      <c r="L277" s="442"/>
      <c r="M277" s="442"/>
    </row>
    <row r="278" spans="1:21">
      <c r="A278" s="444" t="s">
        <v>2158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2159</v>
      </c>
      <c r="R278" s="449" t="s">
        <v>2160</v>
      </c>
      <c r="S278" s="449" t="s">
        <v>2166</v>
      </c>
      <c r="T278" s="449" t="s">
        <v>2167</v>
      </c>
      <c r="U278" s="449" t="s">
        <v>2162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2168</v>
      </c>
      <c r="B369" s="457"/>
      <c r="C369" s="457"/>
      <c r="D369" s="457"/>
      <c r="E369" s="457"/>
      <c r="F369" s="457"/>
      <c r="G369" s="457"/>
      <c r="H369" s="457"/>
      <c r="I369" s="457"/>
      <c r="J369" s="457"/>
      <c r="K369" s="457"/>
      <c r="L369" s="457"/>
      <c r="M369" s="457"/>
    </row>
    <row r="370" spans="1:20">
      <c r="A370" s="444" t="s">
        <v>2158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2159</v>
      </c>
      <c r="R370" s="449" t="s">
        <v>2160</v>
      </c>
      <c r="S370" s="449" t="s">
        <v>2161</v>
      </c>
      <c r="T370" s="449" t="s">
        <v>2162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2169</v>
      </c>
      <c r="B1" s="357"/>
      <c r="C1" s="358"/>
      <c r="D1" s="358"/>
      <c r="E1" s="358"/>
      <c r="F1" s="358"/>
      <c r="G1" s="359"/>
    </row>
    <row r="2" s="348" customFormat="1" ht="18" customHeight="1" spans="1:7">
      <c r="A2" s="360" t="s">
        <v>2170</v>
      </c>
      <c r="B2" s="361">
        <f ca="1">C52</f>
        <v>27649</v>
      </c>
      <c r="C2" s="362" t="s">
        <v>1560</v>
      </c>
      <c r="D2" s="359"/>
      <c r="E2" s="359"/>
      <c r="F2" s="359"/>
      <c r="G2" s="359"/>
    </row>
    <row r="3" s="348" customFormat="1" ht="18" customHeight="1" spans="1:7">
      <c r="A3" s="363" t="s">
        <v>2171</v>
      </c>
      <c r="B3" s="364">
        <f ca="1">ROUND(B2*10000/'数据-汇总表'!E3,0)</f>
        <v>5449153</v>
      </c>
      <c r="C3" s="362" t="s">
        <v>1878</v>
      </c>
      <c r="D3" s="359"/>
      <c r="E3" s="359"/>
      <c r="F3" s="359"/>
      <c r="G3" s="359"/>
    </row>
    <row r="4" s="349" customFormat="1" ht="15.75" spans="1:7">
      <c r="A4" s="365" t="s">
        <v>2172</v>
      </c>
      <c r="B4" s="366"/>
      <c r="C4" s="366"/>
      <c r="D4" s="366"/>
      <c r="E4" s="366"/>
      <c r="F4" s="366"/>
      <c r="G4" s="367"/>
    </row>
    <row r="5" s="350" customFormat="1" ht="13.5" customHeight="1" spans="1:7">
      <c r="A5" s="368" t="s">
        <v>1066</v>
      </c>
      <c r="B5" s="369" t="s">
        <v>2173</v>
      </c>
      <c r="C5" s="370">
        <f ca="1">C6+C7+C8</f>
        <v>20610</v>
      </c>
      <c r="D5" s="370" t="s">
        <v>2174</v>
      </c>
      <c r="E5" s="371" t="s">
        <v>2175</v>
      </c>
      <c r="F5" s="371" t="s">
        <v>2176</v>
      </c>
      <c r="G5" s="372"/>
    </row>
    <row r="6" s="350" customFormat="1" ht="13.5" customHeight="1" spans="1:7">
      <c r="A6" s="373" t="s">
        <v>1070</v>
      </c>
      <c r="B6" s="374" t="s">
        <v>2177</v>
      </c>
      <c r="C6" s="375">
        <v>20000</v>
      </c>
      <c r="D6" s="376"/>
      <c r="E6" s="377"/>
      <c r="F6" s="377"/>
      <c r="G6" s="378"/>
    </row>
    <row r="7" s="350" customFormat="1" ht="13.5" customHeight="1" spans="1:7">
      <c r="A7" s="373" t="s">
        <v>1072</v>
      </c>
      <c r="B7" s="374" t="s">
        <v>2178</v>
      </c>
      <c r="C7" s="379">
        <f>ROUND(C6*F7,0)</f>
        <v>610</v>
      </c>
      <c r="D7" s="379"/>
      <c r="E7" s="377"/>
      <c r="F7" s="380">
        <f>'数据-取费表'!B48+'数据-取费表'!B49</f>
        <v>0.0305</v>
      </c>
      <c r="G7" s="378"/>
    </row>
    <row r="8" s="351" customFormat="1" spans="1:7">
      <c r="A8" s="373" t="s">
        <v>1074</v>
      </c>
      <c r="B8" s="374" t="s">
        <v>2179</v>
      </c>
      <c r="C8" s="379" t="str">
        <f ca="1">IF(G8="已包含在土地购买价格中","0",'数据-取费表'!B29)</f>
        <v>0</v>
      </c>
      <c r="D8" s="381"/>
      <c r="E8" s="379"/>
      <c r="F8" s="380"/>
      <c r="G8" s="382" t="s">
        <v>2180</v>
      </c>
    </row>
    <row r="9" s="350" customFormat="1" ht="13.5" customHeight="1" spans="1:7">
      <c r="A9" s="383" t="s">
        <v>1076</v>
      </c>
      <c r="B9" s="384" t="s">
        <v>2181</v>
      </c>
      <c r="C9" s="385">
        <f>ROUND(D9*E9/10000,0)</f>
        <v>0</v>
      </c>
      <c r="D9" s="386">
        <f>'数据-汇总表'!E5</f>
        <v>0</v>
      </c>
      <c r="E9" s="385">
        <f>'数据-取费表'!B27</f>
        <v>0</v>
      </c>
      <c r="F9" s="380"/>
      <c r="G9" s="387"/>
    </row>
    <row r="10" s="350" customFormat="1" ht="13.5" customHeight="1" spans="1:7">
      <c r="A10" s="383" t="s">
        <v>1079</v>
      </c>
      <c r="B10" s="384" t="s">
        <v>2182</v>
      </c>
      <c r="C10" s="385">
        <f>ROUND(D10*E10/10000,0)</f>
        <v>1</v>
      </c>
      <c r="D10" s="386">
        <f>'数据-汇总表'!E6</f>
        <v>50.74</v>
      </c>
      <c r="E10" s="385">
        <f>'数据-取费表'!B28</f>
        <v>200</v>
      </c>
      <c r="F10" s="380"/>
      <c r="G10" s="387"/>
    </row>
    <row r="11" s="350" customFormat="1" ht="13.5" hidden="1" customHeight="1" spans="1:7">
      <c r="A11" s="388" t="s">
        <v>1081</v>
      </c>
      <c r="B11" s="374" t="s">
        <v>2183</v>
      </c>
      <c r="C11" s="370"/>
      <c r="D11" s="377"/>
      <c r="E11" s="377"/>
      <c r="F11" s="377"/>
      <c r="G11" s="378"/>
    </row>
    <row r="12" s="350" customFormat="1" ht="13.5" hidden="1" customHeight="1" spans="1:7">
      <c r="A12" s="388" t="s">
        <v>1083</v>
      </c>
      <c r="B12" s="374" t="s">
        <v>2184</v>
      </c>
      <c r="C12" s="370">
        <v>0</v>
      </c>
      <c r="D12" s="377"/>
      <c r="E12" s="389"/>
      <c r="F12" s="380">
        <v>0.0305</v>
      </c>
      <c r="G12" s="378"/>
    </row>
    <row r="13" s="350" customFormat="1" ht="13.5" hidden="1" customHeight="1" spans="1:7">
      <c r="A13" s="388" t="s">
        <v>1084</v>
      </c>
      <c r="B13" s="374" t="s">
        <v>2185</v>
      </c>
      <c r="C13" s="370"/>
      <c r="D13" s="377"/>
      <c r="E13" s="377"/>
      <c r="F13" s="377"/>
      <c r="G13" s="378"/>
    </row>
    <row r="14" s="350" customFormat="1" ht="13.5" hidden="1" customHeight="1" spans="1:7">
      <c r="A14" s="388" t="s">
        <v>1086</v>
      </c>
      <c r="B14" s="374" t="s">
        <v>2179</v>
      </c>
      <c r="C14" s="370"/>
      <c r="D14" s="377"/>
      <c r="E14" s="377"/>
      <c r="F14" s="377"/>
      <c r="G14" s="378" t="s">
        <v>2186</v>
      </c>
    </row>
    <row r="15" s="350" customFormat="1" ht="13.5" hidden="1" customHeight="1" spans="1:7">
      <c r="A15" s="388" t="s">
        <v>1088</v>
      </c>
      <c r="B15" s="374" t="s">
        <v>2187</v>
      </c>
      <c r="C15" s="379"/>
      <c r="D15" s="377"/>
      <c r="E15" s="377"/>
      <c r="F15" s="377"/>
      <c r="G15" s="378" t="s">
        <v>2188</v>
      </c>
    </row>
    <row r="16" s="350" customFormat="1" ht="13.5" hidden="1" customHeight="1" spans="1:7">
      <c r="A16" s="388" t="s">
        <v>1091</v>
      </c>
      <c r="B16" s="374" t="s">
        <v>2179</v>
      </c>
      <c r="C16" s="379"/>
      <c r="D16" s="377"/>
      <c r="E16" s="377"/>
      <c r="F16" s="377"/>
      <c r="G16" s="378"/>
    </row>
    <row r="17" s="350" customFormat="1" ht="13.5" hidden="1" customHeight="1" spans="1:7">
      <c r="A17" s="388" t="s">
        <v>1092</v>
      </c>
      <c r="B17" s="374" t="s">
        <v>2189</v>
      </c>
      <c r="C17" s="390"/>
      <c r="D17" s="390"/>
      <c r="E17" s="390"/>
      <c r="F17" s="390"/>
      <c r="G17" s="378" t="s">
        <v>2188</v>
      </c>
    </row>
    <row r="18" s="350" customFormat="1" ht="13.5" hidden="1" customHeight="1" spans="1:7">
      <c r="A18" s="388" t="s">
        <v>1094</v>
      </c>
      <c r="B18" s="374" t="s">
        <v>2190</v>
      </c>
      <c r="C18" s="379">
        <v>0</v>
      </c>
      <c r="D18" s="377"/>
      <c r="E18" s="377"/>
      <c r="F18" s="380">
        <v>0.0305</v>
      </c>
      <c r="G18" s="378" t="s">
        <v>2191</v>
      </c>
    </row>
    <row r="19" s="351" customFormat="1" ht="13.5" customHeight="1" spans="1:7">
      <c r="A19" s="391" t="s">
        <v>1266</v>
      </c>
      <c r="B19" s="369" t="s">
        <v>2192</v>
      </c>
      <c r="C19" s="370">
        <f>IF(G19="已包含在土地取得成本中","0",ROUND(D19*E19/10000,0))</f>
        <v>1</v>
      </c>
      <c r="D19" s="371">
        <f>'数据-汇总表'!E3</f>
        <v>50.74</v>
      </c>
      <c r="E19" s="370">
        <f>'数据-取费表'!B31</f>
        <v>200</v>
      </c>
      <c r="F19" s="392"/>
      <c r="G19" s="382" t="s">
        <v>2193</v>
      </c>
    </row>
    <row r="20" s="350" customFormat="1" ht="13.5" customHeight="1" spans="1:7">
      <c r="A20" s="391" t="s">
        <v>1303</v>
      </c>
      <c r="B20" s="369" t="s">
        <v>2194</v>
      </c>
      <c r="C20" s="393">
        <f ca="1">ROUND((C5+C19)*F20,0)</f>
        <v>412</v>
      </c>
      <c r="D20" s="393"/>
      <c r="E20" s="393"/>
      <c r="F20" s="394">
        <f>'数据-取费表'!B37</f>
        <v>0.02</v>
      </c>
      <c r="G20" s="395" t="s">
        <v>2195</v>
      </c>
    </row>
    <row r="21" s="350" customFormat="1" ht="13.5" customHeight="1" spans="1:7">
      <c r="A21" s="391" t="s">
        <v>1308</v>
      </c>
      <c r="B21" s="369" t="s">
        <v>2196</v>
      </c>
      <c r="C21" s="396">
        <f>F21</f>
        <v>0.02</v>
      </c>
      <c r="D21" s="397" t="s">
        <v>2197</v>
      </c>
      <c r="E21" s="393"/>
      <c r="F21" s="394">
        <f>'数据-取费表'!B38</f>
        <v>0.02</v>
      </c>
      <c r="G21" s="398" t="s">
        <v>2198</v>
      </c>
    </row>
    <row r="22" s="350" customFormat="1" ht="13.5" customHeight="1" spans="1:7">
      <c r="A22" s="391" t="s">
        <v>1318</v>
      </c>
      <c r="B22" s="369" t="s">
        <v>2199</v>
      </c>
      <c r="C22" s="399">
        <f ca="1">ROUND(SUM(C23:C25),0)</f>
        <v>1323</v>
      </c>
      <c r="D22" s="396">
        <f ca="1">C26</f>
        <v>0.0006</v>
      </c>
      <c r="E22" s="397" t="s">
        <v>2197</v>
      </c>
      <c r="F22" s="400">
        <f ca="1">'数据-取费表'!B40</f>
        <v>0.0313</v>
      </c>
      <c r="G22" s="395" t="str">
        <f>IF('数据-取费表'!B22&lt;=1,"单利计息","复利计息")</f>
        <v>复利计息</v>
      </c>
    </row>
    <row r="23" s="350" customFormat="1" ht="13.5" customHeight="1" spans="1:7">
      <c r="A23" s="401" t="s">
        <v>1070</v>
      </c>
      <c r="B23" s="374" t="s">
        <v>2200</v>
      </c>
      <c r="C23" s="402">
        <f ca="1">ROUND(IF('数据-取费表'!B22&lt;=1,C5*F22*'数据-取费表'!B23,C5*(POWER((1+F22),'数据-取费表'!B23)-1)),0)</f>
        <v>1310</v>
      </c>
      <c r="D23" s="403"/>
      <c r="E23" s="403"/>
      <c r="F23" s="404"/>
      <c r="G23" s="405" t="s">
        <v>2201</v>
      </c>
    </row>
    <row r="24" s="350" customFormat="1" ht="13.5" customHeight="1" spans="1:7">
      <c r="A24" s="401" t="s">
        <v>1072</v>
      </c>
      <c r="B24" s="374" t="s">
        <v>2202</v>
      </c>
      <c r="C24" s="402">
        <f ca="1">ROUND(IF('数据-取费表'!B22&lt;=1,C19*F22*('数据-取费表'!B19/2+'数据-取费表'!B21),C19*(POWER((1+F22),('数据-取费表'!B19/2+'数据-取费表'!B21))-1)),0)</f>
        <v>0</v>
      </c>
      <c r="D24" s="403"/>
      <c r="E24" s="403"/>
      <c r="F24" s="404"/>
      <c r="G24" s="405" t="s">
        <v>2203</v>
      </c>
    </row>
    <row r="25" s="350" customFormat="1" ht="24" spans="1:7">
      <c r="A25" s="401" t="s">
        <v>1074</v>
      </c>
      <c r="B25" s="374" t="s">
        <v>2204</v>
      </c>
      <c r="C25" s="402">
        <f ca="1">ROUND(IF('数据-取费表'!B22&lt;=1,C20*F22*'数据-取费表'!B23/2,C20*(POWER((1+F22),'数据-取费表'!B23/2)-1)),0)</f>
        <v>13</v>
      </c>
      <c r="D25" s="403"/>
      <c r="E25" s="406"/>
      <c r="F25" s="404"/>
      <c r="G25" s="407" t="s">
        <v>2205</v>
      </c>
    </row>
    <row r="26" s="350" customFormat="1" spans="1:7">
      <c r="A26" s="401" t="s">
        <v>1114</v>
      </c>
      <c r="B26" s="374" t="s">
        <v>2206</v>
      </c>
      <c r="C26" s="403">
        <f ca="1">ROUND(IF('数据-取费表'!B22&lt;=1,F21*F22*'数据-取费表'!B23/2,F21*(POWER((1+F22),'数据-取费表'!B23/2)-1)),4)</f>
        <v>0.0006</v>
      </c>
      <c r="D26" s="403"/>
      <c r="E26" s="406"/>
      <c r="F26" s="404"/>
      <c r="G26" s="408"/>
    </row>
    <row r="27" s="350" customFormat="1" ht="24.75" spans="1:7">
      <c r="A27" s="391" t="s">
        <v>1327</v>
      </c>
      <c r="B27" s="409" t="s">
        <v>2207</v>
      </c>
      <c r="C27" s="410">
        <f ca="1">C28</f>
        <v>3153</v>
      </c>
      <c r="D27" s="396">
        <f>C29</f>
        <v>0.003</v>
      </c>
      <c r="E27" s="397" t="s">
        <v>2197</v>
      </c>
      <c r="F27" s="411">
        <f>'数据-取费表'!Q16</f>
        <v>0.15</v>
      </c>
      <c r="G27" s="412" t="s">
        <v>2208</v>
      </c>
    </row>
    <row r="28" s="350" customFormat="1" ht="13.5" customHeight="1" spans="1:7">
      <c r="A28" s="401" t="s">
        <v>1070</v>
      </c>
      <c r="B28" s="413" t="s">
        <v>2209</v>
      </c>
      <c r="C28" s="414">
        <f ca="1">ROUND((C5+C19+C20)*F27*'数据-取费表'!B21/'数据-取费表'!B20,0)</f>
        <v>3153</v>
      </c>
      <c r="D28" s="396"/>
      <c r="E28" s="397"/>
      <c r="F28" s="411"/>
      <c r="G28" s="412"/>
    </row>
    <row r="29" s="350" customFormat="1" ht="13.5" customHeight="1" spans="1:7">
      <c r="A29" s="401" t="s">
        <v>1072</v>
      </c>
      <c r="B29" s="413" t="s">
        <v>2210</v>
      </c>
      <c r="C29" s="403">
        <f>ROUND(C21*F27*'数据-取费表'!B21/'数据-取费表'!B20,4)</f>
        <v>0.003</v>
      </c>
      <c r="D29" s="396"/>
      <c r="E29" s="397"/>
      <c r="F29" s="411"/>
      <c r="G29" s="412"/>
    </row>
    <row r="30" s="350" customFormat="1" ht="13.5" customHeight="1" spans="1:7">
      <c r="A30" s="391" t="s">
        <v>2211</v>
      </c>
      <c r="B30" s="369" t="s">
        <v>2212</v>
      </c>
      <c r="C30" s="396">
        <f>F30</f>
        <v>0.056</v>
      </c>
      <c r="D30" s="397" t="s">
        <v>2213</v>
      </c>
      <c r="E30" s="406"/>
      <c r="F30" s="400">
        <f>'数据-取费表'!B41</f>
        <v>0.056</v>
      </c>
      <c r="G30" s="398" t="s">
        <v>2214</v>
      </c>
    </row>
    <row r="31" ht="16.5" customHeight="1" spans="1:7">
      <c r="A31" s="415">
        <v>1</v>
      </c>
      <c r="B31" s="369" t="s">
        <v>2215</v>
      </c>
      <c r="C31" s="370">
        <f ca="1">ROUND((C5+C19+C20+C22+C27)/(1-C21-D22-D27-C30/(1+'数据-取费表'!B42)),0)</f>
        <v>27624</v>
      </c>
      <c r="D31" s="416"/>
      <c r="E31" s="370"/>
      <c r="F31" s="417"/>
      <c r="G31" s="398" t="s">
        <v>2216</v>
      </c>
    </row>
    <row r="32" s="349" customFormat="1" ht="15.75" spans="1:7">
      <c r="A32" s="418" t="s">
        <v>2217</v>
      </c>
      <c r="B32" s="419"/>
      <c r="C32" s="419"/>
      <c r="D32" s="419"/>
      <c r="E32" s="419"/>
      <c r="F32" s="419"/>
      <c r="G32" s="420"/>
    </row>
    <row r="33" s="350" customFormat="1" ht="13.5" customHeight="1" spans="1:7">
      <c r="A33" s="368" t="s">
        <v>1066</v>
      </c>
      <c r="B33" s="369" t="s">
        <v>2218</v>
      </c>
      <c r="C33" s="421">
        <f>SUM(C34:C38)</f>
        <v>25</v>
      </c>
      <c r="D33" s="393"/>
      <c r="E33" s="371"/>
      <c r="F33" s="406"/>
      <c r="G33" s="398"/>
    </row>
    <row r="34" s="352" customFormat="1" ht="13.5" customHeight="1" spans="1:7">
      <c r="A34" s="401" t="s">
        <v>1070</v>
      </c>
      <c r="B34" s="374" t="s">
        <v>2219</v>
      </c>
      <c r="C34" s="379">
        <f>IF(F34=100%,'数据-取费表'!M16-SUMIF('数据-取费表'!C:C,"公共配套",'数据-取费表'!M:M),'数据-取费表'!O16-SUMIF('数据-取费表'!C:C,"公共配套",'数据-取费表'!O:O))</f>
        <v>23</v>
      </c>
      <c r="D34" s="376"/>
      <c r="E34" s="379"/>
      <c r="F34" s="422">
        <f>IF('数据-取费表'!B24=0,1,'数据-取费表'!N16)</f>
        <v>1</v>
      </c>
      <c r="G34" s="378" t="s">
        <v>2220</v>
      </c>
    </row>
    <row r="35" ht="13.5" customHeight="1" spans="1:7">
      <c r="A35" s="401" t="s">
        <v>1072</v>
      </c>
      <c r="B35" s="374" t="s">
        <v>2221</v>
      </c>
      <c r="C35" s="379">
        <f>ROUND(C34*F35,0)</f>
        <v>1</v>
      </c>
      <c r="D35" s="379"/>
      <c r="E35" s="379"/>
      <c r="F35" s="423">
        <f>'数据-取费表'!B33</f>
        <v>0.05</v>
      </c>
      <c r="G35" s="378" t="s">
        <v>2222</v>
      </c>
    </row>
    <row r="36" ht="24" spans="1:7">
      <c r="A36" s="401" t="s">
        <v>1074</v>
      </c>
      <c r="B36" s="374" t="s">
        <v>2223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2224</v>
      </c>
    </row>
    <row r="37" s="352" customFormat="1" ht="13.5" customHeight="1" spans="1:7">
      <c r="A37" s="401" t="s">
        <v>1114</v>
      </c>
      <c r="B37" s="374" t="s">
        <v>2225</v>
      </c>
      <c r="C37" s="414">
        <f>ROUND(E37*D37*F34/10000,0)</f>
        <v>1</v>
      </c>
      <c r="D37" s="376">
        <f>'数据-汇总表'!E3</f>
        <v>50.74</v>
      </c>
      <c r="E37" s="414">
        <f>'数据-取费表'!B35</f>
        <v>200</v>
      </c>
      <c r="F37" s="423"/>
      <c r="G37" s="425" t="s">
        <v>2226</v>
      </c>
    </row>
    <row r="38" ht="13.5" customHeight="1" spans="1:7">
      <c r="A38" s="401" t="s">
        <v>1136</v>
      </c>
      <c r="B38" s="374" t="s">
        <v>2184</v>
      </c>
      <c r="C38" s="379">
        <f>ROUND(C34*F38,0)</f>
        <v>0</v>
      </c>
      <c r="D38" s="379"/>
      <c r="E38" s="379"/>
      <c r="F38" s="423">
        <f>'数据-取费表'!B36</f>
        <v>0.02</v>
      </c>
      <c r="G38" s="378" t="s">
        <v>2222</v>
      </c>
    </row>
    <row r="39" s="350" customFormat="1" ht="13.5" customHeight="1" spans="1:7">
      <c r="A39" s="391" t="s">
        <v>1266</v>
      </c>
      <c r="B39" s="369" t="s">
        <v>2194</v>
      </c>
      <c r="C39" s="393">
        <f>ROUND(C33*F20,0)</f>
        <v>1</v>
      </c>
      <c r="D39" s="393"/>
      <c r="E39" s="393"/>
      <c r="F39" s="394"/>
      <c r="G39" s="395" t="s">
        <v>2227</v>
      </c>
    </row>
    <row r="40" s="350" customFormat="1" ht="13.5" customHeight="1" spans="1:7">
      <c r="A40" s="391" t="s">
        <v>1303</v>
      </c>
      <c r="B40" s="369" t="s">
        <v>2196</v>
      </c>
      <c r="C40" s="426">
        <f>F21</f>
        <v>0.02</v>
      </c>
      <c r="D40" s="397" t="s">
        <v>2228</v>
      </c>
      <c r="E40" s="393"/>
      <c r="F40" s="394"/>
      <c r="G40" s="398" t="s">
        <v>2229</v>
      </c>
    </row>
    <row r="41" s="350" customFormat="1" ht="13.5" customHeight="1" spans="1:7">
      <c r="A41" s="391" t="s">
        <v>1308</v>
      </c>
      <c r="B41" s="369" t="s">
        <v>2199</v>
      </c>
      <c r="C41" s="393">
        <f ca="1">ROUND(SUM(C42:C43),0)</f>
        <v>1</v>
      </c>
      <c r="D41" s="396">
        <f ca="1">C44</f>
        <v>0.0006</v>
      </c>
      <c r="E41" s="397" t="s">
        <v>2228</v>
      </c>
      <c r="F41" s="400"/>
      <c r="G41" s="395" t="str">
        <f>IF('数据-取费表'!B22&lt;=1,"单利计息","复利计息")</f>
        <v>复利计息</v>
      </c>
    </row>
    <row r="42" ht="13.5" customHeight="1" spans="1:7">
      <c r="A42" s="401" t="s">
        <v>1070</v>
      </c>
      <c r="B42" s="374" t="s">
        <v>2200</v>
      </c>
      <c r="C42" s="403">
        <f ca="1">ROUND(IF('数据-取费表'!B22&lt;=1,C33*F22*'数据-取费表'!B21/2,C33*(POWER((1+F22),'数据-取费表'!B21/2)-1)),0)</f>
        <v>1</v>
      </c>
      <c r="D42" s="403"/>
      <c r="E42" s="403"/>
      <c r="F42" s="404"/>
      <c r="G42" s="427" t="s">
        <v>2230</v>
      </c>
    </row>
    <row r="43" ht="13.5" customHeight="1" spans="1:7">
      <c r="A43" s="401" t="s">
        <v>1072</v>
      </c>
      <c r="B43" s="374" t="s">
        <v>2202</v>
      </c>
      <c r="C43" s="403">
        <f ca="1">ROUND(IF('数据-取费表'!B22&lt;=1,C39*F22*'数据-取费表'!B21/2,C39*(POWER((1+F22),'数据-取费表'!B21/2)-1)),0)</f>
        <v>0</v>
      </c>
      <c r="D43" s="403"/>
      <c r="E43" s="403"/>
      <c r="F43" s="404"/>
      <c r="G43" s="428"/>
    </row>
    <row r="44" ht="13.5" customHeight="1" spans="1:7">
      <c r="A44" s="401" t="s">
        <v>1074</v>
      </c>
      <c r="B44" s="374" t="s">
        <v>2204</v>
      </c>
      <c r="C44" s="403">
        <f ca="1">ROUND(IF('数据-取费表'!B22&lt;=1,C40*F22*'数据-取费表'!B21/2,C40*(POWER((1+F22),'数据-取费表'!B21/2)-1)),4)</f>
        <v>0.0006</v>
      </c>
      <c r="D44" s="403"/>
      <c r="E44" s="403"/>
      <c r="F44" s="404"/>
      <c r="G44" s="429"/>
    </row>
    <row r="45" s="350" customFormat="1" ht="13.5" customHeight="1" spans="1:7">
      <c r="A45" s="391" t="s">
        <v>1318</v>
      </c>
      <c r="B45" s="409" t="s">
        <v>2207</v>
      </c>
      <c r="C45" s="410">
        <f>C46</f>
        <v>4</v>
      </c>
      <c r="D45" s="396">
        <f>C47</f>
        <v>0.003</v>
      </c>
      <c r="E45" s="397" t="s">
        <v>2228</v>
      </c>
      <c r="F45" s="411"/>
      <c r="G45" s="412" t="s">
        <v>2231</v>
      </c>
    </row>
    <row r="46" s="350" customFormat="1" ht="13.5" customHeight="1" spans="1:7">
      <c r="A46" s="401" t="s">
        <v>1070</v>
      </c>
      <c r="B46" s="413" t="s">
        <v>2232</v>
      </c>
      <c r="C46" s="414">
        <f>ROUND((C33+C39)*F27,0)</f>
        <v>4</v>
      </c>
      <c r="D46" s="430"/>
      <c r="E46" s="397"/>
      <c r="F46" s="411"/>
      <c r="G46" s="412"/>
    </row>
    <row r="47" s="350" customFormat="1" ht="13.5" customHeight="1" spans="1:7">
      <c r="A47" s="401" t="s">
        <v>1072</v>
      </c>
      <c r="B47" s="413" t="s">
        <v>2233</v>
      </c>
      <c r="C47" s="403">
        <f>ROUND(C40*F27,4)</f>
        <v>0.003</v>
      </c>
      <c r="D47" s="430"/>
      <c r="E47" s="397"/>
      <c r="F47" s="411"/>
      <c r="G47" s="412"/>
    </row>
    <row r="48" s="350" customFormat="1" ht="13.5" customHeight="1" spans="1:7">
      <c r="A48" s="391" t="s">
        <v>1327</v>
      </c>
      <c r="B48" s="369" t="s">
        <v>2212</v>
      </c>
      <c r="C48" s="426">
        <f>F30</f>
        <v>0.056</v>
      </c>
      <c r="D48" s="397" t="s">
        <v>2234</v>
      </c>
      <c r="E48" s="393"/>
      <c r="F48" s="400"/>
      <c r="G48" s="398" t="s">
        <v>2235</v>
      </c>
    </row>
    <row r="49" ht="16.5" customHeight="1" spans="1:7">
      <c r="A49" s="391" t="s">
        <v>2211</v>
      </c>
      <c r="B49" s="369" t="s">
        <v>2236</v>
      </c>
      <c r="C49" s="393">
        <f ca="1">ROUND((C33+C39+C41+C45)/(1-C40-D41-D45-C48/(1+'数据-取费表'!B42)),0)</f>
        <v>34</v>
      </c>
      <c r="D49" s="393"/>
      <c r="E49" s="393"/>
      <c r="F49" s="431"/>
      <c r="G49" s="398" t="s">
        <v>2237</v>
      </c>
    </row>
    <row r="50" s="352" customFormat="1" ht="24" spans="1:7">
      <c r="A50" s="391" t="s">
        <v>2238</v>
      </c>
      <c r="B50" s="369" t="s">
        <v>2239</v>
      </c>
      <c r="C50" s="393"/>
      <c r="D50" s="393"/>
      <c r="E50" s="393"/>
      <c r="F50" s="431">
        <f>IF('数据-取费表'!B24=0,'数据-取费表'!N16,1)</f>
        <v>0.74</v>
      </c>
      <c r="G50" s="412" t="s">
        <v>2240</v>
      </c>
    </row>
    <row r="51" ht="16.5" customHeight="1" spans="1:7">
      <c r="A51" s="391" t="s">
        <v>2241</v>
      </c>
      <c r="B51" s="369" t="s">
        <v>2242</v>
      </c>
      <c r="C51" s="393">
        <f ca="1">ROUND(C49*F50,0)</f>
        <v>25</v>
      </c>
      <c r="D51" s="393"/>
      <c r="E51" s="393"/>
      <c r="F51" s="431"/>
      <c r="G51" s="398" t="s">
        <v>2243</v>
      </c>
    </row>
    <row r="52" s="349" customFormat="1" ht="16.5" spans="1:7">
      <c r="A52" s="432" t="s">
        <v>2244</v>
      </c>
      <c r="B52" s="433"/>
      <c r="C52" s="434">
        <f ca="1">C31+C51</f>
        <v>27649</v>
      </c>
      <c r="D52" s="433"/>
      <c r="E52" s="433"/>
      <c r="F52" s="433"/>
      <c r="G52" s="435"/>
    </row>
    <row r="55" ht="15" spans="1:7">
      <c r="B55" s="436" t="s">
        <v>2245</v>
      </c>
      <c r="C55" s="437"/>
    </row>
    <row r="56" spans="1:7">
      <c r="B56" s="438" t="s">
        <v>2246</v>
      </c>
      <c r="C56" s="439">
        <f ca="1">ROUND(C51/C52,3)</f>
        <v>0.001</v>
      </c>
    </row>
    <row r="57" spans="1:7">
      <c r="B57" s="438" t="s">
        <v>2247</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2248</v>
      </c>
      <c r="B1" s="314"/>
    </row>
    <row r="2" ht="14.25" spans="1:7">
      <c r="A2" s="314"/>
      <c r="B2" s="314"/>
    </row>
    <row r="3" ht="14.25" spans="1:7">
      <c r="A3" s="314"/>
      <c r="B3" s="314"/>
      <c r="C3" s="315" t="s">
        <v>229</v>
      </c>
      <c r="D3" s="315" t="s">
        <v>230</v>
      </c>
      <c r="E3" s="315" t="s">
        <v>232</v>
      </c>
      <c r="F3" s="315" t="s">
        <v>233</v>
      </c>
      <c r="G3" s="315" t="s">
        <v>231</v>
      </c>
    </row>
    <row r="4" ht="14.25" spans="1:7">
      <c r="A4" s="316" t="s">
        <v>2249</v>
      </c>
      <c r="B4" s="317" t="s">
        <v>2250</v>
      </c>
      <c r="C4" s="315"/>
      <c r="D4" s="315"/>
      <c r="E4" s="315"/>
      <c r="F4" s="315"/>
      <c r="G4" s="315"/>
    </row>
    <row r="5" spans="1:7">
      <c r="A5" s="318" t="s">
        <v>235</v>
      </c>
      <c r="B5" s="319" t="s">
        <v>2251</v>
      </c>
      <c r="C5" s="320">
        <v>0.098</v>
      </c>
      <c r="D5" s="320">
        <v>0.087</v>
      </c>
      <c r="E5" s="320">
        <v>0.087</v>
      </c>
      <c r="F5" s="320">
        <v>0.098</v>
      </c>
      <c r="G5" s="321">
        <v>0.095</v>
      </c>
    </row>
    <row r="6" spans="1:7">
      <c r="A6" s="322" t="s">
        <v>235</v>
      </c>
      <c r="B6" s="323" t="s">
        <v>2252</v>
      </c>
      <c r="C6" s="324">
        <v>0.098</v>
      </c>
      <c r="D6" s="324">
        <v>0.098</v>
      </c>
      <c r="E6" s="324">
        <v>0.098</v>
      </c>
      <c r="F6" s="324">
        <v>0.1</v>
      </c>
      <c r="G6" s="325">
        <v>0.099</v>
      </c>
    </row>
    <row r="7" spans="1:7">
      <c r="A7" s="322" t="s">
        <v>235</v>
      </c>
      <c r="B7" s="323" t="s">
        <v>2253</v>
      </c>
      <c r="C7" s="324">
        <v>0.097</v>
      </c>
      <c r="D7" s="324">
        <v>0.097</v>
      </c>
      <c r="E7" s="324">
        <v>0.096</v>
      </c>
      <c r="F7" s="324">
        <v>0.1</v>
      </c>
      <c r="G7" s="325">
        <v>0.098</v>
      </c>
    </row>
    <row r="8" spans="1:7">
      <c r="A8" s="322" t="s">
        <v>235</v>
      </c>
      <c r="B8" s="323" t="s">
        <v>2254</v>
      </c>
      <c r="C8" s="324">
        <v>0.081</v>
      </c>
      <c r="D8" s="324">
        <v>0.082</v>
      </c>
      <c r="E8" s="324">
        <v>0.07</v>
      </c>
      <c r="F8" s="324">
        <v>0.096</v>
      </c>
      <c r="G8" s="325">
        <v>0.089</v>
      </c>
    </row>
    <row r="9" ht="14.25" spans="1:7">
      <c r="A9" s="326" t="s">
        <v>235</v>
      </c>
      <c r="B9" s="327" t="s">
        <v>2255</v>
      </c>
      <c r="C9" s="328">
        <v>0.1</v>
      </c>
      <c r="D9" s="328">
        <v>0.1</v>
      </c>
      <c r="E9" s="328">
        <v>0.1</v>
      </c>
      <c r="F9" s="329"/>
      <c r="G9" s="330">
        <v>0.1</v>
      </c>
    </row>
    <row r="10" spans="1:7">
      <c r="A10" s="318" t="s">
        <v>251</v>
      </c>
      <c r="B10" s="319" t="s">
        <v>2256</v>
      </c>
      <c r="C10" s="320">
        <v>0.067</v>
      </c>
      <c r="D10" s="320">
        <v>0.079</v>
      </c>
      <c r="E10" s="320">
        <v>0.079</v>
      </c>
      <c r="F10" s="320">
        <v>0.1</v>
      </c>
      <c r="G10" s="321">
        <v>0.091</v>
      </c>
    </row>
    <row r="11" spans="1:7">
      <c r="A11" s="322" t="s">
        <v>251</v>
      </c>
      <c r="B11" s="323" t="s">
        <v>2257</v>
      </c>
      <c r="C11" s="324">
        <v>0.05</v>
      </c>
      <c r="D11" s="324">
        <v>0.053</v>
      </c>
      <c r="E11" s="324">
        <v>0.063</v>
      </c>
      <c r="F11" s="324">
        <v>0.1</v>
      </c>
      <c r="G11" s="325">
        <v>0.072</v>
      </c>
    </row>
    <row r="12" spans="1:7">
      <c r="A12" s="322" t="s">
        <v>251</v>
      </c>
      <c r="B12" s="323" t="s">
        <v>2258</v>
      </c>
      <c r="C12" s="324">
        <v>0.053</v>
      </c>
      <c r="D12" s="324">
        <v>0.09</v>
      </c>
      <c r="E12" s="324">
        <v>0.072</v>
      </c>
      <c r="F12" s="324">
        <v>0.1</v>
      </c>
      <c r="G12" s="325">
        <v>0.097</v>
      </c>
    </row>
    <row r="13" spans="1:7">
      <c r="A13" s="322" t="s">
        <v>251</v>
      </c>
      <c r="B13" s="323" t="s">
        <v>2259</v>
      </c>
      <c r="C13" s="324">
        <v>0.097</v>
      </c>
      <c r="D13" s="324">
        <v>0.092</v>
      </c>
      <c r="E13" s="324">
        <v>0.095</v>
      </c>
      <c r="F13" s="324">
        <v>0.1</v>
      </c>
      <c r="G13" s="325">
        <v>0.097</v>
      </c>
    </row>
    <row r="14" spans="1:7">
      <c r="A14" s="322" t="s">
        <v>251</v>
      </c>
      <c r="B14" s="323" t="s">
        <v>2260</v>
      </c>
      <c r="C14" s="324">
        <v>0.097</v>
      </c>
      <c r="D14" s="324">
        <v>0.097</v>
      </c>
      <c r="E14" s="324">
        <v>0.097</v>
      </c>
      <c r="F14" s="324">
        <v>0.1</v>
      </c>
      <c r="G14" s="325">
        <v>0.098</v>
      </c>
    </row>
    <row r="15" spans="1:7">
      <c r="A15" s="322" t="s">
        <v>251</v>
      </c>
      <c r="B15" s="323" t="s">
        <v>2261</v>
      </c>
      <c r="C15" s="324">
        <v>0.098</v>
      </c>
      <c r="D15" s="324">
        <v>0.091</v>
      </c>
      <c r="E15" s="324">
        <v>0.06</v>
      </c>
      <c r="F15" s="324">
        <v>0.1</v>
      </c>
      <c r="G15" s="325">
        <v>0.097</v>
      </c>
    </row>
    <row r="16" spans="1:7">
      <c r="A16" s="322" t="s">
        <v>251</v>
      </c>
      <c r="B16" s="323" t="s">
        <v>2262</v>
      </c>
      <c r="C16" s="324">
        <v>0.098</v>
      </c>
      <c r="D16" s="324">
        <v>0.097</v>
      </c>
      <c r="E16" s="324">
        <v>0.095</v>
      </c>
      <c r="F16" s="324">
        <v>0.1</v>
      </c>
      <c r="G16" s="325">
        <v>0.099</v>
      </c>
    </row>
    <row r="17" spans="1:7">
      <c r="A17" s="322" t="s">
        <v>251</v>
      </c>
      <c r="B17" s="323" t="s">
        <v>2263</v>
      </c>
      <c r="C17" s="324">
        <v>0.089</v>
      </c>
      <c r="D17" s="324">
        <v>0.092</v>
      </c>
      <c r="E17" s="324">
        <v>0.061</v>
      </c>
      <c r="F17" s="324">
        <v>0.1</v>
      </c>
      <c r="G17" s="325">
        <v>0.097</v>
      </c>
    </row>
    <row r="18" spans="1:7">
      <c r="A18" s="322" t="s">
        <v>251</v>
      </c>
      <c r="B18" s="323" t="s">
        <v>2264</v>
      </c>
      <c r="C18" s="324">
        <v>0.098</v>
      </c>
      <c r="D18" s="324">
        <v>0.098</v>
      </c>
      <c r="E18" s="324">
        <v>0.098</v>
      </c>
      <c r="F18" s="331"/>
      <c r="G18" s="325">
        <v>0.099</v>
      </c>
    </row>
    <row r="19" spans="1:7">
      <c r="A19" s="322" t="s">
        <v>251</v>
      </c>
      <c r="B19" s="323" t="s">
        <v>2265</v>
      </c>
      <c r="C19" s="324">
        <v>0.099</v>
      </c>
      <c r="D19" s="324">
        <v>0.074</v>
      </c>
      <c r="E19" s="324">
        <v>0.081</v>
      </c>
      <c r="F19" s="331"/>
      <c r="G19" s="325">
        <v>0.093</v>
      </c>
    </row>
    <row r="20" spans="1:7">
      <c r="A20" s="322" t="s">
        <v>251</v>
      </c>
      <c r="B20" s="323" t="s">
        <v>2266</v>
      </c>
      <c r="C20" s="324">
        <v>0.1</v>
      </c>
      <c r="D20" s="324">
        <v>0.089</v>
      </c>
      <c r="E20" s="324">
        <v>0.089</v>
      </c>
      <c r="F20" s="331"/>
      <c r="G20" s="325">
        <v>0.095</v>
      </c>
    </row>
    <row r="21" spans="1:7">
      <c r="A21" s="322" t="s">
        <v>251</v>
      </c>
      <c r="B21" s="323" t="s">
        <v>2267</v>
      </c>
      <c r="C21" s="324">
        <v>0.1</v>
      </c>
      <c r="D21" s="324">
        <v>0.091</v>
      </c>
      <c r="E21" s="324">
        <v>0.082</v>
      </c>
      <c r="F21" s="331"/>
      <c r="G21" s="325">
        <v>0.097</v>
      </c>
    </row>
    <row r="22" spans="1:7">
      <c r="A22" s="322" t="s">
        <v>251</v>
      </c>
      <c r="B22" s="323" t="s">
        <v>2268</v>
      </c>
      <c r="C22" s="324">
        <v>0.095</v>
      </c>
      <c r="D22" s="324">
        <v>0.099</v>
      </c>
      <c r="E22" s="324">
        <v>0.098</v>
      </c>
      <c r="F22" s="331"/>
      <c r="G22" s="325">
        <v>0.1</v>
      </c>
    </row>
    <row r="23" spans="1:7">
      <c r="A23" s="322" t="s">
        <v>251</v>
      </c>
      <c r="B23" s="323" t="s">
        <v>2269</v>
      </c>
      <c r="C23" s="324">
        <v>0.099</v>
      </c>
      <c r="D23" s="324">
        <v>0.1</v>
      </c>
      <c r="E23" s="324">
        <v>0.1</v>
      </c>
      <c r="F23" s="331"/>
      <c r="G23" s="325">
        <v>0.1</v>
      </c>
    </row>
    <row r="24" spans="1:7">
      <c r="A24" s="322" t="s">
        <v>251</v>
      </c>
      <c r="B24" s="323" t="s">
        <v>2270</v>
      </c>
      <c r="C24" s="324">
        <v>0.095</v>
      </c>
      <c r="D24" s="324">
        <v>0.1</v>
      </c>
      <c r="E24" s="324">
        <v>0.098</v>
      </c>
      <c r="F24" s="331"/>
      <c r="G24" s="325">
        <v>0.1</v>
      </c>
    </row>
    <row r="25" spans="1:7">
      <c r="A25" s="322" t="s">
        <v>251</v>
      </c>
      <c r="B25" s="323" t="s">
        <v>2271</v>
      </c>
      <c r="C25" s="324">
        <v>0.05</v>
      </c>
      <c r="D25" s="324">
        <v>0.096</v>
      </c>
      <c r="E25" s="324">
        <v>0.096</v>
      </c>
      <c r="F25" s="331"/>
      <c r="G25" s="325">
        <v>0.096</v>
      </c>
    </row>
    <row r="26" spans="1:7">
      <c r="A26" s="322" t="s">
        <v>251</v>
      </c>
      <c r="B26" s="323" t="s">
        <v>2272</v>
      </c>
      <c r="C26" s="324">
        <v>0.063</v>
      </c>
      <c r="D26" s="324">
        <v>0.099</v>
      </c>
      <c r="E26" s="324">
        <v>0.098</v>
      </c>
      <c r="F26" s="331"/>
      <c r="G26" s="325">
        <v>0.1</v>
      </c>
    </row>
    <row r="27" spans="1:7">
      <c r="A27" s="322" t="s">
        <v>251</v>
      </c>
      <c r="B27" s="323" t="s">
        <v>2273</v>
      </c>
      <c r="C27" s="324">
        <v>0.052</v>
      </c>
      <c r="D27" s="324">
        <v>0.095</v>
      </c>
      <c r="E27" s="324">
        <v>0.064</v>
      </c>
      <c r="F27" s="331"/>
      <c r="G27" s="325">
        <v>0.097</v>
      </c>
    </row>
    <row r="28" spans="1:7">
      <c r="A28" s="322" t="s">
        <v>251</v>
      </c>
      <c r="B28" s="323" t="s">
        <v>2274</v>
      </c>
      <c r="C28" s="331"/>
      <c r="D28" s="324">
        <v>0.063</v>
      </c>
      <c r="E28" s="324">
        <v>0.052</v>
      </c>
      <c r="F28" s="331"/>
      <c r="G28" s="325">
        <v>0.063</v>
      </c>
    </row>
    <row r="29" ht="14.25" spans="1:7">
      <c r="A29" s="326" t="s">
        <v>251</v>
      </c>
      <c r="B29" s="327" t="s">
        <v>2275</v>
      </c>
      <c r="C29" s="332"/>
      <c r="D29" s="328">
        <v>0.052</v>
      </c>
      <c r="E29" s="328">
        <v>0.07</v>
      </c>
      <c r="F29" s="332"/>
      <c r="G29" s="330">
        <v>0.071</v>
      </c>
    </row>
    <row r="30" spans="1:7">
      <c r="A30" s="333" t="s">
        <v>264</v>
      </c>
      <c r="B30" s="319" t="s">
        <v>2276</v>
      </c>
      <c r="C30" s="320">
        <v>0.066</v>
      </c>
      <c r="D30" s="320">
        <v>0.066</v>
      </c>
      <c r="E30" s="320">
        <v>0.057</v>
      </c>
      <c r="F30" s="320">
        <v>0.1</v>
      </c>
      <c r="G30" s="321">
        <v>0.068</v>
      </c>
    </row>
    <row r="31" spans="1:7">
      <c r="A31" s="334" t="s">
        <v>264</v>
      </c>
      <c r="B31" s="323" t="s">
        <v>2277</v>
      </c>
      <c r="C31" s="324">
        <v>0.055</v>
      </c>
      <c r="D31" s="324">
        <v>0.082</v>
      </c>
      <c r="E31" s="324">
        <v>0.064</v>
      </c>
      <c r="F31" s="324">
        <v>0.1</v>
      </c>
      <c r="G31" s="325">
        <v>0.095</v>
      </c>
    </row>
    <row r="32" spans="1:7">
      <c r="A32" s="334" t="s">
        <v>264</v>
      </c>
      <c r="B32" s="323" t="s">
        <v>2278</v>
      </c>
      <c r="C32" s="324">
        <v>0.082</v>
      </c>
      <c r="D32" s="324">
        <v>0.087</v>
      </c>
      <c r="E32" s="324">
        <v>0.095</v>
      </c>
      <c r="F32" s="324">
        <v>0.1</v>
      </c>
      <c r="G32" s="325">
        <v>0.096</v>
      </c>
    </row>
    <row r="33" spans="1:7">
      <c r="A33" s="334" t="s">
        <v>264</v>
      </c>
      <c r="B33" s="323" t="s">
        <v>2279</v>
      </c>
      <c r="C33" s="324">
        <v>0.099</v>
      </c>
      <c r="D33" s="324">
        <v>0.092</v>
      </c>
      <c r="E33" s="324">
        <v>0.087</v>
      </c>
      <c r="F33" s="324">
        <v>0.1</v>
      </c>
      <c r="G33" s="325">
        <v>0.097</v>
      </c>
    </row>
    <row r="34" spans="1:7">
      <c r="A34" s="334" t="s">
        <v>264</v>
      </c>
      <c r="B34" s="323" t="s">
        <v>2280</v>
      </c>
      <c r="C34" s="324">
        <v>0.084</v>
      </c>
      <c r="D34" s="324">
        <v>0.097</v>
      </c>
      <c r="E34" s="324">
        <v>0.071</v>
      </c>
      <c r="F34" s="324">
        <v>0.1</v>
      </c>
      <c r="G34" s="325">
        <v>0.098</v>
      </c>
    </row>
    <row r="35" spans="1:7">
      <c r="A35" s="334" t="s">
        <v>264</v>
      </c>
      <c r="B35" s="323" t="s">
        <v>2281</v>
      </c>
      <c r="C35" s="324">
        <v>0.083</v>
      </c>
      <c r="D35" s="324">
        <v>0.097</v>
      </c>
      <c r="E35" s="324">
        <v>0.061</v>
      </c>
      <c r="F35" s="324">
        <v>0.1</v>
      </c>
      <c r="G35" s="325">
        <v>0.099</v>
      </c>
    </row>
    <row r="36" spans="1:7">
      <c r="A36" s="334" t="s">
        <v>264</v>
      </c>
      <c r="B36" s="323" t="s">
        <v>2282</v>
      </c>
      <c r="C36" s="324">
        <v>0.097</v>
      </c>
      <c r="D36" s="324">
        <v>0.097</v>
      </c>
      <c r="E36" s="324">
        <v>0.078</v>
      </c>
      <c r="F36" s="324">
        <v>0.1</v>
      </c>
      <c r="G36" s="325">
        <v>0.099</v>
      </c>
    </row>
    <row r="37" spans="1:7">
      <c r="A37" s="334" t="s">
        <v>264</v>
      </c>
      <c r="B37" s="323" t="s">
        <v>2283</v>
      </c>
      <c r="C37" s="324">
        <v>0.097</v>
      </c>
      <c r="D37" s="324">
        <v>0.095</v>
      </c>
      <c r="E37" s="324">
        <v>0.078</v>
      </c>
      <c r="F37" s="324">
        <v>0.1</v>
      </c>
      <c r="G37" s="325">
        <v>0.097</v>
      </c>
    </row>
    <row r="38" spans="1:7">
      <c r="A38" s="334" t="s">
        <v>264</v>
      </c>
      <c r="B38" s="323" t="s">
        <v>2284</v>
      </c>
      <c r="C38" s="324">
        <v>0.097</v>
      </c>
      <c r="D38" s="324">
        <v>0.077</v>
      </c>
      <c r="E38" s="324">
        <v>0.07</v>
      </c>
      <c r="F38" s="324">
        <v>0.1</v>
      </c>
      <c r="G38" s="325">
        <v>0.077</v>
      </c>
    </row>
    <row r="39" spans="1:7">
      <c r="A39" s="334" t="s">
        <v>264</v>
      </c>
      <c r="B39" s="323" t="s">
        <v>2285</v>
      </c>
      <c r="C39" s="324">
        <v>0.095</v>
      </c>
      <c r="D39" s="324">
        <v>0.077</v>
      </c>
      <c r="E39" s="324">
        <v>0.066</v>
      </c>
      <c r="F39" s="324">
        <v>0.1</v>
      </c>
      <c r="G39" s="325">
        <v>0.086</v>
      </c>
    </row>
    <row r="40" spans="1:7">
      <c r="A40" s="334" t="s">
        <v>264</v>
      </c>
      <c r="B40" s="323" t="s">
        <v>2286</v>
      </c>
      <c r="C40" s="324">
        <v>0.077</v>
      </c>
      <c r="D40" s="324">
        <v>0.078</v>
      </c>
      <c r="E40" s="324">
        <v>0.082</v>
      </c>
      <c r="F40" s="335"/>
      <c r="G40" s="325">
        <v>0.078</v>
      </c>
    </row>
    <row r="41" spans="1:7">
      <c r="A41" s="334" t="s">
        <v>264</v>
      </c>
      <c r="B41" s="323" t="s">
        <v>2287</v>
      </c>
      <c r="C41" s="324">
        <v>0.078</v>
      </c>
      <c r="D41" s="324">
        <v>0.078</v>
      </c>
      <c r="E41" s="324">
        <v>0.082</v>
      </c>
      <c r="F41" s="335"/>
      <c r="G41" s="325">
        <v>0.086</v>
      </c>
    </row>
    <row r="42" spans="1:7">
      <c r="A42" s="334" t="s">
        <v>264</v>
      </c>
      <c r="B42" s="323" t="s">
        <v>2288</v>
      </c>
      <c r="C42" s="324">
        <v>0.078</v>
      </c>
      <c r="D42" s="324">
        <v>0.096</v>
      </c>
      <c r="E42" s="324">
        <v>0.072</v>
      </c>
      <c r="F42" s="335"/>
      <c r="G42" s="325">
        <v>0.098</v>
      </c>
    </row>
    <row r="43" spans="1:7">
      <c r="A43" s="334" t="s">
        <v>264</v>
      </c>
      <c r="B43" s="323" t="s">
        <v>2289</v>
      </c>
      <c r="C43" s="324">
        <v>0.078</v>
      </c>
      <c r="D43" s="324">
        <v>0.099</v>
      </c>
      <c r="E43" s="324">
        <v>0.096</v>
      </c>
      <c r="F43" s="335"/>
      <c r="G43" s="325">
        <v>0.1</v>
      </c>
    </row>
    <row r="44" spans="1:7">
      <c r="A44" s="334" t="s">
        <v>264</v>
      </c>
      <c r="B44" s="323" t="s">
        <v>2290</v>
      </c>
      <c r="C44" s="324">
        <v>0.096</v>
      </c>
      <c r="D44" s="324">
        <v>0.1</v>
      </c>
      <c r="E44" s="324">
        <v>0.098</v>
      </c>
      <c r="F44" s="335"/>
      <c r="G44" s="325">
        <v>0.1</v>
      </c>
    </row>
    <row r="45" spans="1:7">
      <c r="A45" s="334" t="s">
        <v>264</v>
      </c>
      <c r="B45" s="323" t="s">
        <v>2291</v>
      </c>
      <c r="C45" s="324">
        <v>0.099</v>
      </c>
      <c r="D45" s="324">
        <v>0.098</v>
      </c>
      <c r="E45" s="324">
        <v>0.095</v>
      </c>
      <c r="F45" s="335"/>
      <c r="G45" s="325">
        <v>0.098</v>
      </c>
    </row>
    <row r="46" spans="1:7">
      <c r="A46" s="334" t="s">
        <v>264</v>
      </c>
      <c r="B46" s="323" t="s">
        <v>2292</v>
      </c>
      <c r="C46" s="324">
        <v>0.1</v>
      </c>
      <c r="D46" s="324">
        <v>0.099</v>
      </c>
      <c r="E46" s="324">
        <v>0.096</v>
      </c>
      <c r="F46" s="335"/>
      <c r="G46" s="325">
        <v>0.1</v>
      </c>
    </row>
    <row r="47" spans="1:7">
      <c r="A47" s="334" t="s">
        <v>264</v>
      </c>
      <c r="B47" s="323" t="s">
        <v>2293</v>
      </c>
      <c r="C47" s="324">
        <v>0.098</v>
      </c>
      <c r="D47" s="324">
        <v>0.087</v>
      </c>
      <c r="E47" s="324">
        <v>0.059</v>
      </c>
      <c r="F47" s="335"/>
      <c r="G47" s="325">
        <v>0.096</v>
      </c>
    </row>
    <row r="48" spans="1:7">
      <c r="A48" s="334" t="s">
        <v>264</v>
      </c>
      <c r="B48" s="323" t="s">
        <v>2294</v>
      </c>
      <c r="C48" s="324">
        <v>0.099</v>
      </c>
      <c r="D48" s="324">
        <v>0.098</v>
      </c>
      <c r="E48" s="324">
        <v>0.095</v>
      </c>
      <c r="F48" s="335"/>
      <c r="G48" s="325">
        <v>0.098</v>
      </c>
    </row>
    <row r="49" spans="1:7">
      <c r="A49" s="334" t="s">
        <v>264</v>
      </c>
      <c r="B49" s="323" t="s">
        <v>2295</v>
      </c>
      <c r="C49" s="324">
        <v>0.088</v>
      </c>
      <c r="D49" s="324">
        <v>0.099</v>
      </c>
      <c r="E49" s="324">
        <v>0.07</v>
      </c>
      <c r="F49" s="335"/>
      <c r="G49" s="325">
        <v>0.1</v>
      </c>
    </row>
    <row r="50" spans="1:7">
      <c r="A50" s="334" t="s">
        <v>264</v>
      </c>
      <c r="B50" s="323" t="s">
        <v>2296</v>
      </c>
      <c r="C50" s="324">
        <v>0.098</v>
      </c>
      <c r="D50" s="324">
        <v>0.073</v>
      </c>
      <c r="E50" s="324">
        <v>0.071</v>
      </c>
      <c r="F50" s="335"/>
      <c r="G50" s="325">
        <v>0.073</v>
      </c>
    </row>
    <row r="51" spans="1:7">
      <c r="A51" s="334" t="s">
        <v>264</v>
      </c>
      <c r="B51" s="323" t="s">
        <v>2297</v>
      </c>
      <c r="C51" s="324">
        <v>0.099</v>
      </c>
      <c r="D51" s="324">
        <v>0.085</v>
      </c>
      <c r="E51" s="324">
        <v>0.063</v>
      </c>
      <c r="F51" s="335"/>
      <c r="G51" s="325">
        <v>0.096</v>
      </c>
    </row>
    <row r="52" spans="1:7">
      <c r="A52" s="334" t="s">
        <v>264</v>
      </c>
      <c r="B52" s="323" t="s">
        <v>2298</v>
      </c>
      <c r="C52" s="324">
        <v>0.074</v>
      </c>
      <c r="D52" s="324">
        <v>0.096</v>
      </c>
      <c r="E52" s="324">
        <v>0.05</v>
      </c>
      <c r="F52" s="335"/>
      <c r="G52" s="325">
        <v>0.098</v>
      </c>
    </row>
    <row r="53" spans="1:7">
      <c r="A53" s="334" t="s">
        <v>264</v>
      </c>
      <c r="B53" s="323" t="s">
        <v>2299</v>
      </c>
      <c r="C53" s="324">
        <v>0.086</v>
      </c>
      <c r="D53" s="335"/>
      <c r="E53" s="324">
        <v>0.092</v>
      </c>
      <c r="F53" s="335"/>
      <c r="G53" s="336"/>
    </row>
    <row r="54" ht="14.25" spans="1:7">
      <c r="A54" s="337" t="s">
        <v>264</v>
      </c>
      <c r="B54" s="327" t="s">
        <v>2300</v>
      </c>
      <c r="C54" s="328">
        <v>0.096</v>
      </c>
      <c r="D54" s="329"/>
      <c r="E54" s="338"/>
      <c r="F54" s="329"/>
      <c r="G54" s="339"/>
    </row>
    <row r="55" spans="1:7">
      <c r="A55" s="333" t="s">
        <v>275</v>
      </c>
      <c r="B55" s="319" t="s">
        <v>2301</v>
      </c>
      <c r="C55" s="320">
        <v>0.096</v>
      </c>
      <c r="D55" s="320">
        <v>0.084</v>
      </c>
      <c r="E55" s="320">
        <v>0.092</v>
      </c>
      <c r="F55" s="320">
        <v>0.1</v>
      </c>
      <c r="G55" s="321">
        <v>0.095</v>
      </c>
    </row>
    <row r="56" spans="1:7">
      <c r="A56" s="334" t="s">
        <v>275</v>
      </c>
      <c r="B56" s="323" t="s">
        <v>2302</v>
      </c>
      <c r="C56" s="324">
        <v>0.084</v>
      </c>
      <c r="D56" s="324">
        <v>0.092</v>
      </c>
      <c r="E56" s="324">
        <v>0.095</v>
      </c>
      <c r="F56" s="324">
        <v>0.092</v>
      </c>
      <c r="G56" s="325">
        <v>0.096</v>
      </c>
    </row>
    <row r="57" spans="1:7">
      <c r="A57" s="334" t="s">
        <v>275</v>
      </c>
      <c r="B57" s="323" t="s">
        <v>2303</v>
      </c>
      <c r="C57" s="324">
        <v>0.099</v>
      </c>
      <c r="D57" s="324">
        <v>0.096</v>
      </c>
      <c r="E57" s="324">
        <v>0.092</v>
      </c>
      <c r="F57" s="324">
        <v>0.1</v>
      </c>
      <c r="G57" s="325">
        <v>0.098</v>
      </c>
    </row>
    <row r="58" spans="1:7">
      <c r="A58" s="334" t="s">
        <v>275</v>
      </c>
      <c r="B58" s="323" t="s">
        <v>2304</v>
      </c>
      <c r="C58" s="324">
        <v>0.098</v>
      </c>
      <c r="D58" s="324">
        <v>0.095</v>
      </c>
      <c r="E58" s="324">
        <v>0.057</v>
      </c>
      <c r="F58" s="324">
        <v>0.1</v>
      </c>
      <c r="G58" s="325">
        <v>0.096</v>
      </c>
    </row>
    <row r="59" spans="1:7">
      <c r="A59" s="334" t="s">
        <v>275</v>
      </c>
      <c r="B59" s="323" t="s">
        <v>2305</v>
      </c>
      <c r="C59" s="324">
        <v>0.095</v>
      </c>
      <c r="D59" s="324">
        <v>0.1</v>
      </c>
      <c r="E59" s="324">
        <v>0.075</v>
      </c>
      <c r="F59" s="324">
        <v>0.1</v>
      </c>
      <c r="G59" s="325">
        <v>0.1</v>
      </c>
    </row>
    <row r="60" spans="1:7">
      <c r="A60" s="334" t="s">
        <v>275</v>
      </c>
      <c r="B60" s="323" t="s">
        <v>2306</v>
      </c>
      <c r="C60" s="324">
        <v>0.1</v>
      </c>
      <c r="D60" s="324">
        <v>0.097</v>
      </c>
      <c r="E60" s="324">
        <v>0.1</v>
      </c>
      <c r="F60" s="324">
        <v>0.1</v>
      </c>
      <c r="G60" s="325">
        <v>0.097</v>
      </c>
    </row>
    <row r="61" spans="1:7">
      <c r="A61" s="334" t="s">
        <v>275</v>
      </c>
      <c r="B61" s="323" t="s">
        <v>2307</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2513</v>
      </c>
      <c r="C268" s="335"/>
      <c r="D268" s="335"/>
      <c r="E268" s="335"/>
      <c r="F268" s="324">
        <v>0.05</v>
      </c>
      <c r="G268" s="341"/>
    </row>
    <row r="269" spans="1:7">
      <c r="A269" s="334" t="s">
        <v>311</v>
      </c>
      <c r="B269" s="323" t="s">
        <v>2514</v>
      </c>
      <c r="C269" s="335"/>
      <c r="D269" s="335"/>
      <c r="E269" s="335"/>
      <c r="F269" s="324">
        <v>0.05</v>
      </c>
      <c r="G269" s="341"/>
    </row>
    <row r="270" spans="1:7">
      <c r="A270" s="334" t="s">
        <v>311</v>
      </c>
      <c r="B270" s="323" t="s">
        <v>2515</v>
      </c>
      <c r="C270" s="335"/>
      <c r="D270" s="335"/>
      <c r="E270" s="335"/>
      <c r="F270" s="324">
        <v>0.05</v>
      </c>
      <c r="G270" s="341"/>
    </row>
    <row r="271" spans="1:7">
      <c r="A271" s="334" t="s">
        <v>311</v>
      </c>
      <c r="B271" s="323" t="s">
        <v>2516</v>
      </c>
      <c r="C271" s="335"/>
      <c r="D271" s="335"/>
      <c r="E271" s="335"/>
      <c r="F271" s="324">
        <v>0.05</v>
      </c>
      <c r="G271" s="341"/>
    </row>
    <row r="272" spans="1:7">
      <c r="A272" s="334" t="s">
        <v>311</v>
      </c>
      <c r="B272" s="323" t="s">
        <v>2517</v>
      </c>
      <c r="C272" s="335"/>
      <c r="D272" s="335"/>
      <c r="E272" s="335"/>
      <c r="F272" s="324">
        <v>0.05</v>
      </c>
      <c r="G272" s="341"/>
    </row>
    <row r="273" spans="1:7">
      <c r="A273" s="334" t="s">
        <v>311</v>
      </c>
      <c r="B273" s="323" t="s">
        <v>2518</v>
      </c>
      <c r="C273" s="335"/>
      <c r="D273" s="335"/>
      <c r="E273" s="335"/>
      <c r="F273" s="324">
        <v>0.05</v>
      </c>
      <c r="G273" s="341"/>
    </row>
    <row r="274" spans="1:7">
      <c r="A274" s="334" t="s">
        <v>311</v>
      </c>
      <c r="B274" s="323" t="s">
        <v>2519</v>
      </c>
      <c r="C274" s="335"/>
      <c r="D274" s="335"/>
      <c r="E274" s="335"/>
      <c r="F274" s="324">
        <v>0.05</v>
      </c>
      <c r="G274" s="341"/>
    </row>
    <row r="275" spans="1:7">
      <c r="A275" s="334" t="s">
        <v>311</v>
      </c>
      <c r="B275" s="323" t="s">
        <v>2520</v>
      </c>
      <c r="C275" s="335"/>
      <c r="D275" s="335"/>
      <c r="E275" s="335"/>
      <c r="F275" s="324">
        <v>0.05</v>
      </c>
      <c r="G275" s="341"/>
    </row>
    <row r="276" ht="14.25" spans="1:7">
      <c r="A276" s="337" t="s">
        <v>311</v>
      </c>
      <c r="B276" s="327" t="s">
        <v>2521</v>
      </c>
      <c r="C276" s="329"/>
      <c r="D276" s="329"/>
      <c r="E276" s="329"/>
      <c r="F276" s="328">
        <v>0.05</v>
      </c>
      <c r="G276" s="342"/>
    </row>
    <row r="277" spans="1:7">
      <c r="A277" s="333" t="s">
        <v>318</v>
      </c>
      <c r="B277" s="319" t="s">
        <v>2522</v>
      </c>
      <c r="C277" s="320">
        <v>0.15</v>
      </c>
      <c r="D277" s="320">
        <v>0.15</v>
      </c>
      <c r="E277" s="320">
        <v>0.15</v>
      </c>
      <c r="F277" s="320">
        <v>0.15</v>
      </c>
      <c r="G277" s="321">
        <v>0.15</v>
      </c>
    </row>
    <row r="278" spans="1:7">
      <c r="A278" s="334" t="s">
        <v>318</v>
      </c>
      <c r="B278" s="323" t="s">
        <v>2523</v>
      </c>
      <c r="C278" s="324">
        <v>0.15</v>
      </c>
      <c r="D278" s="324">
        <v>0.15</v>
      </c>
      <c r="E278" s="324">
        <v>0.15</v>
      </c>
      <c r="F278" s="324">
        <v>0.15</v>
      </c>
      <c r="G278" s="325">
        <v>0.15</v>
      </c>
    </row>
    <row r="279" spans="1:7">
      <c r="A279" s="334" t="s">
        <v>318</v>
      </c>
      <c r="B279" s="323" t="s">
        <v>2524</v>
      </c>
      <c r="C279" s="324">
        <v>0.15</v>
      </c>
      <c r="D279" s="324">
        <v>0.15</v>
      </c>
      <c r="E279" s="324">
        <v>0.15</v>
      </c>
      <c r="F279" s="324">
        <v>0.15</v>
      </c>
      <c r="G279" s="325">
        <v>0.15</v>
      </c>
    </row>
    <row r="280" spans="1:7">
      <c r="A280" s="334" t="s">
        <v>318</v>
      </c>
      <c r="B280" s="323" t="s">
        <v>2525</v>
      </c>
      <c r="C280" s="324">
        <v>0.15</v>
      </c>
      <c r="D280" s="324">
        <v>0.15</v>
      </c>
      <c r="E280" s="324">
        <v>0.15</v>
      </c>
      <c r="F280" s="324">
        <v>0.15</v>
      </c>
      <c r="G280" s="325">
        <v>0.15</v>
      </c>
    </row>
    <row r="281" spans="1:7">
      <c r="A281" s="334" t="s">
        <v>318</v>
      </c>
      <c r="B281" s="323" t="s">
        <v>2526</v>
      </c>
      <c r="C281" s="324">
        <v>0.15</v>
      </c>
      <c r="D281" s="324">
        <v>0.15</v>
      </c>
      <c r="E281" s="324">
        <v>0.15</v>
      </c>
      <c r="F281" s="324">
        <v>0.15</v>
      </c>
      <c r="G281" s="325">
        <v>0.15</v>
      </c>
    </row>
    <row r="282" spans="1:7">
      <c r="A282" s="334" t="s">
        <v>318</v>
      </c>
      <c r="B282" s="323" t="s">
        <v>2527</v>
      </c>
      <c r="C282" s="324">
        <v>0.15</v>
      </c>
      <c r="D282" s="324">
        <v>0.15</v>
      </c>
      <c r="E282" s="324">
        <v>0.15</v>
      </c>
      <c r="F282" s="324">
        <v>0.145</v>
      </c>
      <c r="G282" s="325">
        <v>0.15</v>
      </c>
    </row>
    <row r="283" spans="1:7">
      <c r="A283" s="334" t="s">
        <v>318</v>
      </c>
      <c r="B283" s="323" t="s">
        <v>2528</v>
      </c>
      <c r="C283" s="324">
        <v>0.15</v>
      </c>
      <c r="D283" s="324">
        <v>0.15</v>
      </c>
      <c r="E283" s="324">
        <v>0.15</v>
      </c>
      <c r="F283" s="324">
        <v>0.142</v>
      </c>
      <c r="G283" s="325">
        <v>0.15</v>
      </c>
    </row>
    <row r="284" spans="1:7">
      <c r="A284" s="334" t="s">
        <v>318</v>
      </c>
      <c r="B284" s="323" t="s">
        <v>2529</v>
      </c>
      <c r="C284" s="324">
        <v>0.15</v>
      </c>
      <c r="D284" s="324">
        <v>0.15</v>
      </c>
      <c r="E284" s="324">
        <v>0.15</v>
      </c>
      <c r="F284" s="324">
        <v>0.15</v>
      </c>
      <c r="G284" s="325">
        <v>0.15</v>
      </c>
    </row>
    <row r="285" spans="1:7">
      <c r="A285" s="334" t="s">
        <v>318</v>
      </c>
      <c r="B285" s="323" t="s">
        <v>2530</v>
      </c>
      <c r="C285" s="324">
        <v>0.15</v>
      </c>
      <c r="D285" s="324">
        <v>0.15</v>
      </c>
      <c r="E285" s="324">
        <v>0.15</v>
      </c>
      <c r="F285" s="324">
        <v>0.15</v>
      </c>
      <c r="G285" s="325">
        <v>0.15</v>
      </c>
    </row>
    <row r="286" spans="1:7">
      <c r="A286" s="334" t="s">
        <v>318</v>
      </c>
      <c r="B286" s="323" t="s">
        <v>2531</v>
      </c>
      <c r="C286" s="324">
        <v>0.145</v>
      </c>
      <c r="D286" s="324">
        <v>0.145</v>
      </c>
      <c r="E286" s="324">
        <v>0.15</v>
      </c>
      <c r="F286" s="324">
        <v>0.141</v>
      </c>
      <c r="G286" s="325">
        <v>0.145</v>
      </c>
    </row>
    <row r="287" spans="1:7">
      <c r="A287" s="334" t="s">
        <v>318</v>
      </c>
      <c r="B287" s="323" t="s">
        <v>2532</v>
      </c>
      <c r="C287" s="324">
        <v>0.11</v>
      </c>
      <c r="D287" s="324">
        <v>0.111</v>
      </c>
      <c r="E287" s="324">
        <v>0.141</v>
      </c>
      <c r="F287" s="324">
        <v>0.11</v>
      </c>
      <c r="G287" s="325">
        <v>0.12</v>
      </c>
    </row>
    <row r="288" spans="1:7">
      <c r="A288" s="334" t="s">
        <v>318</v>
      </c>
      <c r="B288" s="323" t="s">
        <v>2533</v>
      </c>
      <c r="C288" s="324">
        <v>0.142</v>
      </c>
      <c r="D288" s="324">
        <v>0.143</v>
      </c>
      <c r="E288" s="324">
        <v>0.15</v>
      </c>
      <c r="F288" s="324">
        <v>0.142</v>
      </c>
      <c r="G288" s="325">
        <v>0.144</v>
      </c>
    </row>
    <row r="289" spans="1:7">
      <c r="A289" s="334" t="s">
        <v>318</v>
      </c>
      <c r="B289" s="323" t="s">
        <v>2534</v>
      </c>
      <c r="C289" s="324">
        <v>0.143</v>
      </c>
      <c r="D289" s="324">
        <v>0.143</v>
      </c>
      <c r="E289" s="324">
        <v>0.148</v>
      </c>
      <c r="F289" s="324">
        <v>0.144</v>
      </c>
      <c r="G289" s="325">
        <v>0.144</v>
      </c>
    </row>
    <row r="290" spans="1:7">
      <c r="A290" s="334" t="s">
        <v>318</v>
      </c>
      <c r="B290" s="323" t="s">
        <v>2535</v>
      </c>
      <c r="C290" s="324">
        <v>0.148</v>
      </c>
      <c r="D290" s="324">
        <v>0.149</v>
      </c>
      <c r="E290" s="324">
        <v>0.15</v>
      </c>
      <c r="F290" s="324">
        <v>0.127</v>
      </c>
      <c r="G290" s="325">
        <v>0.15</v>
      </c>
    </row>
    <row r="291" spans="1:7">
      <c r="A291" s="334" t="s">
        <v>318</v>
      </c>
      <c r="B291" s="323" t="s">
        <v>2536</v>
      </c>
      <c r="C291" s="324">
        <v>0.15</v>
      </c>
      <c r="D291" s="324">
        <v>0.15</v>
      </c>
      <c r="E291" s="324">
        <v>0.15</v>
      </c>
      <c r="F291" s="324">
        <v>0.149</v>
      </c>
      <c r="G291" s="325">
        <v>0.15</v>
      </c>
    </row>
    <row r="292" spans="1:7">
      <c r="A292" s="334" t="s">
        <v>318</v>
      </c>
      <c r="B292" s="323" t="s">
        <v>2537</v>
      </c>
      <c r="C292" s="324">
        <v>0.15</v>
      </c>
      <c r="D292" s="324">
        <v>0.15</v>
      </c>
      <c r="E292" s="324">
        <v>0.15</v>
      </c>
      <c r="F292" s="324">
        <v>0.144</v>
      </c>
      <c r="G292" s="325">
        <v>0.15</v>
      </c>
    </row>
    <row r="293" spans="1:7">
      <c r="A293" s="334" t="s">
        <v>318</v>
      </c>
      <c r="B293" s="323" t="s">
        <v>2538</v>
      </c>
      <c r="C293" s="324">
        <v>0.15</v>
      </c>
      <c r="D293" s="324">
        <v>0.15</v>
      </c>
      <c r="E293" s="324">
        <v>0.15</v>
      </c>
      <c r="F293" s="324">
        <v>0.145</v>
      </c>
      <c r="G293" s="325">
        <v>0.15</v>
      </c>
    </row>
    <row r="294" spans="1:7">
      <c r="A294" s="334" t="s">
        <v>318</v>
      </c>
      <c r="B294" s="323" t="s">
        <v>2539</v>
      </c>
      <c r="C294" s="324">
        <v>0.15</v>
      </c>
      <c r="D294" s="324">
        <v>0.15</v>
      </c>
      <c r="E294" s="324">
        <v>0.15</v>
      </c>
      <c r="F294" s="324">
        <v>0.149</v>
      </c>
      <c r="G294" s="325">
        <v>0.15</v>
      </c>
    </row>
    <row r="295" spans="1:7">
      <c r="A295" s="334" t="s">
        <v>318</v>
      </c>
      <c r="B295" s="323" t="s">
        <v>2540</v>
      </c>
      <c r="C295" s="324">
        <v>0.15</v>
      </c>
      <c r="D295" s="324">
        <v>0.15</v>
      </c>
      <c r="E295" s="324">
        <v>0.15</v>
      </c>
      <c r="F295" s="324">
        <v>0.148</v>
      </c>
      <c r="G295" s="325">
        <v>0.15</v>
      </c>
    </row>
    <row r="296" spans="1:7">
      <c r="A296" s="334" t="s">
        <v>318</v>
      </c>
      <c r="B296" s="323" t="s">
        <v>2541</v>
      </c>
      <c r="C296" s="324">
        <v>0.15</v>
      </c>
      <c r="D296" s="324">
        <v>0.15</v>
      </c>
      <c r="E296" s="324">
        <v>0.15</v>
      </c>
      <c r="F296" s="324">
        <v>0.144</v>
      </c>
      <c r="G296" s="325">
        <v>0.15</v>
      </c>
    </row>
    <row r="297" spans="1:7">
      <c r="A297" s="334" t="s">
        <v>318</v>
      </c>
      <c r="B297" s="323" t="s">
        <v>2542</v>
      </c>
      <c r="C297" s="324">
        <v>0.15</v>
      </c>
      <c r="D297" s="324">
        <v>0.15</v>
      </c>
      <c r="E297" s="324">
        <v>0.15</v>
      </c>
      <c r="F297" s="324">
        <v>0.145</v>
      </c>
      <c r="G297" s="325">
        <v>0.15</v>
      </c>
    </row>
    <row r="298" spans="1:7">
      <c r="A298" s="334" t="s">
        <v>318</v>
      </c>
      <c r="B298" s="323" t="s">
        <v>2543</v>
      </c>
      <c r="C298" s="324">
        <v>0.15</v>
      </c>
      <c r="D298" s="324">
        <v>0.15</v>
      </c>
      <c r="E298" s="324">
        <v>0.15</v>
      </c>
      <c r="F298" s="324">
        <v>0.15</v>
      </c>
      <c r="G298" s="325">
        <v>0.15</v>
      </c>
    </row>
    <row r="299" spans="1:7">
      <c r="A299" s="334" t="s">
        <v>318</v>
      </c>
      <c r="B299" s="343" t="s">
        <v>2544</v>
      </c>
      <c r="C299" s="324">
        <v>0.15</v>
      </c>
      <c r="D299" s="324">
        <v>0.15</v>
      </c>
      <c r="E299" s="324">
        <v>0.15</v>
      </c>
      <c r="F299" s="324">
        <v>0.145</v>
      </c>
      <c r="G299" s="325">
        <v>0.15</v>
      </c>
    </row>
    <row r="300" spans="1:7">
      <c r="A300" s="334" t="s">
        <v>318</v>
      </c>
      <c r="B300" s="343" t="s">
        <v>2545</v>
      </c>
      <c r="C300" s="324">
        <v>0.15</v>
      </c>
      <c r="D300" s="324">
        <v>0.15</v>
      </c>
      <c r="E300" s="324">
        <v>0.15</v>
      </c>
      <c r="F300" s="324">
        <v>0.146</v>
      </c>
      <c r="G300" s="325">
        <v>0.15</v>
      </c>
    </row>
    <row r="301" spans="1:7">
      <c r="A301" s="334" t="s">
        <v>318</v>
      </c>
      <c r="B301" s="343" t="s">
        <v>2546</v>
      </c>
      <c r="C301" s="324">
        <v>0.126</v>
      </c>
      <c r="D301" s="324">
        <v>0.124</v>
      </c>
      <c r="E301" s="324">
        <v>0.141</v>
      </c>
      <c r="F301" s="324">
        <v>0.144</v>
      </c>
      <c r="G301" s="325">
        <v>0.13</v>
      </c>
    </row>
    <row r="302" spans="1:7">
      <c r="A302" s="334" t="s">
        <v>318</v>
      </c>
      <c r="B302" s="323" t="s">
        <v>2547</v>
      </c>
      <c r="C302" s="324">
        <v>0.15</v>
      </c>
      <c r="D302" s="324">
        <v>0.15</v>
      </c>
      <c r="E302" s="324">
        <v>0.15</v>
      </c>
      <c r="F302" s="324">
        <v>0.147</v>
      </c>
      <c r="G302" s="325">
        <v>0.15</v>
      </c>
    </row>
    <row r="303" spans="1:7">
      <c r="A303" s="334" t="s">
        <v>318</v>
      </c>
      <c r="B303" s="323" t="s">
        <v>2548</v>
      </c>
      <c r="C303" s="324">
        <v>0.15</v>
      </c>
      <c r="D303" s="324">
        <v>0.15</v>
      </c>
      <c r="E303" s="324">
        <v>0.15</v>
      </c>
      <c r="F303" s="324">
        <v>0.142</v>
      </c>
      <c r="G303" s="325">
        <v>0.15</v>
      </c>
    </row>
    <row r="304" spans="1:7">
      <c r="A304" s="334" t="s">
        <v>318</v>
      </c>
      <c r="B304" s="323" t="s">
        <v>2549</v>
      </c>
      <c r="C304" s="324">
        <v>0.15</v>
      </c>
      <c r="D304" s="324">
        <v>0.15</v>
      </c>
      <c r="E304" s="324">
        <v>0.15</v>
      </c>
      <c r="F304" s="324">
        <v>0.145</v>
      </c>
      <c r="G304" s="325">
        <v>0.15</v>
      </c>
    </row>
    <row r="305" spans="1:7">
      <c r="A305" s="334" t="s">
        <v>318</v>
      </c>
      <c r="B305" s="323" t="s">
        <v>2550</v>
      </c>
      <c r="C305" s="324">
        <v>0.15</v>
      </c>
      <c r="D305" s="324">
        <v>0.15</v>
      </c>
      <c r="E305" s="324">
        <v>0.15</v>
      </c>
      <c r="F305" s="324">
        <v>0.111</v>
      </c>
      <c r="G305" s="325">
        <v>0.15</v>
      </c>
    </row>
    <row r="306" spans="1:7">
      <c r="A306" s="334" t="s">
        <v>318</v>
      </c>
      <c r="B306" s="323" t="s">
        <v>2551</v>
      </c>
      <c r="C306" s="324">
        <v>0.15</v>
      </c>
      <c r="D306" s="324">
        <v>0.15</v>
      </c>
      <c r="E306" s="324">
        <v>0.15</v>
      </c>
      <c r="F306" s="324">
        <v>0.126</v>
      </c>
      <c r="G306" s="325">
        <v>0.15</v>
      </c>
    </row>
    <row r="307" spans="1:7">
      <c r="A307" s="334" t="s">
        <v>318</v>
      </c>
      <c r="B307" s="323" t="s">
        <v>2552</v>
      </c>
      <c r="C307" s="324">
        <v>0.15</v>
      </c>
      <c r="D307" s="324">
        <v>0.15</v>
      </c>
      <c r="E307" s="324">
        <v>0.15</v>
      </c>
      <c r="F307" s="324">
        <v>0.12</v>
      </c>
      <c r="G307" s="325">
        <v>0.15</v>
      </c>
    </row>
    <row r="308" spans="1:7">
      <c r="A308" s="334" t="s">
        <v>318</v>
      </c>
      <c r="B308" s="323" t="s">
        <v>2553</v>
      </c>
      <c r="C308" s="324">
        <v>0.15</v>
      </c>
      <c r="D308" s="324">
        <v>0.15</v>
      </c>
      <c r="E308" s="324">
        <v>0.15</v>
      </c>
      <c r="F308" s="324">
        <v>0.13</v>
      </c>
      <c r="G308" s="325">
        <v>0.15</v>
      </c>
    </row>
    <row r="309" spans="1:7">
      <c r="A309" s="334" t="s">
        <v>318</v>
      </c>
      <c r="B309" s="323" t="s">
        <v>2554</v>
      </c>
      <c r="C309" s="324">
        <v>0.15</v>
      </c>
      <c r="D309" s="324">
        <v>0.15</v>
      </c>
      <c r="E309" s="324">
        <v>0.15</v>
      </c>
      <c r="F309" s="324">
        <v>0.141</v>
      </c>
      <c r="G309" s="325">
        <v>0.15</v>
      </c>
    </row>
    <row r="310" spans="1:7">
      <c r="A310" s="334" t="s">
        <v>318</v>
      </c>
      <c r="B310" s="323" t="s">
        <v>2555</v>
      </c>
      <c r="C310" s="324">
        <v>0.15</v>
      </c>
      <c r="D310" s="324">
        <v>0.15</v>
      </c>
      <c r="E310" s="324">
        <v>0.15</v>
      </c>
      <c r="F310" s="324">
        <v>0.15</v>
      </c>
      <c r="G310" s="325">
        <v>0.15</v>
      </c>
    </row>
    <row r="311" spans="1:7">
      <c r="A311" s="334" t="s">
        <v>318</v>
      </c>
      <c r="B311" s="323" t="s">
        <v>2556</v>
      </c>
      <c r="C311" s="324">
        <v>0.132</v>
      </c>
      <c r="D311" s="324">
        <v>0.133</v>
      </c>
      <c r="E311" s="324">
        <v>0.145</v>
      </c>
      <c r="F311" s="324">
        <v>0.142</v>
      </c>
      <c r="G311" s="325">
        <v>0.14</v>
      </c>
    </row>
    <row r="312" spans="1:7">
      <c r="A312" s="334" t="s">
        <v>318</v>
      </c>
      <c r="B312" s="323" t="s">
        <v>2557</v>
      </c>
      <c r="C312" s="324">
        <v>0.138</v>
      </c>
      <c r="D312" s="324">
        <v>0.14</v>
      </c>
      <c r="E312" s="324">
        <v>0.146</v>
      </c>
      <c r="F312" s="324">
        <v>0.149</v>
      </c>
      <c r="G312" s="325">
        <v>0.142</v>
      </c>
    </row>
    <row r="313" spans="1:7">
      <c r="A313" s="334" t="s">
        <v>318</v>
      </c>
      <c r="B313" s="323" t="s">
        <v>2558</v>
      </c>
      <c r="C313" s="324">
        <v>0.125</v>
      </c>
      <c r="D313" s="324">
        <v>0.127</v>
      </c>
      <c r="E313" s="324">
        <v>0.144</v>
      </c>
      <c r="F313" s="324">
        <v>0.115</v>
      </c>
      <c r="G313" s="325">
        <v>0.136</v>
      </c>
    </row>
    <row r="314" spans="1:7">
      <c r="A314" s="334" t="s">
        <v>318</v>
      </c>
      <c r="B314" s="323" t="s">
        <v>2559</v>
      </c>
      <c r="C314" s="340"/>
      <c r="D314" s="340"/>
      <c r="E314" s="340"/>
      <c r="F314" s="324">
        <v>0.05</v>
      </c>
      <c r="G314" s="341"/>
    </row>
    <row r="315" spans="1:7">
      <c r="A315" s="334" t="s">
        <v>318</v>
      </c>
      <c r="B315" s="323" t="s">
        <v>2560</v>
      </c>
      <c r="C315" s="340"/>
      <c r="D315" s="340"/>
      <c r="E315" s="340"/>
      <c r="F315" s="324">
        <v>0.05</v>
      </c>
      <c r="G315" s="341"/>
    </row>
    <row r="316" spans="1:7">
      <c r="A316" s="334" t="s">
        <v>318</v>
      </c>
      <c r="B316" s="323" t="s">
        <v>2561</v>
      </c>
      <c r="C316" s="335"/>
      <c r="D316" s="335"/>
      <c r="E316" s="335"/>
      <c r="F316" s="324">
        <v>0.05</v>
      </c>
      <c r="G316" s="341"/>
    </row>
    <row r="317" spans="1:7">
      <c r="A317" s="334" t="s">
        <v>318</v>
      </c>
      <c r="B317" s="323" t="s">
        <v>2562</v>
      </c>
      <c r="C317" s="335"/>
      <c r="D317" s="335"/>
      <c r="E317" s="335"/>
      <c r="F317" s="324">
        <v>0.05</v>
      </c>
      <c r="G317" s="341"/>
    </row>
    <row r="318" spans="1:7">
      <c r="A318" s="334" t="s">
        <v>318</v>
      </c>
      <c r="B318" s="323" t="s">
        <v>2563</v>
      </c>
      <c r="C318" s="335"/>
      <c r="D318" s="335"/>
      <c r="E318" s="335"/>
      <c r="F318" s="324">
        <v>0.05</v>
      </c>
      <c r="G318" s="341"/>
    </row>
    <row r="319" spans="1:7">
      <c r="A319" s="334" t="s">
        <v>318</v>
      </c>
      <c r="B319" s="323" t="s">
        <v>2564</v>
      </c>
      <c r="C319" s="335"/>
      <c r="D319" s="335"/>
      <c r="E319" s="335"/>
      <c r="F319" s="324">
        <v>0.05</v>
      </c>
      <c r="G319" s="341"/>
    </row>
    <row r="320" spans="1:7">
      <c r="A320" s="334" t="s">
        <v>318</v>
      </c>
      <c r="B320" s="323" t="s">
        <v>2565</v>
      </c>
      <c r="C320" s="335"/>
      <c r="D320" s="335"/>
      <c r="E320" s="335"/>
      <c r="F320" s="324">
        <v>0.05</v>
      </c>
      <c r="G320" s="341"/>
    </row>
    <row r="321" spans="1:7">
      <c r="A321" s="334" t="s">
        <v>318</v>
      </c>
      <c r="B321" s="323" t="s">
        <v>2566</v>
      </c>
      <c r="C321" s="335"/>
      <c r="D321" s="335"/>
      <c r="E321" s="335"/>
      <c r="F321" s="324">
        <v>0.05</v>
      </c>
      <c r="G321" s="341"/>
    </row>
    <row r="322" spans="1:7">
      <c r="A322" s="334" t="s">
        <v>318</v>
      </c>
      <c r="B322" s="323" t="s">
        <v>2567</v>
      </c>
      <c r="C322" s="335"/>
      <c r="D322" s="335"/>
      <c r="E322" s="335"/>
      <c r="F322" s="324">
        <v>0.05</v>
      </c>
      <c r="G322" s="341"/>
    </row>
    <row r="323" spans="1:7">
      <c r="A323" s="334" t="s">
        <v>318</v>
      </c>
      <c r="B323" s="323" t="s">
        <v>2568</v>
      </c>
      <c r="C323" s="335"/>
      <c r="D323" s="335"/>
      <c r="E323" s="335"/>
      <c r="F323" s="324">
        <v>0.05</v>
      </c>
      <c r="G323" s="341"/>
    </row>
    <row r="324" spans="1:7">
      <c r="A324" s="334" t="s">
        <v>318</v>
      </c>
      <c r="B324" s="323" t="s">
        <v>2569</v>
      </c>
      <c r="C324" s="335"/>
      <c r="D324" s="335"/>
      <c r="E324" s="335"/>
      <c r="F324" s="324">
        <v>0.05</v>
      </c>
      <c r="G324" s="341"/>
    </row>
    <row r="325" spans="1:7">
      <c r="A325" s="334" t="s">
        <v>318</v>
      </c>
      <c r="B325" s="323" t="s">
        <v>2570</v>
      </c>
      <c r="C325" s="335"/>
      <c r="D325" s="335"/>
      <c r="E325" s="335"/>
      <c r="F325" s="324">
        <v>0.05</v>
      </c>
      <c r="G325" s="341"/>
    </row>
    <row r="326" ht="14.25" spans="1:7">
      <c r="A326" s="337" t="s">
        <v>318</v>
      </c>
      <c r="B326" s="327" t="s">
        <v>2571</v>
      </c>
      <c r="C326" s="329"/>
      <c r="D326" s="329"/>
      <c r="E326" s="329"/>
      <c r="F326" s="328">
        <v>0.05</v>
      </c>
      <c r="G326" s="342"/>
    </row>
    <row r="327" spans="1:7">
      <c r="A327" s="333" t="s">
        <v>324</v>
      </c>
      <c r="B327" s="319" t="s">
        <v>2572</v>
      </c>
      <c r="C327" s="320">
        <v>0.15</v>
      </c>
      <c r="D327" s="320">
        <v>0.15</v>
      </c>
      <c r="E327" s="320">
        <v>0.15</v>
      </c>
      <c r="F327" s="320">
        <v>0.15</v>
      </c>
      <c r="G327" s="321">
        <v>0.15</v>
      </c>
    </row>
    <row r="328" spans="1:7">
      <c r="A328" s="334" t="s">
        <v>324</v>
      </c>
      <c r="B328" s="323" t="s">
        <v>2573</v>
      </c>
      <c r="C328" s="324">
        <v>0.15</v>
      </c>
      <c r="D328" s="324">
        <v>0.15</v>
      </c>
      <c r="E328" s="324">
        <v>0.15</v>
      </c>
      <c r="F328" s="324">
        <v>0.126</v>
      </c>
      <c r="G328" s="325">
        <v>0.15</v>
      </c>
    </row>
    <row r="329" spans="1:7">
      <c r="A329" s="334" t="s">
        <v>324</v>
      </c>
      <c r="B329" s="323" t="s">
        <v>2574</v>
      </c>
      <c r="C329" s="324">
        <v>0.15</v>
      </c>
      <c r="D329" s="324">
        <v>0.15</v>
      </c>
      <c r="E329" s="324">
        <v>0.15</v>
      </c>
      <c r="F329" s="324">
        <v>0.15</v>
      </c>
      <c r="G329" s="325">
        <v>0.15</v>
      </c>
    </row>
    <row r="330" spans="1:7">
      <c r="A330" s="334" t="s">
        <v>324</v>
      </c>
      <c r="B330" s="323" t="s">
        <v>2575</v>
      </c>
      <c r="C330" s="324">
        <v>0.15</v>
      </c>
      <c r="D330" s="324">
        <v>0.15</v>
      </c>
      <c r="E330" s="324">
        <v>0.15</v>
      </c>
      <c r="F330" s="324">
        <v>0.15</v>
      </c>
      <c r="G330" s="325">
        <v>0.15</v>
      </c>
    </row>
    <row r="331" spans="1:7">
      <c r="A331" s="334" t="s">
        <v>324</v>
      </c>
      <c r="B331" s="323" t="s">
        <v>2576</v>
      </c>
      <c r="C331" s="324">
        <v>0.15</v>
      </c>
      <c r="D331" s="324">
        <v>0.15</v>
      </c>
      <c r="E331" s="324">
        <v>0.15</v>
      </c>
      <c r="F331" s="324">
        <v>0.15</v>
      </c>
      <c r="G331" s="325">
        <v>0.15</v>
      </c>
    </row>
    <row r="332" spans="1:7">
      <c r="A332" s="334" t="s">
        <v>324</v>
      </c>
      <c r="B332" s="323" t="s">
        <v>2577</v>
      </c>
      <c r="C332" s="324">
        <v>0.15</v>
      </c>
      <c r="D332" s="324">
        <v>0.15</v>
      </c>
      <c r="E332" s="324">
        <v>0.15</v>
      </c>
      <c r="F332" s="324">
        <v>0.15</v>
      </c>
      <c r="G332" s="325">
        <v>0.15</v>
      </c>
    </row>
    <row r="333" spans="1:7">
      <c r="A333" s="334" t="s">
        <v>324</v>
      </c>
      <c r="B333" s="323" t="s">
        <v>2578</v>
      </c>
      <c r="C333" s="324">
        <v>0.149</v>
      </c>
      <c r="D333" s="324">
        <v>0.149</v>
      </c>
      <c r="E333" s="324">
        <v>0.15</v>
      </c>
      <c r="F333" s="324">
        <v>0.116</v>
      </c>
      <c r="G333" s="325">
        <v>0.15</v>
      </c>
    </row>
    <row r="334" spans="1:7">
      <c r="A334" s="334" t="s">
        <v>324</v>
      </c>
      <c r="B334" s="323" t="s">
        <v>2579</v>
      </c>
      <c r="C334" s="324">
        <v>0.15</v>
      </c>
      <c r="D334" s="324">
        <v>0.15</v>
      </c>
      <c r="E334" s="324">
        <v>0.15</v>
      </c>
      <c r="F334" s="324">
        <v>0.13</v>
      </c>
      <c r="G334" s="325">
        <v>0.15</v>
      </c>
    </row>
    <row r="335" spans="1:7">
      <c r="A335" s="334" t="s">
        <v>324</v>
      </c>
      <c r="B335" s="323" t="s">
        <v>2580</v>
      </c>
      <c r="C335" s="324">
        <v>0.15</v>
      </c>
      <c r="D335" s="324">
        <v>0.15</v>
      </c>
      <c r="E335" s="324">
        <v>0.15</v>
      </c>
      <c r="F335" s="324">
        <v>0.144</v>
      </c>
      <c r="G335" s="325">
        <v>0.15</v>
      </c>
    </row>
    <row r="336" spans="1:7">
      <c r="A336" s="334" t="s">
        <v>324</v>
      </c>
      <c r="B336" s="323" t="s">
        <v>2581</v>
      </c>
      <c r="C336" s="324">
        <v>0.15</v>
      </c>
      <c r="D336" s="324">
        <v>0.15</v>
      </c>
      <c r="E336" s="324">
        <v>0.15</v>
      </c>
      <c r="F336" s="324">
        <v>0.142</v>
      </c>
      <c r="G336" s="325">
        <v>0.15</v>
      </c>
    </row>
    <row r="337" spans="1:7">
      <c r="A337" s="334" t="s">
        <v>324</v>
      </c>
      <c r="B337" s="323" t="s">
        <v>2582</v>
      </c>
      <c r="C337" s="324">
        <v>0.15</v>
      </c>
      <c r="D337" s="324">
        <v>0.15</v>
      </c>
      <c r="E337" s="324">
        <v>0.15</v>
      </c>
      <c r="F337" s="324">
        <v>0.145</v>
      </c>
      <c r="G337" s="325">
        <v>0.15</v>
      </c>
    </row>
    <row r="338" spans="1:7">
      <c r="A338" s="334" t="s">
        <v>324</v>
      </c>
      <c r="B338" s="323" t="s">
        <v>2583</v>
      </c>
      <c r="C338" s="324">
        <v>0.15</v>
      </c>
      <c r="D338" s="324">
        <v>0.15</v>
      </c>
      <c r="E338" s="324">
        <v>0.15</v>
      </c>
      <c r="F338" s="324">
        <v>0.15</v>
      </c>
      <c r="G338" s="325">
        <v>0.15</v>
      </c>
    </row>
    <row r="339" spans="1:7">
      <c r="A339" s="334" t="s">
        <v>324</v>
      </c>
      <c r="B339" s="323" t="s">
        <v>2584</v>
      </c>
      <c r="C339" s="324">
        <v>0.15</v>
      </c>
      <c r="D339" s="324">
        <v>0.15</v>
      </c>
      <c r="E339" s="324">
        <v>0.15</v>
      </c>
      <c r="F339" s="324">
        <v>0.147</v>
      </c>
      <c r="G339" s="325">
        <v>0.15</v>
      </c>
    </row>
    <row r="340" spans="1:7">
      <c r="A340" s="334" t="s">
        <v>324</v>
      </c>
      <c r="B340" s="323" t="s">
        <v>2585</v>
      </c>
      <c r="C340" s="324">
        <v>0.146</v>
      </c>
      <c r="D340" s="324">
        <v>0.146</v>
      </c>
      <c r="E340" s="324">
        <v>0.15</v>
      </c>
      <c r="F340" s="324">
        <v>0.141</v>
      </c>
      <c r="G340" s="325">
        <v>0.147</v>
      </c>
    </row>
    <row r="341" spans="1:7">
      <c r="A341" s="334" t="s">
        <v>324</v>
      </c>
      <c r="B341" s="323" t="s">
        <v>2586</v>
      </c>
      <c r="C341" s="324">
        <v>0.126</v>
      </c>
      <c r="D341" s="324">
        <v>0.124</v>
      </c>
      <c r="E341" s="324">
        <v>0.141</v>
      </c>
      <c r="F341" s="324">
        <v>0.144</v>
      </c>
      <c r="G341" s="325">
        <v>0.13</v>
      </c>
    </row>
    <row r="342" spans="1:7">
      <c r="A342" s="334" t="s">
        <v>324</v>
      </c>
      <c r="B342" s="323" t="s">
        <v>2587</v>
      </c>
      <c r="C342" s="324">
        <v>0.15</v>
      </c>
      <c r="D342" s="324">
        <v>0.15</v>
      </c>
      <c r="E342" s="324">
        <v>0.15</v>
      </c>
      <c r="F342" s="324">
        <v>0.144</v>
      </c>
      <c r="G342" s="325">
        <v>0.15</v>
      </c>
    </row>
    <row r="343" spans="1:7">
      <c r="A343" s="334" t="s">
        <v>324</v>
      </c>
      <c r="B343" s="323" t="s">
        <v>2588</v>
      </c>
      <c r="C343" s="324">
        <v>0.15</v>
      </c>
      <c r="D343" s="324">
        <v>0.15</v>
      </c>
      <c r="E343" s="324">
        <v>0.15</v>
      </c>
      <c r="F343" s="324">
        <v>0.128</v>
      </c>
      <c r="G343" s="325">
        <v>0.15</v>
      </c>
    </row>
    <row r="344" spans="1:7">
      <c r="A344" s="334" t="s">
        <v>324</v>
      </c>
      <c r="B344" s="323" t="s">
        <v>2589</v>
      </c>
      <c r="C344" s="324">
        <v>0.15</v>
      </c>
      <c r="D344" s="324">
        <v>0.15</v>
      </c>
      <c r="E344" s="324">
        <v>0.15</v>
      </c>
      <c r="F344" s="324">
        <v>0.148</v>
      </c>
      <c r="G344" s="325">
        <v>0.15</v>
      </c>
    </row>
    <row r="345" spans="1:7">
      <c r="A345" s="334" t="s">
        <v>324</v>
      </c>
      <c r="B345" s="323" t="s">
        <v>2590</v>
      </c>
      <c r="C345" s="324">
        <v>0.15</v>
      </c>
      <c r="D345" s="324">
        <v>0.15</v>
      </c>
      <c r="E345" s="324">
        <v>0.15</v>
      </c>
      <c r="F345" s="324">
        <v>0.138</v>
      </c>
      <c r="G345" s="325">
        <v>0.15</v>
      </c>
    </row>
    <row r="346" spans="1:7">
      <c r="A346" s="334" t="s">
        <v>324</v>
      </c>
      <c r="B346" s="323" t="s">
        <v>2591</v>
      </c>
      <c r="C346" s="324">
        <v>0.15</v>
      </c>
      <c r="D346" s="324">
        <v>0.15</v>
      </c>
      <c r="E346" s="324">
        <v>0.15</v>
      </c>
      <c r="F346" s="324">
        <v>0.144</v>
      </c>
      <c r="G346" s="325">
        <v>0.15</v>
      </c>
    </row>
    <row r="347" spans="1:7">
      <c r="A347" s="334" t="s">
        <v>324</v>
      </c>
      <c r="B347" s="323" t="s">
        <v>2592</v>
      </c>
      <c r="C347" s="324">
        <v>0.15</v>
      </c>
      <c r="D347" s="324">
        <v>0.15</v>
      </c>
      <c r="E347" s="324">
        <v>0.15</v>
      </c>
      <c r="F347" s="324">
        <v>0.146</v>
      </c>
      <c r="G347" s="325">
        <v>0.15</v>
      </c>
    </row>
    <row r="348" spans="1:7">
      <c r="A348" s="334" t="s">
        <v>324</v>
      </c>
      <c r="B348" s="323" t="s">
        <v>2593</v>
      </c>
      <c r="C348" s="324">
        <v>0.15</v>
      </c>
      <c r="D348" s="324">
        <v>0.15</v>
      </c>
      <c r="E348" s="324">
        <v>0.15</v>
      </c>
      <c r="F348" s="324">
        <v>0.144</v>
      </c>
      <c r="G348" s="325">
        <v>0.15</v>
      </c>
    </row>
    <row r="349" spans="1:7">
      <c r="A349" s="334" t="s">
        <v>324</v>
      </c>
      <c r="B349" s="323" t="s">
        <v>2594</v>
      </c>
      <c r="C349" s="324">
        <v>0.15</v>
      </c>
      <c r="D349" s="324">
        <v>0.15</v>
      </c>
      <c r="E349" s="324">
        <v>0.15</v>
      </c>
      <c r="F349" s="324">
        <v>0.15</v>
      </c>
      <c r="G349" s="325">
        <v>0.15</v>
      </c>
    </row>
    <row r="350" spans="1:7">
      <c r="A350" s="334" t="s">
        <v>324</v>
      </c>
      <c r="B350" s="323" t="s">
        <v>2595</v>
      </c>
      <c r="C350" s="324">
        <v>0.15</v>
      </c>
      <c r="D350" s="324">
        <v>0.15</v>
      </c>
      <c r="E350" s="324">
        <v>0.15</v>
      </c>
      <c r="F350" s="324">
        <v>0.147</v>
      </c>
      <c r="G350" s="325">
        <v>0.15</v>
      </c>
    </row>
    <row r="351" spans="1:7">
      <c r="A351" s="334" t="s">
        <v>324</v>
      </c>
      <c r="B351" s="323" t="s">
        <v>2596</v>
      </c>
      <c r="C351" s="324">
        <v>0.15</v>
      </c>
      <c r="D351" s="324">
        <v>0.15</v>
      </c>
      <c r="E351" s="324">
        <v>0.15</v>
      </c>
      <c r="F351" s="324">
        <v>0.13</v>
      </c>
      <c r="G351" s="325">
        <v>0.15</v>
      </c>
    </row>
    <row r="352" spans="1:7">
      <c r="A352" s="334" t="s">
        <v>324</v>
      </c>
      <c r="B352" s="323" t="s">
        <v>2597</v>
      </c>
      <c r="C352" s="324">
        <v>0.15</v>
      </c>
      <c r="D352" s="324">
        <v>0.15</v>
      </c>
      <c r="E352" s="324">
        <v>0.15</v>
      </c>
      <c r="F352" s="324">
        <v>0.146</v>
      </c>
      <c r="G352" s="325">
        <v>0.15</v>
      </c>
    </row>
    <row r="353" spans="1:7">
      <c r="A353" s="334" t="s">
        <v>324</v>
      </c>
      <c r="B353" s="323" t="s">
        <v>2598</v>
      </c>
      <c r="C353" s="324">
        <v>0.15</v>
      </c>
      <c r="D353" s="324">
        <v>0.15</v>
      </c>
      <c r="E353" s="324">
        <v>0.15</v>
      </c>
      <c r="F353" s="324">
        <v>0.145</v>
      </c>
      <c r="G353" s="325">
        <v>0.15</v>
      </c>
    </row>
    <row r="354" spans="1:7">
      <c r="A354" s="334" t="s">
        <v>324</v>
      </c>
      <c r="B354" s="323" t="s">
        <v>2599</v>
      </c>
      <c r="C354" s="324">
        <v>0.15</v>
      </c>
      <c r="D354" s="324">
        <v>0.15</v>
      </c>
      <c r="E354" s="324">
        <v>0.15</v>
      </c>
      <c r="F354" s="324">
        <v>0.141</v>
      </c>
      <c r="G354" s="325">
        <v>0.15</v>
      </c>
    </row>
    <row r="355" spans="1:7">
      <c r="A355" s="334" t="s">
        <v>324</v>
      </c>
      <c r="B355" s="323" t="s">
        <v>2600</v>
      </c>
      <c r="C355" s="324">
        <v>0.15</v>
      </c>
      <c r="D355" s="324">
        <v>0.15</v>
      </c>
      <c r="E355" s="324">
        <v>0.15</v>
      </c>
      <c r="F355" s="324">
        <v>0.15</v>
      </c>
      <c r="G355" s="325">
        <v>0.15</v>
      </c>
    </row>
    <row r="356" spans="1:7">
      <c r="A356" s="334" t="s">
        <v>324</v>
      </c>
      <c r="B356" s="323" t="s">
        <v>2601</v>
      </c>
      <c r="C356" s="324">
        <v>0.15</v>
      </c>
      <c r="D356" s="324">
        <v>0.15</v>
      </c>
      <c r="E356" s="324">
        <v>0.15</v>
      </c>
      <c r="F356" s="324">
        <v>0.15</v>
      </c>
      <c r="G356" s="325">
        <v>0.15</v>
      </c>
    </row>
    <row r="357" ht="14.25" spans="1:7">
      <c r="A357" s="337" t="s">
        <v>324</v>
      </c>
      <c r="B357" s="327" t="s">
        <v>2602</v>
      </c>
      <c r="C357" s="328">
        <v>0.126</v>
      </c>
      <c r="D357" s="328">
        <v>0.127</v>
      </c>
      <c r="E357" s="328">
        <v>0.143</v>
      </c>
      <c r="F357" s="328">
        <v>0.125</v>
      </c>
      <c r="G357" s="330">
        <v>0.129</v>
      </c>
    </row>
    <row r="358" spans="1:7">
      <c r="A358" s="333" t="s">
        <v>330</v>
      </c>
      <c r="B358" s="319" t="s">
        <v>2603</v>
      </c>
      <c r="C358" s="320">
        <v>0.15</v>
      </c>
      <c r="D358" s="320">
        <v>0.15</v>
      </c>
      <c r="E358" s="320">
        <v>0.15</v>
      </c>
      <c r="F358" s="320">
        <v>0.15</v>
      </c>
      <c r="G358" s="321">
        <v>0.15</v>
      </c>
    </row>
    <row r="359" spans="1:7">
      <c r="A359" s="334" t="s">
        <v>330</v>
      </c>
      <c r="B359" s="323" t="s">
        <v>2604</v>
      </c>
      <c r="C359" s="324">
        <v>0.1</v>
      </c>
      <c r="D359" s="324">
        <v>0.1</v>
      </c>
      <c r="E359" s="324">
        <v>0.1</v>
      </c>
      <c r="F359" s="324">
        <v>0.1</v>
      </c>
      <c r="G359" s="325">
        <v>0.1</v>
      </c>
    </row>
    <row r="360" spans="1:7">
      <c r="A360" s="334" t="s">
        <v>330</v>
      </c>
      <c r="B360" s="323" t="s">
        <v>2605</v>
      </c>
      <c r="C360" s="324">
        <v>0.15</v>
      </c>
      <c r="D360" s="324">
        <v>0.15</v>
      </c>
      <c r="E360" s="324">
        <v>0.15</v>
      </c>
      <c r="F360" s="324">
        <v>0.149</v>
      </c>
      <c r="G360" s="325">
        <v>0.15</v>
      </c>
    </row>
    <row r="361" spans="1:7">
      <c r="A361" s="334" t="s">
        <v>330</v>
      </c>
      <c r="B361" s="323" t="s">
        <v>2606</v>
      </c>
      <c r="C361" s="324">
        <v>0.15</v>
      </c>
      <c r="D361" s="324">
        <v>0.15</v>
      </c>
      <c r="E361" s="324">
        <v>0.15</v>
      </c>
      <c r="F361" s="324">
        <v>0.115</v>
      </c>
      <c r="G361" s="325">
        <v>0.15</v>
      </c>
    </row>
    <row r="362" spans="1:7">
      <c r="A362" s="334" t="s">
        <v>330</v>
      </c>
      <c r="B362" s="323" t="s">
        <v>2607</v>
      </c>
      <c r="C362" s="324">
        <v>0.15</v>
      </c>
      <c r="D362" s="324">
        <v>0.15</v>
      </c>
      <c r="E362" s="324">
        <v>0.15</v>
      </c>
      <c r="F362" s="324">
        <v>0.106</v>
      </c>
      <c r="G362" s="325">
        <v>0.15</v>
      </c>
    </row>
    <row r="363" spans="1:7">
      <c r="A363" s="334" t="s">
        <v>330</v>
      </c>
      <c r="B363" s="323" t="s">
        <v>2608</v>
      </c>
      <c r="C363" s="324">
        <v>0.15</v>
      </c>
      <c r="D363" s="324">
        <v>0.15</v>
      </c>
      <c r="E363" s="324">
        <v>0.15</v>
      </c>
      <c r="F363" s="324">
        <v>0.147</v>
      </c>
      <c r="G363" s="325">
        <v>0.15</v>
      </c>
    </row>
    <row r="364" spans="1:7">
      <c r="A364" s="334" t="s">
        <v>330</v>
      </c>
      <c r="B364" s="323" t="s">
        <v>2609</v>
      </c>
      <c r="C364" s="324">
        <v>0.15</v>
      </c>
      <c r="D364" s="324">
        <v>0.15</v>
      </c>
      <c r="E364" s="324">
        <v>0.15</v>
      </c>
      <c r="F364" s="324">
        <v>0.148</v>
      </c>
      <c r="G364" s="325">
        <v>0.15</v>
      </c>
    </row>
    <row r="365" spans="1:7">
      <c r="A365" s="334" t="s">
        <v>330</v>
      </c>
      <c r="B365" s="323" t="s">
        <v>2610</v>
      </c>
      <c r="C365" s="324">
        <v>0.15</v>
      </c>
      <c r="D365" s="324">
        <v>0.15</v>
      </c>
      <c r="E365" s="324">
        <v>0.15</v>
      </c>
      <c r="F365" s="324">
        <v>0.15</v>
      </c>
      <c r="G365" s="325">
        <v>0.15</v>
      </c>
    </row>
    <row r="366" spans="1:7">
      <c r="A366" s="334" t="s">
        <v>330</v>
      </c>
      <c r="B366" s="323" t="s">
        <v>2611</v>
      </c>
      <c r="C366" s="324">
        <v>0.15</v>
      </c>
      <c r="D366" s="324">
        <v>0.15</v>
      </c>
      <c r="E366" s="324">
        <v>0.15</v>
      </c>
      <c r="F366" s="324">
        <v>0.15</v>
      </c>
      <c r="G366" s="325">
        <v>0.15</v>
      </c>
    </row>
    <row r="367" spans="1:7">
      <c r="A367" s="334" t="s">
        <v>330</v>
      </c>
      <c r="B367" s="323" t="s">
        <v>2612</v>
      </c>
      <c r="C367" s="324">
        <v>0.15</v>
      </c>
      <c r="D367" s="324">
        <v>0.15</v>
      </c>
      <c r="E367" s="324">
        <v>0.15</v>
      </c>
      <c r="F367" s="324">
        <v>0.147</v>
      </c>
      <c r="G367" s="325">
        <v>0.15</v>
      </c>
    </row>
    <row r="368" spans="1:7">
      <c r="A368" s="334" t="s">
        <v>330</v>
      </c>
      <c r="B368" s="323" t="s">
        <v>2613</v>
      </c>
      <c r="C368" s="324">
        <v>0.15</v>
      </c>
      <c r="D368" s="324">
        <v>0.15</v>
      </c>
      <c r="E368" s="324">
        <v>0.15</v>
      </c>
      <c r="F368" s="324">
        <v>0.136</v>
      </c>
      <c r="G368" s="325">
        <v>0.15</v>
      </c>
    </row>
    <row r="369" spans="1:7">
      <c r="A369" s="334" t="s">
        <v>330</v>
      </c>
      <c r="B369" s="323" t="s">
        <v>2614</v>
      </c>
      <c r="C369" s="324">
        <v>0.15</v>
      </c>
      <c r="D369" s="324">
        <v>0.15</v>
      </c>
      <c r="E369" s="324">
        <v>0.15</v>
      </c>
      <c r="F369" s="324">
        <v>0.144</v>
      </c>
      <c r="G369" s="325">
        <v>0.15</v>
      </c>
    </row>
    <row r="370" spans="1:7">
      <c r="A370" s="334" t="s">
        <v>330</v>
      </c>
      <c r="B370" s="323" t="s">
        <v>2615</v>
      </c>
      <c r="C370" s="324">
        <v>0.15</v>
      </c>
      <c r="D370" s="324">
        <v>0.15</v>
      </c>
      <c r="E370" s="324">
        <v>0.15</v>
      </c>
      <c r="F370" s="324">
        <v>0.146</v>
      </c>
      <c r="G370" s="325">
        <v>0.15</v>
      </c>
    </row>
    <row r="371" spans="1:7">
      <c r="A371" s="334" t="s">
        <v>330</v>
      </c>
      <c r="B371" s="323" t="s">
        <v>2616</v>
      </c>
      <c r="C371" s="324">
        <v>0.15</v>
      </c>
      <c r="D371" s="324">
        <v>0.15</v>
      </c>
      <c r="E371" s="324">
        <v>0.15</v>
      </c>
      <c r="F371" s="324">
        <v>0.12</v>
      </c>
      <c r="G371" s="325">
        <v>0.15</v>
      </c>
    </row>
    <row r="372" spans="1:7">
      <c r="A372" s="334" t="s">
        <v>330</v>
      </c>
      <c r="B372" s="323" t="s">
        <v>2617</v>
      </c>
      <c r="C372" s="324">
        <v>0.15</v>
      </c>
      <c r="D372" s="324">
        <v>0.15</v>
      </c>
      <c r="E372" s="324">
        <v>0.15</v>
      </c>
      <c r="F372" s="324">
        <v>0.143</v>
      </c>
      <c r="G372" s="325">
        <v>0.15</v>
      </c>
    </row>
    <row r="373" spans="1:7">
      <c r="A373" s="334" t="s">
        <v>330</v>
      </c>
      <c r="B373" s="323" t="s">
        <v>2618</v>
      </c>
      <c r="C373" s="324">
        <v>0.15</v>
      </c>
      <c r="D373" s="324">
        <v>0.15</v>
      </c>
      <c r="E373" s="324">
        <v>0.15</v>
      </c>
      <c r="F373" s="324">
        <v>0.146</v>
      </c>
      <c r="G373" s="325">
        <v>0.15</v>
      </c>
    </row>
    <row r="374" spans="1:7">
      <c r="A374" s="334" t="s">
        <v>330</v>
      </c>
      <c r="B374" s="323" t="s">
        <v>2619</v>
      </c>
      <c r="C374" s="324">
        <v>0.15</v>
      </c>
      <c r="D374" s="324">
        <v>0.15</v>
      </c>
      <c r="E374" s="324">
        <v>0.15</v>
      </c>
      <c r="F374" s="324">
        <v>0.144</v>
      </c>
      <c r="G374" s="325">
        <v>0.15</v>
      </c>
    </row>
    <row r="375" spans="1:7">
      <c r="A375" s="334" t="s">
        <v>330</v>
      </c>
      <c r="B375" s="323" t="s">
        <v>2620</v>
      </c>
      <c r="C375" s="324">
        <v>0.15</v>
      </c>
      <c r="D375" s="324">
        <v>0.15</v>
      </c>
      <c r="E375" s="324">
        <v>0.15</v>
      </c>
      <c r="F375" s="324">
        <v>0.13</v>
      </c>
      <c r="G375" s="325">
        <v>0.15</v>
      </c>
    </row>
    <row r="376" spans="1:7">
      <c r="A376" s="334" t="s">
        <v>330</v>
      </c>
      <c r="B376" s="323" t="s">
        <v>2621</v>
      </c>
      <c r="C376" s="324">
        <v>0.15</v>
      </c>
      <c r="D376" s="324">
        <v>0.15</v>
      </c>
      <c r="E376" s="324">
        <v>0.15</v>
      </c>
      <c r="F376" s="324">
        <v>0.142</v>
      </c>
      <c r="G376" s="325">
        <v>0.15</v>
      </c>
    </row>
    <row r="377" ht="14.25" spans="1:7">
      <c r="A377" s="337" t="s">
        <v>330</v>
      </c>
      <c r="B377" s="327" t="s">
        <v>2622</v>
      </c>
      <c r="C377" s="328">
        <v>0.15</v>
      </c>
      <c r="D377" s="328">
        <v>0.15</v>
      </c>
      <c r="E377" s="328">
        <v>0.15</v>
      </c>
      <c r="F377" s="328">
        <v>0.14</v>
      </c>
      <c r="G377" s="330">
        <v>0.15</v>
      </c>
    </row>
    <row r="378" spans="1:7">
      <c r="A378" s="333" t="s">
        <v>336</v>
      </c>
      <c r="B378" s="319" t="s">
        <v>2623</v>
      </c>
      <c r="C378" s="320">
        <v>0.15</v>
      </c>
      <c r="D378" s="320">
        <v>0.15</v>
      </c>
      <c r="E378" s="320">
        <v>0.15</v>
      </c>
      <c r="F378" s="320">
        <v>0.107</v>
      </c>
      <c r="G378" s="321">
        <v>0.15</v>
      </c>
    </row>
    <row r="379" spans="1:7">
      <c r="A379" s="334" t="s">
        <v>336</v>
      </c>
      <c r="B379" s="323" t="s">
        <v>2624</v>
      </c>
      <c r="C379" s="324">
        <v>0.15</v>
      </c>
      <c r="D379" s="324">
        <v>0.15</v>
      </c>
      <c r="E379" s="324">
        <v>0.15</v>
      </c>
      <c r="F379" s="324">
        <v>0.115</v>
      </c>
      <c r="G379" s="325">
        <v>0.149</v>
      </c>
    </row>
    <row r="380" spans="1:7">
      <c r="A380" s="334" t="s">
        <v>336</v>
      </c>
      <c r="B380" s="323" t="s">
        <v>2625</v>
      </c>
      <c r="C380" s="324">
        <v>0.15</v>
      </c>
      <c r="D380" s="324">
        <v>0.15</v>
      </c>
      <c r="E380" s="324">
        <v>0.15</v>
      </c>
      <c r="F380" s="324">
        <v>0.1</v>
      </c>
      <c r="G380" s="325">
        <v>0.148</v>
      </c>
    </row>
    <row r="381" spans="1:7">
      <c r="A381" s="334" t="s">
        <v>336</v>
      </c>
      <c r="B381" s="323" t="s">
        <v>2626</v>
      </c>
      <c r="C381" s="324">
        <v>0.15</v>
      </c>
      <c r="D381" s="324">
        <v>0.15</v>
      </c>
      <c r="E381" s="324">
        <v>0.15</v>
      </c>
      <c r="F381" s="324">
        <v>0.126</v>
      </c>
      <c r="G381" s="325">
        <v>0.15</v>
      </c>
    </row>
    <row r="382" spans="1:7">
      <c r="A382" s="334" t="s">
        <v>336</v>
      </c>
      <c r="B382" s="323" t="s">
        <v>2627</v>
      </c>
      <c r="C382" s="324">
        <v>0.15</v>
      </c>
      <c r="D382" s="324">
        <v>0.15</v>
      </c>
      <c r="E382" s="324">
        <v>0.15</v>
      </c>
      <c r="F382" s="324">
        <v>0.15</v>
      </c>
      <c r="G382" s="325">
        <v>0.15</v>
      </c>
    </row>
    <row r="383" spans="1:7">
      <c r="A383" s="334" t="s">
        <v>336</v>
      </c>
      <c r="B383" s="323" t="s">
        <v>2628</v>
      </c>
      <c r="C383" s="324">
        <v>0.15</v>
      </c>
      <c r="D383" s="324">
        <v>0.15</v>
      </c>
      <c r="E383" s="324">
        <v>0.15</v>
      </c>
      <c r="F383" s="324">
        <v>0.147</v>
      </c>
      <c r="G383" s="325">
        <v>0.15</v>
      </c>
    </row>
    <row r="384" ht="14.25" spans="1:7">
      <c r="A384" s="344" t="s">
        <v>336</v>
      </c>
      <c r="B384" s="345" t="s">
        <v>2629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2630</v>
      </c>
      <c r="B1" s="305"/>
      <c r="C1" s="305"/>
      <c r="D1" s="305"/>
      <c r="E1" s="305"/>
      <c r="F1" s="306"/>
    </row>
    <row r="2" spans="1:6">
      <c r="A2" s="307" t="s">
        <v>2631</v>
      </c>
    </row>
    <row r="3" spans="1:6">
      <c r="A3" s="307" t="s">
        <v>2632</v>
      </c>
      <c r="F3" s="308" t="s">
        <v>2633</v>
      </c>
    </row>
    <row r="4" spans="1:6">
      <c r="A4" s="309" t="s">
        <v>442</v>
      </c>
      <c r="B4" s="309" t="s">
        <v>229</v>
      </c>
      <c r="C4" s="309" t="s">
        <v>230</v>
      </c>
      <c r="D4" s="309" t="s">
        <v>2634</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2635</v>
      </c>
      <c r="C1" s="241"/>
      <c r="D1" s="241"/>
      <c r="E1" s="241"/>
      <c r="F1" s="241"/>
      <c r="G1" s="241"/>
      <c r="H1" s="241"/>
      <c r="I1" s="241"/>
      <c r="J1" s="242"/>
      <c r="K1" s="241" t="s">
        <v>2636</v>
      </c>
      <c r="L1" s="241"/>
      <c r="M1" s="241"/>
      <c r="N1" s="241"/>
      <c r="O1" s="241"/>
      <c r="P1" s="241"/>
      <c r="Q1" s="242"/>
      <c r="R1" s="118" t="s">
        <v>2637</v>
      </c>
      <c r="S1" s="107"/>
      <c r="T1" s="107"/>
      <c r="U1" s="107"/>
      <c r="V1" s="107"/>
      <c r="W1" s="107"/>
      <c r="X1" s="242"/>
      <c r="Y1" s="118" t="s">
        <v>2638</v>
      </c>
      <c r="Z1" s="107"/>
      <c r="AA1" s="107"/>
      <c r="AB1" s="107"/>
      <c r="AC1" s="107"/>
      <c r="AD1" s="107"/>
    </row>
    <row r="2" s="108" customFormat="1" ht="14.25" spans="1:44">
      <c r="B2" s="243"/>
      <c r="C2" s="244"/>
      <c r="D2" s="119" t="s">
        <v>2639</v>
      </c>
      <c r="E2" s="120" t="s">
        <v>229</v>
      </c>
      <c r="F2" s="120" t="s">
        <v>230</v>
      </c>
      <c r="G2" s="120" t="s">
        <v>232</v>
      </c>
      <c r="H2" s="120" t="s">
        <v>233</v>
      </c>
      <c r="I2" s="120" t="s">
        <v>231</v>
      </c>
      <c r="J2" s="245"/>
      <c r="K2" s="119" t="s">
        <v>2639</v>
      </c>
      <c r="L2" s="120" t="s">
        <v>229</v>
      </c>
      <c r="M2" s="120" t="s">
        <v>230</v>
      </c>
      <c r="N2" s="120" t="s">
        <v>232</v>
      </c>
      <c r="O2" s="120" t="s">
        <v>233</v>
      </c>
      <c r="P2" s="120" t="s">
        <v>231</v>
      </c>
      <c r="Q2" s="245"/>
      <c r="R2" s="119" t="s">
        <v>2639</v>
      </c>
      <c r="S2" s="120" t="s">
        <v>229</v>
      </c>
      <c r="T2" s="120" t="s">
        <v>230</v>
      </c>
      <c r="U2" s="120" t="s">
        <v>232</v>
      </c>
      <c r="V2" s="120" t="s">
        <v>233</v>
      </c>
      <c r="W2" s="120" t="s">
        <v>231</v>
      </c>
      <c r="X2" s="245"/>
      <c r="Y2" s="119" t="s">
        <v>2639</v>
      </c>
      <c r="Z2" s="120" t="s">
        <v>229</v>
      </c>
      <c r="AA2" s="120" t="s">
        <v>230</v>
      </c>
      <c r="AB2" s="120" t="s">
        <v>232</v>
      </c>
      <c r="AC2" s="120" t="s">
        <v>233</v>
      </c>
      <c r="AD2" s="120" t="s">
        <v>231</v>
      </c>
      <c r="AF2" t="s">
        <v>2639</v>
      </c>
      <c r="AG2" t="s">
        <v>229</v>
      </c>
      <c r="AH2" t="s">
        <v>230</v>
      </c>
      <c r="AI2" t="s">
        <v>232</v>
      </c>
      <c r="AJ2" t="s">
        <v>233</v>
      </c>
      <c r="AK2" t="s">
        <v>231</v>
      </c>
      <c r="AM2" t="s">
        <v>2639</v>
      </c>
      <c r="AN2" t="s">
        <v>229</v>
      </c>
      <c r="AO2" t="s">
        <v>230</v>
      </c>
      <c r="AP2" t="s">
        <v>232</v>
      </c>
      <c r="AQ2" t="s">
        <v>233</v>
      </c>
      <c r="AR2" t="s">
        <v>231</v>
      </c>
    </row>
    <row r="3" s="236" customFormat="1" ht="12.75" spans="1:44">
      <c r="A3" s="246" t="s">
        <v>2640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2661</v>
      </c>
    </row>
    <row r="27" spans="1:44">
      <c r="I27" s="293" t="s">
        <v>1803</v>
      </c>
    </row>
    <row r="29" s="107" customFormat="1" ht="12.75" spans="1:44">
      <c r="B29" s="240" t="s">
        <v>2662</v>
      </c>
      <c r="C29" s="241"/>
      <c r="D29" s="241"/>
      <c r="E29" s="241"/>
      <c r="F29" s="241"/>
      <c r="G29" s="241"/>
      <c r="H29" s="241"/>
      <c r="I29" s="241"/>
      <c r="J29" s="242"/>
      <c r="K29" s="241" t="s">
        <v>2636</v>
      </c>
      <c r="L29" s="241"/>
      <c r="M29" s="241"/>
      <c r="N29" s="241"/>
      <c r="O29" s="241"/>
      <c r="P29" s="241"/>
      <c r="Q29" s="242"/>
      <c r="R29" s="118" t="s">
        <v>2637</v>
      </c>
      <c r="X29" s="242"/>
      <c r="Y29" s="118" t="s">
        <v>2638</v>
      </c>
    </row>
    <row r="30" s="108" customFormat="1" ht="14.25" spans="1:44">
      <c r="B30" s="243"/>
      <c r="C30" s="244"/>
      <c r="D30" s="119" t="s">
        <v>2639</v>
      </c>
      <c r="E30" s="120" t="s">
        <v>229</v>
      </c>
      <c r="F30" s="120" t="s">
        <v>230</v>
      </c>
      <c r="G30" s="120" t="s">
        <v>232</v>
      </c>
      <c r="H30" s="120"/>
      <c r="I30" s="120" t="s">
        <v>231</v>
      </c>
      <c r="J30" s="245"/>
      <c r="K30" s="119" t="s">
        <v>2639</v>
      </c>
      <c r="L30" s="120" t="s">
        <v>229</v>
      </c>
      <c r="M30" s="120" t="s">
        <v>230</v>
      </c>
      <c r="N30" s="120" t="s">
        <v>232</v>
      </c>
      <c r="O30" s="120"/>
      <c r="P30" s="120" t="s">
        <v>231</v>
      </c>
      <c r="Q30" s="245"/>
      <c r="R30" s="119" t="s">
        <v>2639</v>
      </c>
      <c r="S30" s="120" t="s">
        <v>229</v>
      </c>
      <c r="T30" s="120" t="s">
        <v>230</v>
      </c>
      <c r="U30" s="120" t="s">
        <v>232</v>
      </c>
      <c r="V30" s="120"/>
      <c r="W30" s="120" t="s">
        <v>231</v>
      </c>
      <c r="X30" s="245"/>
      <c r="Y30" s="119" t="s">
        <v>2639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2664</v>
      </c>
      <c r="C1" s="117"/>
      <c r="D1" s="117"/>
      <c r="E1" s="117"/>
      <c r="F1" s="117"/>
      <c r="G1" s="107" t="s">
        <v>2665</v>
      </c>
      <c r="N1" s="107" t="s">
        <v>2636</v>
      </c>
      <c r="S1" s="107" t="s">
        <v>2666</v>
      </c>
      <c r="X1" s="118" t="s">
        <v>2637</v>
      </c>
      <c r="AD1" s="118" t="s">
        <v>2638</v>
      </c>
    </row>
    <row r="2" s="108" customFormat="1" ht="14.25" spans="1:34">
      <c r="B2" s="119" t="s">
        <v>471</v>
      </c>
      <c r="C2" s="119" t="s">
        <v>2667</v>
      </c>
      <c r="D2" s="120" t="s">
        <v>230</v>
      </c>
      <c r="E2" s="120" t="s">
        <v>232</v>
      </c>
      <c r="F2" s="119" t="s">
        <v>2668</v>
      </c>
      <c r="G2" s="121"/>
      <c r="I2" s="119" t="s">
        <v>471</v>
      </c>
      <c r="J2" s="120" t="s">
        <v>1967</v>
      </c>
      <c r="K2" s="120" t="s">
        <v>232</v>
      </c>
      <c r="L2" s="119" t="s">
        <v>2668</v>
      </c>
      <c r="N2" s="119" t="s">
        <v>471</v>
      </c>
      <c r="O2" s="120" t="s">
        <v>1967</v>
      </c>
      <c r="P2" s="120" t="s">
        <v>232</v>
      </c>
      <c r="Q2" s="119" t="s">
        <v>2668</v>
      </c>
      <c r="S2" s="119" t="s">
        <v>471</v>
      </c>
      <c r="T2" s="120" t="s">
        <v>1967</v>
      </c>
      <c r="U2" s="120" t="s">
        <v>232</v>
      </c>
      <c r="V2" s="119" t="s">
        <v>2668</v>
      </c>
      <c r="X2" s="119" t="s">
        <v>471</v>
      </c>
      <c r="Y2" s="119" t="s">
        <v>2667</v>
      </c>
      <c r="Z2" s="120" t="s">
        <v>230</v>
      </c>
      <c r="AA2" s="120" t="s">
        <v>232</v>
      </c>
      <c r="AB2" s="119" t="s">
        <v>2668</v>
      </c>
      <c r="AD2" s="119" t="s">
        <v>471</v>
      </c>
      <c r="AE2" s="119" t="s">
        <v>2667</v>
      </c>
      <c r="AF2" s="120" t="s">
        <v>230</v>
      </c>
      <c r="AG2" s="120" t="s">
        <v>232</v>
      </c>
      <c r="AH2" s="119" t="s">
        <v>2668</v>
      </c>
    </row>
    <row r="3" s="109" customFormat="1" ht="14.25" spans="1:34">
      <c r="A3" s="122" t="s">
        <v>2640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2747</v>
      </c>
      <c r="G91" s="229"/>
      <c r="N91" s="229"/>
      <c r="S91" s="229"/>
    </row>
    <row r="92" s="114" customFormat="1" spans="1:26">
      <c r="A92" s="114" t="s">
        <v>2748</v>
      </c>
      <c r="G92" s="229"/>
      <c r="N92" s="229"/>
      <c r="S92" s="229"/>
    </row>
    <row r="93" s="114" customFormat="1" spans="1:26">
      <c r="A93" s="114" t="s">
        <v>2749</v>
      </c>
      <c r="G93" s="229"/>
      <c r="I93" s="230"/>
      <c r="J93" s="230"/>
      <c r="K93" s="230"/>
      <c r="L93" s="230"/>
      <c r="N93" s="231"/>
      <c r="O93" s="230"/>
      <c r="P93" s="230"/>
      <c r="Q93" s="230"/>
      <c r="S93" s="231"/>
      <c r="T93" s="230"/>
      <c r="U93" s="230"/>
      <c r="V93" s="230"/>
    </row>
    <row r="94" s="114" customFormat="1" spans="1:26">
      <c r="A94" s="114" t="s">
        <v>2750</v>
      </c>
      <c r="G94" s="229"/>
      <c r="N94" s="229"/>
      <c r="S94" s="229"/>
    </row>
    <row r="101" ht="13.5"/>
    <row r="102" spans="7:22">
      <c r="G102" s="115"/>
      <c r="S102" s="232" t="s">
        <v>2751</v>
      </c>
      <c r="T102" s="171" t="s">
        <v>2752</v>
      </c>
      <c r="U102" s="171" t="s">
        <v>2753</v>
      </c>
      <c r="V102" s="171" t="s">
        <v>2754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2756</v>
      </c>
      <c r="B2" s="80"/>
      <c r="C2" s="80"/>
      <c r="D2" s="80"/>
      <c r="E2" s="80"/>
      <c r="F2" s="80"/>
      <c r="G2" s="81" t="s">
        <v>2757</v>
      </c>
      <c r="I2" s="82" t="s">
        <v>2251</v>
      </c>
      <c r="J2" s="82" t="s">
        <v>2256</v>
      </c>
      <c r="K2" s="82" t="s">
        <v>2276</v>
      </c>
      <c r="L2" s="82" t="s">
        <v>2301</v>
      </c>
      <c r="M2" s="82" t="s">
        <v>2332</v>
      </c>
      <c r="N2" s="82" t="s">
        <v>2372</v>
      </c>
      <c r="O2" s="82" t="s">
        <v>2435</v>
      </c>
      <c r="P2" s="82" t="s">
        <v>2479</v>
      </c>
      <c r="Q2" s="82" t="s">
        <v>2522</v>
      </c>
      <c r="R2" s="82" t="s">
        <v>2572</v>
      </c>
      <c r="S2" s="82" t="s">
        <v>2603</v>
      </c>
      <c r="T2" s="82" t="s">
        <v>2623</v>
      </c>
    </row>
    <row r="3" s="72" customFormat="1" spans="1:20">
      <c r="A3" s="83" t="s">
        <v>2249</v>
      </c>
      <c r="B3" s="84"/>
      <c r="C3" s="85" t="s">
        <v>229</v>
      </c>
      <c r="D3" s="85" t="s">
        <v>230</v>
      </c>
      <c r="E3" s="85" t="s">
        <v>232</v>
      </c>
      <c r="F3" s="85" t="s">
        <v>233</v>
      </c>
      <c r="G3" s="85" t="s">
        <v>231</v>
      </c>
      <c r="H3" s="86"/>
      <c r="I3" s="87" t="s">
        <v>2252</v>
      </c>
      <c r="J3" s="88" t="s">
        <v>2257</v>
      </c>
      <c r="K3" s="88" t="s">
        <v>2277</v>
      </c>
      <c r="L3" s="87" t="s">
        <v>2302</v>
      </c>
      <c r="M3" s="87" t="s">
        <v>2333</v>
      </c>
      <c r="N3" s="87" t="s">
        <v>2373</v>
      </c>
      <c r="O3" s="87" t="s">
        <v>2436</v>
      </c>
      <c r="P3" s="87" t="s">
        <v>2480</v>
      </c>
      <c r="Q3" s="87" t="s">
        <v>2523</v>
      </c>
      <c r="R3" s="87" t="s">
        <v>2573</v>
      </c>
      <c r="S3" s="87" t="s">
        <v>2604</v>
      </c>
      <c r="T3" s="87" t="s">
        <v>2624</v>
      </c>
    </row>
    <row r="4" s="72" customFormat="1" ht="12" spans="1:20">
      <c r="A4" s="89"/>
      <c r="B4" s="90" t="s">
        <v>2250</v>
      </c>
      <c r="C4" s="90" t="s">
        <v>2758</v>
      </c>
      <c r="D4" s="90" t="s">
        <v>2758</v>
      </c>
      <c r="E4" s="90" t="s">
        <v>2758</v>
      </c>
      <c r="F4" s="91" t="s">
        <v>2758</v>
      </c>
      <c r="G4" s="91" t="s">
        <v>2758</v>
      </c>
      <c r="H4" s="86"/>
      <c r="I4" s="88" t="s">
        <v>2253</v>
      </c>
      <c r="J4" s="88" t="s">
        <v>2258</v>
      </c>
      <c r="K4" s="88" t="s">
        <v>2278</v>
      </c>
      <c r="L4" s="87" t="s">
        <v>2303</v>
      </c>
      <c r="M4" s="87" t="s">
        <v>2334</v>
      </c>
      <c r="N4" s="87" t="s">
        <v>2374</v>
      </c>
      <c r="O4" s="87" t="s">
        <v>2437</v>
      </c>
      <c r="P4" s="87" t="s">
        <v>2481</v>
      </c>
      <c r="Q4" s="87" t="s">
        <v>2524</v>
      </c>
      <c r="R4" s="87" t="s">
        <v>2574</v>
      </c>
      <c r="S4" s="87" t="s">
        <v>2605</v>
      </c>
      <c r="T4" s="87" t="s">
        <v>2625</v>
      </c>
    </row>
    <row r="5" spans="1:20">
      <c r="A5" s="92" t="s">
        <v>235</v>
      </c>
      <c r="B5" s="82" t="s">
        <v>2251</v>
      </c>
      <c r="C5" s="82">
        <v>34550</v>
      </c>
      <c r="D5" s="82">
        <v>34470</v>
      </c>
      <c r="E5" s="82">
        <v>34330</v>
      </c>
      <c r="F5" s="82">
        <v>13400</v>
      </c>
      <c r="G5" s="82">
        <v>25450</v>
      </c>
      <c r="H5" s="86"/>
      <c r="I5" s="87" t="s">
        <v>2254</v>
      </c>
      <c r="J5" s="88" t="s">
        <v>2259</v>
      </c>
      <c r="K5" s="88" t="s">
        <v>2279</v>
      </c>
      <c r="L5" s="87" t="s">
        <v>2304</v>
      </c>
      <c r="M5" s="87" t="s">
        <v>2335</v>
      </c>
      <c r="N5" s="87" t="s">
        <v>2375</v>
      </c>
      <c r="O5" s="87" t="s">
        <v>2438</v>
      </c>
      <c r="P5" s="87" t="s">
        <v>2482</v>
      </c>
      <c r="Q5" s="87" t="s">
        <v>2525</v>
      </c>
      <c r="R5" s="87" t="s">
        <v>2575</v>
      </c>
      <c r="S5" s="87" t="s">
        <v>2606</v>
      </c>
      <c r="T5" s="87" t="s">
        <v>2626</v>
      </c>
    </row>
    <row r="6" ht="12" spans="1:20">
      <c r="A6" s="87" t="s">
        <v>235</v>
      </c>
      <c r="B6" s="87" t="s">
        <v>2252</v>
      </c>
      <c r="C6" s="87">
        <v>36990</v>
      </c>
      <c r="D6" s="87">
        <v>36850</v>
      </c>
      <c r="E6" s="87">
        <v>36700</v>
      </c>
      <c r="F6" s="87">
        <v>14590</v>
      </c>
      <c r="G6" s="87">
        <v>27450</v>
      </c>
      <c r="H6" s="86"/>
      <c r="I6" s="93" t="s">
        <v>2255</v>
      </c>
      <c r="J6" s="88" t="s">
        <v>2260</v>
      </c>
      <c r="K6" s="88" t="s">
        <v>2280</v>
      </c>
      <c r="L6" s="87" t="s">
        <v>2305</v>
      </c>
      <c r="M6" s="87" t="s">
        <v>2336</v>
      </c>
      <c r="N6" s="87" t="s">
        <v>2376</v>
      </c>
      <c r="O6" s="87" t="s">
        <v>2439</v>
      </c>
      <c r="P6" s="87" t="s">
        <v>2483</v>
      </c>
      <c r="Q6" s="87" t="s">
        <v>2526</v>
      </c>
      <c r="R6" s="87" t="s">
        <v>2576</v>
      </c>
      <c r="S6" s="87" t="s">
        <v>2607</v>
      </c>
      <c r="T6" s="87" t="s">
        <v>2627</v>
      </c>
    </row>
    <row r="7" spans="1:20">
      <c r="A7" s="87" t="s">
        <v>235</v>
      </c>
      <c r="B7" s="88" t="s">
        <v>2253</v>
      </c>
      <c r="C7" s="87">
        <v>34850</v>
      </c>
      <c r="D7" s="87">
        <v>34690</v>
      </c>
      <c r="E7" s="87">
        <v>34550</v>
      </c>
      <c r="F7" s="87">
        <v>14360</v>
      </c>
      <c r="G7" s="87">
        <v>25620</v>
      </c>
      <c r="H7" s="86"/>
      <c r="J7" s="88" t="s">
        <v>2261</v>
      </c>
      <c r="K7" s="88" t="s">
        <v>2281</v>
      </c>
      <c r="L7" s="87" t="s">
        <v>2306</v>
      </c>
      <c r="M7" s="87" t="s">
        <v>2337</v>
      </c>
      <c r="N7" s="87" t="s">
        <v>2377</v>
      </c>
      <c r="O7" s="87" t="s">
        <v>2440</v>
      </c>
      <c r="P7" s="87" t="s">
        <v>2484</v>
      </c>
      <c r="Q7" s="87" t="s">
        <v>2527</v>
      </c>
      <c r="R7" s="87" t="s">
        <v>2577</v>
      </c>
      <c r="S7" s="87" t="s">
        <v>2608</v>
      </c>
      <c r="T7" s="87" t="s">
        <v>2628</v>
      </c>
    </row>
    <row r="8" ht="12" spans="1:20">
      <c r="A8" s="87" t="s">
        <v>235</v>
      </c>
      <c r="B8" s="87" t="s">
        <v>2254</v>
      </c>
      <c r="C8" s="87">
        <v>32630</v>
      </c>
      <c r="D8" s="87">
        <v>32510</v>
      </c>
      <c r="E8" s="87">
        <v>32420</v>
      </c>
      <c r="F8" s="87">
        <v>13300</v>
      </c>
      <c r="G8" s="87">
        <v>24010</v>
      </c>
      <c r="H8" s="86"/>
      <c r="J8" s="88" t="s">
        <v>2262</v>
      </c>
      <c r="K8" s="88" t="s">
        <v>2282</v>
      </c>
      <c r="L8" s="87" t="s">
        <v>2307</v>
      </c>
      <c r="M8" s="87" t="s">
        <v>2338</v>
      </c>
      <c r="N8" s="87" t="s">
        <v>2378</v>
      </c>
      <c r="O8" s="87" t="s">
        <v>2441</v>
      </c>
      <c r="P8" s="87" t="s">
        <v>2485</v>
      </c>
      <c r="Q8" s="87" t="s">
        <v>2528</v>
      </c>
      <c r="R8" s="87" t="s">
        <v>2578</v>
      </c>
      <c r="S8" s="87" t="s">
        <v>2609</v>
      </c>
      <c r="T8" s="94" t="s">
        <v>2629</v>
      </c>
    </row>
    <row r="9" ht="12" spans="1:20">
      <c r="A9" s="95" t="s">
        <v>235</v>
      </c>
      <c r="B9" s="93" t="s">
        <v>2255</v>
      </c>
      <c r="C9" s="94">
        <v>36370</v>
      </c>
      <c r="D9" s="94">
        <v>36210</v>
      </c>
      <c r="E9" s="94">
        <v>36050</v>
      </c>
      <c r="F9" s="94"/>
      <c r="G9" s="94">
        <v>26740</v>
      </c>
      <c r="H9" s="86"/>
      <c r="J9" s="88" t="s">
        <v>2263</v>
      </c>
      <c r="K9" s="88" t="s">
        <v>2283</v>
      </c>
      <c r="L9" s="87" t="s">
        <v>547</v>
      </c>
      <c r="M9" s="87" t="s">
        <v>2339</v>
      </c>
      <c r="N9" s="87" t="s">
        <v>2379</v>
      </c>
      <c r="O9" s="87" t="s">
        <v>2442</v>
      </c>
      <c r="P9" s="87" t="s">
        <v>2486</v>
      </c>
      <c r="Q9" s="87" t="s">
        <v>2529</v>
      </c>
      <c r="R9" s="87" t="s">
        <v>2579</v>
      </c>
      <c r="S9" s="87" t="s">
        <v>2610</v>
      </c>
    </row>
    <row r="10" spans="1:20">
      <c r="A10" s="92" t="s">
        <v>251</v>
      </c>
      <c r="B10" s="82" t="s">
        <v>2256</v>
      </c>
      <c r="C10" s="87">
        <v>32350</v>
      </c>
      <c r="D10" s="87">
        <v>31430</v>
      </c>
      <c r="E10" s="87">
        <v>31320</v>
      </c>
      <c r="F10" s="87">
        <v>10850</v>
      </c>
      <c r="G10" s="87">
        <v>22860</v>
      </c>
      <c r="H10" s="86"/>
      <c r="J10" s="88" t="s">
        <v>2264</v>
      </c>
      <c r="K10" s="88" t="s">
        <v>2284</v>
      </c>
      <c r="L10" s="87" t="s">
        <v>2308</v>
      </c>
      <c r="M10" s="87" t="s">
        <v>2340</v>
      </c>
      <c r="N10" s="87" t="s">
        <v>2380</v>
      </c>
      <c r="O10" s="87" t="s">
        <v>2443</v>
      </c>
      <c r="P10" s="87" t="s">
        <v>2487</v>
      </c>
      <c r="Q10" s="87" t="s">
        <v>2530</v>
      </c>
      <c r="R10" s="87" t="s">
        <v>2580</v>
      </c>
      <c r="S10" s="87" t="s">
        <v>2611</v>
      </c>
    </row>
    <row r="11" spans="1:20">
      <c r="A11" s="87" t="s">
        <v>251</v>
      </c>
      <c r="B11" s="88" t="s">
        <v>2257</v>
      </c>
      <c r="C11" s="87">
        <v>31590</v>
      </c>
      <c r="D11" s="87">
        <v>29490</v>
      </c>
      <c r="E11" s="87">
        <v>28700</v>
      </c>
      <c r="F11" s="87">
        <v>10410</v>
      </c>
      <c r="G11" s="87">
        <v>21460</v>
      </c>
      <c r="H11" s="86"/>
      <c r="J11" s="88" t="s">
        <v>2265</v>
      </c>
      <c r="K11" s="88" t="s">
        <v>2285</v>
      </c>
      <c r="L11" s="87" t="s">
        <v>2309</v>
      </c>
      <c r="M11" s="87" t="s">
        <v>2341</v>
      </c>
      <c r="N11" s="87" t="s">
        <v>2381</v>
      </c>
      <c r="O11" s="87" t="s">
        <v>2444</v>
      </c>
      <c r="P11" s="87" t="s">
        <v>2488</v>
      </c>
      <c r="Q11" s="87" t="s">
        <v>2531</v>
      </c>
      <c r="R11" s="87" t="s">
        <v>2581</v>
      </c>
      <c r="S11" s="87" t="s">
        <v>2612</v>
      </c>
    </row>
    <row r="12" spans="1:20">
      <c r="A12" s="87" t="s">
        <v>251</v>
      </c>
      <c r="B12" s="88" t="s">
        <v>2258</v>
      </c>
      <c r="C12" s="87">
        <v>29640</v>
      </c>
      <c r="D12" s="87">
        <v>27550</v>
      </c>
      <c r="E12" s="87">
        <v>28010</v>
      </c>
      <c r="F12" s="87">
        <v>8730</v>
      </c>
      <c r="G12" s="87">
        <v>20050</v>
      </c>
      <c r="H12" s="86"/>
      <c r="J12" s="88" t="s">
        <v>2266</v>
      </c>
      <c r="K12" s="88" t="s">
        <v>2286</v>
      </c>
      <c r="L12" s="87" t="s">
        <v>2310</v>
      </c>
      <c r="M12" s="87" t="s">
        <v>2342</v>
      </c>
      <c r="N12" s="87" t="s">
        <v>2382</v>
      </c>
      <c r="O12" s="87" t="s">
        <v>2445</v>
      </c>
      <c r="P12" s="87" t="s">
        <v>2489</v>
      </c>
      <c r="Q12" s="87" t="s">
        <v>2532</v>
      </c>
      <c r="R12" s="87" t="s">
        <v>2582</v>
      </c>
      <c r="S12" s="87" t="s">
        <v>2613</v>
      </c>
    </row>
    <row r="13" spans="1:20">
      <c r="A13" s="87" t="s">
        <v>251</v>
      </c>
      <c r="B13" s="88" t="s">
        <v>2259</v>
      </c>
      <c r="C13" s="87">
        <v>29680</v>
      </c>
      <c r="D13" s="87">
        <v>27660</v>
      </c>
      <c r="E13" s="87">
        <v>28210</v>
      </c>
      <c r="F13" s="87">
        <v>9590</v>
      </c>
      <c r="G13" s="87">
        <v>20120</v>
      </c>
      <c r="H13" s="86"/>
      <c r="J13" s="88" t="s">
        <v>2267</v>
      </c>
      <c r="K13" s="88" t="s">
        <v>2287</v>
      </c>
      <c r="L13" s="87" t="s">
        <v>2311</v>
      </c>
      <c r="M13" s="87" t="s">
        <v>2343</v>
      </c>
      <c r="N13" s="87" t="s">
        <v>2383</v>
      </c>
      <c r="O13" s="87" t="s">
        <v>2446</v>
      </c>
      <c r="P13" s="87" t="s">
        <v>2490</v>
      </c>
      <c r="Q13" s="87" t="s">
        <v>2533</v>
      </c>
      <c r="R13" s="87" t="s">
        <v>2583</v>
      </c>
      <c r="S13" s="87" t="s">
        <v>2614</v>
      </c>
    </row>
    <row r="14" spans="1:20">
      <c r="A14" s="87" t="s">
        <v>251</v>
      </c>
      <c r="B14" s="88" t="s">
        <v>2260</v>
      </c>
      <c r="C14" s="87">
        <v>30520</v>
      </c>
      <c r="D14" s="87">
        <v>29510</v>
      </c>
      <c r="E14" s="87">
        <v>29400</v>
      </c>
      <c r="F14" s="87">
        <v>9630</v>
      </c>
      <c r="G14" s="87">
        <v>21480</v>
      </c>
      <c r="H14" s="86"/>
      <c r="J14" s="88" t="s">
        <v>2268</v>
      </c>
      <c r="K14" s="88" t="s">
        <v>2288</v>
      </c>
      <c r="L14" s="87" t="s">
        <v>2312</v>
      </c>
      <c r="M14" s="87" t="s">
        <v>2344</v>
      </c>
      <c r="N14" s="87" t="s">
        <v>2384</v>
      </c>
      <c r="O14" s="87" t="s">
        <v>2447</v>
      </c>
      <c r="P14" s="87" t="s">
        <v>2491</v>
      </c>
      <c r="Q14" s="87" t="s">
        <v>2534</v>
      </c>
      <c r="R14" s="87" t="s">
        <v>2584</v>
      </c>
      <c r="S14" s="87" t="s">
        <v>2615</v>
      </c>
    </row>
    <row r="15" spans="1:20">
      <c r="A15" s="87" t="s">
        <v>251</v>
      </c>
      <c r="B15" s="88" t="s">
        <v>2261</v>
      </c>
      <c r="C15" s="87">
        <v>29090</v>
      </c>
      <c r="D15" s="87">
        <v>27590</v>
      </c>
      <c r="E15" s="87">
        <v>28120</v>
      </c>
      <c r="F15" s="87">
        <v>9110</v>
      </c>
      <c r="G15" s="87">
        <v>20070</v>
      </c>
      <c r="H15" s="86"/>
      <c r="J15" s="88" t="s">
        <v>2269</v>
      </c>
      <c r="K15" s="88" t="s">
        <v>2289</v>
      </c>
      <c r="L15" s="87" t="s">
        <v>2313</v>
      </c>
      <c r="M15" s="87" t="s">
        <v>2345</v>
      </c>
      <c r="N15" s="87" t="s">
        <v>2385</v>
      </c>
      <c r="O15" s="87" t="s">
        <v>2448</v>
      </c>
      <c r="P15" s="87" t="s">
        <v>2492</v>
      </c>
      <c r="Q15" s="87" t="s">
        <v>2535</v>
      </c>
      <c r="R15" s="87" t="s">
        <v>2585</v>
      </c>
      <c r="S15" s="87" t="s">
        <v>2616</v>
      </c>
    </row>
    <row r="16" spans="1:20">
      <c r="A16" s="87" t="s">
        <v>251</v>
      </c>
      <c r="B16" s="88" t="s">
        <v>2262</v>
      </c>
      <c r="C16" s="87">
        <v>26790</v>
      </c>
      <c r="D16" s="87">
        <v>30370</v>
      </c>
      <c r="E16" s="87">
        <v>30240</v>
      </c>
      <c r="F16" s="87">
        <v>11590</v>
      </c>
      <c r="G16" s="87">
        <v>22090</v>
      </c>
      <c r="H16" s="86"/>
      <c r="J16" s="88" t="s">
        <v>2270</v>
      </c>
      <c r="K16" s="88" t="s">
        <v>2290</v>
      </c>
      <c r="L16" s="87" t="s">
        <v>2314</v>
      </c>
      <c r="M16" s="87" t="s">
        <v>2346</v>
      </c>
      <c r="N16" s="87" t="s">
        <v>2386</v>
      </c>
      <c r="O16" s="87" t="s">
        <v>2449</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6"/>
      <c r="J17" s="88" t="s">
        <v>2271</v>
      </c>
      <c r="K17" s="88" t="s">
        <v>2291</v>
      </c>
      <c r="L17" s="87" t="s">
        <v>2315</v>
      </c>
      <c r="M17" s="87" t="s">
        <v>2347</v>
      </c>
      <c r="N17" s="87" t="s">
        <v>2387</v>
      </c>
      <c r="O17" s="87" t="s">
        <v>2450</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6"/>
      <c r="J18" s="88" t="s">
        <v>2272</v>
      </c>
      <c r="K18" s="88" t="s">
        <v>2292</v>
      </c>
      <c r="L18" s="87" t="s">
        <v>2316</v>
      </c>
      <c r="M18" s="87" t="s">
        <v>2348</v>
      </c>
      <c r="N18" s="87" t="s">
        <v>2388</v>
      </c>
      <c r="O18" s="87" t="s">
        <v>2451</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6"/>
      <c r="J19" s="88" t="s">
        <v>2273</v>
      </c>
      <c r="K19" s="88" t="s">
        <v>2293</v>
      </c>
      <c r="L19" s="87" t="s">
        <v>2317</v>
      </c>
      <c r="M19" s="87" t="s">
        <v>2349</v>
      </c>
      <c r="N19" s="87" t="s">
        <v>2389</v>
      </c>
      <c r="O19" s="87" t="s">
        <v>2452</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2318</v>
      </c>
      <c r="M20" s="87" t="s">
        <v>2350</v>
      </c>
      <c r="N20" s="87" t="s">
        <v>2390</v>
      </c>
      <c r="O20" s="87" t="s">
        <v>2453</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4" t="s">
        <v>2275</v>
      </c>
      <c r="K21" s="88" t="s">
        <v>2295</v>
      </c>
      <c r="L21" s="87" t="s">
        <v>2319</v>
      </c>
      <c r="M21" s="87" t="s">
        <v>2351</v>
      </c>
      <c r="N21" s="87" t="s">
        <v>2391</v>
      </c>
      <c r="O21" s="87" t="s">
        <v>2454</v>
      </c>
      <c r="P21" s="87" t="s">
        <v>2498</v>
      </c>
      <c r="Q21" s="87" t="s">
        <v>2541</v>
      </c>
      <c r="R21" s="87" t="s">
        <v>2591</v>
      </c>
      <c r="S21" s="94" t="s">
        <v>2622</v>
      </c>
    </row>
    <row r="22" ht="14.25" customHeight="1" spans="1:19">
      <c r="A22" s="87" t="s">
        <v>251</v>
      </c>
      <c r="B22" s="88" t="s">
        <v>2268</v>
      </c>
      <c r="C22" s="87">
        <v>29830</v>
      </c>
      <c r="D22" s="87">
        <v>27600</v>
      </c>
      <c r="E22" s="87">
        <v>28150</v>
      </c>
      <c r="F22" s="87"/>
      <c r="G22" s="87">
        <v>20080</v>
      </c>
      <c r="K22" s="88" t="s">
        <v>2296</v>
      </c>
      <c r="L22" s="87" t="s">
        <v>2320</v>
      </c>
      <c r="M22" s="87" t="s">
        <v>2352</v>
      </c>
      <c r="N22" s="87" t="s">
        <v>2392</v>
      </c>
      <c r="O22" s="87" t="s">
        <v>2455</v>
      </c>
      <c r="P22" s="87" t="s">
        <v>2499</v>
      </c>
      <c r="Q22" s="87" t="s">
        <v>2542</v>
      </c>
      <c r="R22" s="87" t="s">
        <v>2592</v>
      </c>
    </row>
    <row r="23" ht="14.25" customHeight="1" spans="1:19">
      <c r="A23" s="87" t="s">
        <v>251</v>
      </c>
      <c r="B23" s="88" t="s">
        <v>2269</v>
      </c>
      <c r="C23" s="87">
        <v>27800</v>
      </c>
      <c r="D23" s="87">
        <v>26900</v>
      </c>
      <c r="E23" s="87">
        <v>27170</v>
      </c>
      <c r="F23" s="87"/>
      <c r="G23" s="87">
        <v>19570</v>
      </c>
      <c r="K23" s="88" t="s">
        <v>2297</v>
      </c>
      <c r="L23" s="87" t="s">
        <v>2321</v>
      </c>
      <c r="M23" s="87" t="s">
        <v>2353</v>
      </c>
      <c r="N23" s="87" t="s">
        <v>2393</v>
      </c>
      <c r="O23" s="87" t="s">
        <v>2456</v>
      </c>
      <c r="P23" s="87" t="s">
        <v>2500</v>
      </c>
      <c r="Q23" s="87" t="s">
        <v>2543</v>
      </c>
      <c r="R23" s="87" t="s">
        <v>2593</v>
      </c>
    </row>
    <row r="24" ht="14.25" customHeight="1" spans="1:19">
      <c r="A24" s="87" t="s">
        <v>251</v>
      </c>
      <c r="B24" s="88" t="s">
        <v>2270</v>
      </c>
      <c r="C24" s="87">
        <v>27930</v>
      </c>
      <c r="D24" s="87">
        <v>32260</v>
      </c>
      <c r="E24" s="87">
        <v>32120</v>
      </c>
      <c r="F24" s="87"/>
      <c r="G24" s="87">
        <v>23470</v>
      </c>
      <c r="K24" s="88" t="s">
        <v>2298</v>
      </c>
      <c r="L24" s="87" t="s">
        <v>2322</v>
      </c>
      <c r="M24" s="87" t="s">
        <v>2354</v>
      </c>
      <c r="N24" s="87" t="s">
        <v>2394</v>
      </c>
      <c r="O24" s="87" t="s">
        <v>2457</v>
      </c>
      <c r="P24" s="87" t="s">
        <v>2501</v>
      </c>
      <c r="Q24" s="96" t="s">
        <v>2544</v>
      </c>
      <c r="R24" s="87" t="s">
        <v>2594</v>
      </c>
    </row>
    <row r="25" ht="14.25" customHeight="1" spans="1:19">
      <c r="A25" s="87" t="s">
        <v>251</v>
      </c>
      <c r="B25" s="88" t="s">
        <v>2271</v>
      </c>
      <c r="C25" s="87">
        <v>32230</v>
      </c>
      <c r="D25" s="87">
        <v>29640</v>
      </c>
      <c r="E25" s="87">
        <v>29510</v>
      </c>
      <c r="F25" s="87"/>
      <c r="G25" s="87">
        <v>21560</v>
      </c>
      <c r="K25" s="88" t="s">
        <v>2299</v>
      </c>
      <c r="L25" s="87" t="s">
        <v>2323</v>
      </c>
      <c r="M25" s="87" t="s">
        <v>2355</v>
      </c>
      <c r="N25" s="87" t="s">
        <v>2395</v>
      </c>
      <c r="O25" s="87" t="s">
        <v>2458</v>
      </c>
      <c r="P25" s="87" t="s">
        <v>2502</v>
      </c>
      <c r="Q25" s="96" t="s">
        <v>2545</v>
      </c>
      <c r="R25" s="87" t="s">
        <v>2595</v>
      </c>
    </row>
    <row r="26" ht="14.25" customHeight="1" spans="1:19">
      <c r="A26" s="87" t="s">
        <v>251</v>
      </c>
      <c r="B26" s="88" t="s">
        <v>2272</v>
      </c>
      <c r="C26" s="87">
        <v>31690</v>
      </c>
      <c r="D26" s="87">
        <v>27650</v>
      </c>
      <c r="E26" s="87">
        <v>28200</v>
      </c>
      <c r="F26" s="87"/>
      <c r="G26" s="87">
        <v>20110</v>
      </c>
      <c r="K26" s="93" t="s">
        <v>2300</v>
      </c>
      <c r="L26" s="87" t="s">
        <v>2324</v>
      </c>
      <c r="M26" s="87" t="s">
        <v>2356</v>
      </c>
      <c r="N26" s="87" t="s">
        <v>2396</v>
      </c>
      <c r="O26" s="87" t="s">
        <v>2459</v>
      </c>
      <c r="P26" s="87" t="s">
        <v>2503</v>
      </c>
      <c r="Q26" s="96" t="s">
        <v>2546</v>
      </c>
      <c r="R26" s="87" t="s">
        <v>2596</v>
      </c>
    </row>
    <row r="27" ht="14.25" customHeight="1" spans="1:19">
      <c r="A27" s="87" t="s">
        <v>251</v>
      </c>
      <c r="B27" s="88" t="s">
        <v>2273</v>
      </c>
      <c r="C27" s="87">
        <v>29610</v>
      </c>
      <c r="D27" s="87">
        <v>27770</v>
      </c>
      <c r="E27" s="87">
        <v>28300</v>
      </c>
      <c r="F27" s="87"/>
      <c r="G27" s="87">
        <v>20210</v>
      </c>
      <c r="L27" s="87" t="s">
        <v>2325</v>
      </c>
      <c r="M27" s="87" t="s">
        <v>2357</v>
      </c>
      <c r="N27" s="87" t="s">
        <v>2397</v>
      </c>
      <c r="O27" s="87" t="s">
        <v>2460</v>
      </c>
      <c r="P27" s="87" t="s">
        <v>2504</v>
      </c>
      <c r="Q27" s="87" t="s">
        <v>2547</v>
      </c>
      <c r="R27" s="87" t="s">
        <v>2597</v>
      </c>
    </row>
    <row r="28" ht="14.25" customHeight="1" spans="1:19">
      <c r="A28" s="87" t="s">
        <v>251</v>
      </c>
      <c r="B28" s="88" t="s">
        <v>2274</v>
      </c>
      <c r="C28" s="87"/>
      <c r="D28" s="87">
        <v>31520</v>
      </c>
      <c r="E28" s="87">
        <v>31410</v>
      </c>
      <c r="F28" s="87"/>
      <c r="G28" s="87">
        <v>22940</v>
      </c>
      <c r="L28" s="87" t="s">
        <v>2326</v>
      </c>
      <c r="M28" s="87" t="s">
        <v>2358</v>
      </c>
      <c r="N28" s="87" t="s">
        <v>2398</v>
      </c>
      <c r="O28" s="87" t="s">
        <v>2461</v>
      </c>
      <c r="P28" s="87" t="s">
        <v>2505</v>
      </c>
      <c r="Q28" s="87" t="s">
        <v>2548</v>
      </c>
      <c r="R28" s="87" t="s">
        <v>2598</v>
      </c>
    </row>
    <row r="29" ht="14.25" customHeight="1" spans="1:19">
      <c r="A29" s="95" t="s">
        <v>251</v>
      </c>
      <c r="B29" s="97" t="s">
        <v>2275</v>
      </c>
      <c r="C29" s="98"/>
      <c r="D29" s="98">
        <v>29460</v>
      </c>
      <c r="E29" s="98">
        <v>28640</v>
      </c>
      <c r="F29" s="98"/>
      <c r="G29" s="98">
        <v>21430</v>
      </c>
      <c r="L29" s="87" t="s">
        <v>2327</v>
      </c>
      <c r="M29" s="87" t="s">
        <v>2359</v>
      </c>
      <c r="N29" s="87" t="s">
        <v>2399</v>
      </c>
      <c r="O29" s="87" t="s">
        <v>2462</v>
      </c>
      <c r="P29" s="87" t="s">
        <v>2506</v>
      </c>
      <c r="Q29" s="87" t="s">
        <v>2549</v>
      </c>
      <c r="R29" s="87" t="s">
        <v>2599</v>
      </c>
    </row>
    <row r="30" ht="14.25" customHeight="1" spans="1:19">
      <c r="A30" s="92" t="s">
        <v>264</v>
      </c>
      <c r="B30" s="82" t="s">
        <v>2276</v>
      </c>
      <c r="C30" s="82">
        <v>26890</v>
      </c>
      <c r="D30" s="82">
        <v>26770</v>
      </c>
      <c r="E30" s="82">
        <v>25700</v>
      </c>
      <c r="F30" s="82">
        <v>8180</v>
      </c>
      <c r="G30" s="99">
        <v>18740</v>
      </c>
      <c r="L30" s="87" t="s">
        <v>2328</v>
      </c>
      <c r="M30" s="87" t="s">
        <v>2360</v>
      </c>
      <c r="N30" s="87" t="s">
        <v>2400</v>
      </c>
      <c r="O30" s="87" t="s">
        <v>2463</v>
      </c>
      <c r="P30" s="87" t="s">
        <v>2507</v>
      </c>
      <c r="Q30" s="87" t="s">
        <v>2550</v>
      </c>
      <c r="R30" s="87" t="s">
        <v>2600</v>
      </c>
    </row>
    <row r="31" ht="14.25" customHeight="1" spans="1:19">
      <c r="A31" s="87" t="s">
        <v>264</v>
      </c>
      <c r="B31" s="88" t="s">
        <v>2277</v>
      </c>
      <c r="C31" s="87">
        <v>24550</v>
      </c>
      <c r="D31" s="87">
        <v>23990</v>
      </c>
      <c r="E31" s="87">
        <v>22930</v>
      </c>
      <c r="F31" s="87">
        <v>7470</v>
      </c>
      <c r="G31" s="100">
        <v>16790</v>
      </c>
      <c r="L31" s="87" t="s">
        <v>2329</v>
      </c>
      <c r="M31" s="87" t="s">
        <v>2361</v>
      </c>
      <c r="N31" s="87" t="s">
        <v>2401</v>
      </c>
      <c r="O31" s="87" t="s">
        <v>2464</v>
      </c>
      <c r="P31" s="87" t="s">
        <v>2508</v>
      </c>
      <c r="Q31" s="87" t="s">
        <v>2551</v>
      </c>
      <c r="R31" s="87" t="s">
        <v>2601</v>
      </c>
    </row>
    <row r="32" ht="14.25" customHeight="1" spans="1:19">
      <c r="A32" s="87" t="s">
        <v>264</v>
      </c>
      <c r="B32" s="88" t="s">
        <v>2278</v>
      </c>
      <c r="C32" s="87">
        <v>27210</v>
      </c>
      <c r="D32" s="87">
        <v>23240</v>
      </c>
      <c r="E32" s="87">
        <v>23260</v>
      </c>
      <c r="F32" s="87">
        <v>7130</v>
      </c>
      <c r="G32" s="100">
        <v>16270</v>
      </c>
      <c r="L32" s="87" t="s">
        <v>2330</v>
      </c>
      <c r="M32" s="87" t="s">
        <v>2362</v>
      </c>
      <c r="N32" s="87" t="s">
        <v>2402</v>
      </c>
      <c r="O32" s="87" t="s">
        <v>2465</v>
      </c>
      <c r="P32" s="87" t="s">
        <v>2509</v>
      </c>
      <c r="Q32" s="87" t="s">
        <v>2552</v>
      </c>
      <c r="R32" s="94" t="s">
        <v>2602</v>
      </c>
    </row>
    <row r="33" ht="14.25" customHeight="1" spans="1:17">
      <c r="A33" s="87" t="s">
        <v>264</v>
      </c>
      <c r="B33" s="88" t="s">
        <v>2279</v>
      </c>
      <c r="C33" s="87">
        <v>27300</v>
      </c>
      <c r="D33" s="87">
        <v>22980</v>
      </c>
      <c r="E33" s="87">
        <v>24260</v>
      </c>
      <c r="F33" s="87">
        <v>5860</v>
      </c>
      <c r="G33" s="100">
        <v>16090</v>
      </c>
      <c r="L33" s="94" t="s">
        <v>2331</v>
      </c>
      <c r="M33" s="87" t="s">
        <v>2363</v>
      </c>
      <c r="N33" s="87" t="s">
        <v>2403</v>
      </c>
      <c r="O33" s="87" t="s">
        <v>2466</v>
      </c>
      <c r="P33" s="87" t="s">
        <v>2510</v>
      </c>
      <c r="Q33" s="87" t="s">
        <v>2553</v>
      </c>
    </row>
    <row r="34" ht="14.25" customHeight="1" spans="1:17">
      <c r="A34" s="87" t="s">
        <v>264</v>
      </c>
      <c r="B34" s="88" t="s">
        <v>2280</v>
      </c>
      <c r="C34" s="87">
        <v>23090</v>
      </c>
      <c r="D34" s="87">
        <v>23390</v>
      </c>
      <c r="E34" s="87">
        <v>23510</v>
      </c>
      <c r="F34" s="87">
        <v>6700</v>
      </c>
      <c r="G34" s="100">
        <v>16370</v>
      </c>
      <c r="M34" s="87" t="s">
        <v>2364</v>
      </c>
      <c r="N34" s="87" t="s">
        <v>2404</v>
      </c>
      <c r="O34" s="87" t="s">
        <v>2467</v>
      </c>
      <c r="P34" s="87" t="s">
        <v>2511</v>
      </c>
      <c r="Q34" s="87" t="s">
        <v>2554</v>
      </c>
    </row>
    <row r="35" ht="14.25" customHeight="1" spans="1:17">
      <c r="A35" s="87" t="s">
        <v>264</v>
      </c>
      <c r="B35" s="88" t="s">
        <v>2281</v>
      </c>
      <c r="C35" s="87">
        <v>27270</v>
      </c>
      <c r="D35" s="87">
        <v>24270</v>
      </c>
      <c r="E35" s="87">
        <v>24950</v>
      </c>
      <c r="F35" s="87">
        <v>6600</v>
      </c>
      <c r="G35" s="100">
        <v>16990</v>
      </c>
      <c r="M35" s="87" t="s">
        <v>2365</v>
      </c>
      <c r="N35" s="87" t="s">
        <v>2405</v>
      </c>
      <c r="O35" s="87" t="s">
        <v>2468</v>
      </c>
      <c r="P35" s="87" t="s">
        <v>2512</v>
      </c>
      <c r="Q35" s="87" t="s">
        <v>2555</v>
      </c>
    </row>
    <row r="36" ht="14.25" customHeight="1" spans="1:17">
      <c r="A36" s="87" t="s">
        <v>264</v>
      </c>
      <c r="B36" s="88" t="s">
        <v>2282</v>
      </c>
      <c r="C36" s="87">
        <v>23490</v>
      </c>
      <c r="D36" s="87">
        <v>23020</v>
      </c>
      <c r="E36" s="87">
        <v>25230</v>
      </c>
      <c r="F36" s="87">
        <v>6780</v>
      </c>
      <c r="G36" s="100">
        <v>16120</v>
      </c>
      <c r="M36" s="87" t="s">
        <v>2366</v>
      </c>
      <c r="N36" s="87" t="s">
        <v>2406</v>
      </c>
      <c r="O36" s="87" t="s">
        <v>2469</v>
      </c>
      <c r="P36" s="87" t="s">
        <v>2513</v>
      </c>
      <c r="Q36" s="87" t="s">
        <v>2556</v>
      </c>
    </row>
    <row r="37" ht="14.25" customHeight="1" spans="1:17">
      <c r="A37" s="87" t="s">
        <v>264</v>
      </c>
      <c r="B37" s="88" t="s">
        <v>2283</v>
      </c>
      <c r="C37" s="87">
        <v>24380</v>
      </c>
      <c r="D37" s="87">
        <v>22240</v>
      </c>
      <c r="E37" s="87">
        <v>25980</v>
      </c>
      <c r="F37" s="87">
        <v>8160</v>
      </c>
      <c r="G37" s="100">
        <v>15570</v>
      </c>
      <c r="M37" s="87" t="s">
        <v>2367</v>
      </c>
      <c r="N37" s="87" t="s">
        <v>2407</v>
      </c>
      <c r="O37" s="87" t="s">
        <v>2470</v>
      </c>
      <c r="P37" s="87" t="s">
        <v>2514</v>
      </c>
      <c r="Q37" s="87" t="s">
        <v>2557</v>
      </c>
    </row>
    <row r="38" ht="14.25" customHeight="1" spans="1:17">
      <c r="A38" s="87" t="s">
        <v>264</v>
      </c>
      <c r="B38" s="88" t="s">
        <v>2284</v>
      </c>
      <c r="C38" s="87">
        <v>23120</v>
      </c>
      <c r="D38" s="87">
        <v>24630</v>
      </c>
      <c r="E38" s="87">
        <v>25030</v>
      </c>
      <c r="F38" s="87">
        <v>7710</v>
      </c>
      <c r="G38" s="100">
        <v>17240</v>
      </c>
      <c r="M38" s="87" t="s">
        <v>2368</v>
      </c>
      <c r="N38" s="87" t="s">
        <v>2408</v>
      </c>
      <c r="O38" s="87" t="s">
        <v>2471</v>
      </c>
      <c r="P38" s="87" t="s">
        <v>2515</v>
      </c>
      <c r="Q38" s="87" t="s">
        <v>2558</v>
      </c>
    </row>
    <row r="39" ht="14.25" customHeight="1" spans="1:17">
      <c r="A39" s="87" t="s">
        <v>264</v>
      </c>
      <c r="B39" s="88" t="s">
        <v>2285</v>
      </c>
      <c r="C39" s="87">
        <v>22330</v>
      </c>
      <c r="D39" s="87">
        <v>21140</v>
      </c>
      <c r="E39" s="87">
        <v>23970</v>
      </c>
      <c r="F39" s="87">
        <v>7940</v>
      </c>
      <c r="G39" s="100">
        <v>14790</v>
      </c>
      <c r="M39" s="87" t="s">
        <v>2369</v>
      </c>
      <c r="N39" s="87" t="s">
        <v>2409</v>
      </c>
      <c r="O39" s="87" t="s">
        <v>2759</v>
      </c>
      <c r="P39" s="87" t="s">
        <v>2516</v>
      </c>
      <c r="Q39" s="87" t="s">
        <v>2559</v>
      </c>
    </row>
    <row r="40" ht="14.25" customHeight="1" spans="1:17">
      <c r="A40" s="87" t="s">
        <v>264</v>
      </c>
      <c r="B40" s="88" t="s">
        <v>2286</v>
      </c>
      <c r="C40" s="87">
        <v>24740</v>
      </c>
      <c r="D40" s="87">
        <v>24690</v>
      </c>
      <c r="E40" s="87">
        <v>22610</v>
      </c>
      <c r="F40" s="87"/>
      <c r="G40" s="100">
        <v>17280</v>
      </c>
      <c r="M40" s="87" t="s">
        <v>2370</v>
      </c>
      <c r="N40" s="87" t="s">
        <v>2410</v>
      </c>
      <c r="O40" s="87" t="s">
        <v>2760</v>
      </c>
      <c r="P40" s="87" t="s">
        <v>2517</v>
      </c>
      <c r="Q40" s="87" t="s">
        <v>2560</v>
      </c>
    </row>
    <row r="41" ht="14.25" customHeight="1" spans="1:17">
      <c r="A41" s="87" t="s">
        <v>264</v>
      </c>
      <c r="B41" s="88" t="s">
        <v>2287</v>
      </c>
      <c r="C41" s="87">
        <v>21220</v>
      </c>
      <c r="D41" s="87">
        <v>21120</v>
      </c>
      <c r="E41" s="87">
        <v>22590</v>
      </c>
      <c r="F41" s="87"/>
      <c r="G41" s="100">
        <v>14780</v>
      </c>
      <c r="M41" s="94" t="s">
        <v>2371</v>
      </c>
      <c r="N41" s="87" t="s">
        <v>2411</v>
      </c>
      <c r="O41" s="87" t="s">
        <v>2761</v>
      </c>
      <c r="P41" s="87" t="s">
        <v>2518</v>
      </c>
      <c r="Q41" s="87" t="s">
        <v>2561</v>
      </c>
    </row>
    <row r="42" ht="14.25" customHeight="1" spans="1:17">
      <c r="A42" s="87" t="s">
        <v>264</v>
      </c>
      <c r="B42" s="88" t="s">
        <v>2288</v>
      </c>
      <c r="C42" s="87">
        <v>24800</v>
      </c>
      <c r="D42" s="87">
        <v>22280</v>
      </c>
      <c r="E42" s="87">
        <v>24350</v>
      </c>
      <c r="F42" s="87"/>
      <c r="G42" s="100">
        <v>15590</v>
      </c>
      <c r="N42" s="87" t="s">
        <v>2412</v>
      </c>
      <c r="O42" s="87" t="s">
        <v>2475</v>
      </c>
      <c r="P42" s="87" t="s">
        <v>2519</v>
      </c>
      <c r="Q42" s="87" t="s">
        <v>2562</v>
      </c>
    </row>
    <row r="43" ht="14.25" customHeight="1" spans="1:17">
      <c r="A43" s="87" t="s">
        <v>264</v>
      </c>
      <c r="B43" s="88" t="s">
        <v>2289</v>
      </c>
      <c r="C43" s="87">
        <v>21210</v>
      </c>
      <c r="D43" s="87">
        <v>21160</v>
      </c>
      <c r="E43" s="87">
        <v>22650</v>
      </c>
      <c r="F43" s="87"/>
      <c r="G43" s="100">
        <v>14800</v>
      </c>
      <c r="N43" s="87" t="s">
        <v>2413</v>
      </c>
      <c r="O43" s="87" t="s">
        <v>2476</v>
      </c>
      <c r="P43" s="87" t="s">
        <v>2520</v>
      </c>
      <c r="Q43" s="87" t="s">
        <v>2563</v>
      </c>
    </row>
    <row r="44" ht="14.25" customHeight="1" spans="1:17">
      <c r="A44" s="87" t="s">
        <v>264</v>
      </c>
      <c r="B44" s="88" t="s">
        <v>2290</v>
      </c>
      <c r="C44" s="87">
        <v>22370</v>
      </c>
      <c r="D44" s="87">
        <v>23140</v>
      </c>
      <c r="E44" s="87">
        <v>25090</v>
      </c>
      <c r="F44" s="87"/>
      <c r="G44" s="100">
        <v>16190</v>
      </c>
      <c r="N44" s="87" t="s">
        <v>2414</v>
      </c>
      <c r="O44" s="87" t="s">
        <v>2762</v>
      </c>
      <c r="P44" s="94" t="s">
        <v>2521</v>
      </c>
      <c r="Q44" s="87" t="s">
        <v>2564</v>
      </c>
    </row>
    <row r="45" ht="14.25" customHeight="1" spans="1:17">
      <c r="A45" s="87" t="s">
        <v>264</v>
      </c>
      <c r="B45" s="88" t="s">
        <v>2291</v>
      </c>
      <c r="C45" s="87">
        <v>21240</v>
      </c>
      <c r="D45" s="87">
        <v>27050</v>
      </c>
      <c r="E45" s="87">
        <v>28000</v>
      </c>
      <c r="F45" s="87"/>
      <c r="G45" s="100">
        <v>18940</v>
      </c>
      <c r="N45" s="87" t="s">
        <v>2415</v>
      </c>
      <c r="O45" s="94" t="s">
        <v>2478</v>
      </c>
      <c r="Q45" s="87" t="s">
        <v>2565</v>
      </c>
    </row>
    <row r="46" ht="14.25" customHeight="1" spans="1:17">
      <c r="A46" s="87" t="s">
        <v>264</v>
      </c>
      <c r="B46" s="88" t="s">
        <v>2292</v>
      </c>
      <c r="C46" s="87">
        <v>23240</v>
      </c>
      <c r="D46" s="87">
        <v>23000</v>
      </c>
      <c r="E46" s="87">
        <v>24980</v>
      </c>
      <c r="F46" s="87"/>
      <c r="G46" s="100">
        <v>16100</v>
      </c>
      <c r="N46" s="87" t="s">
        <v>2416</v>
      </c>
      <c r="Q46" s="87" t="s">
        <v>2566</v>
      </c>
    </row>
    <row r="47" ht="14.25" customHeight="1" spans="1:17">
      <c r="A47" s="87" t="s">
        <v>264</v>
      </c>
      <c r="B47" s="88" t="s">
        <v>2293</v>
      </c>
      <c r="C47" s="87">
        <v>27150</v>
      </c>
      <c r="D47" s="87">
        <v>23310</v>
      </c>
      <c r="E47" s="87">
        <v>25150</v>
      </c>
      <c r="F47" s="87"/>
      <c r="G47" s="100">
        <v>16310</v>
      </c>
      <c r="N47" s="87" t="s">
        <v>2417</v>
      </c>
      <c r="Q47" s="87" t="s">
        <v>2567</v>
      </c>
    </row>
    <row r="48" ht="14.25" customHeight="1" spans="1:17">
      <c r="A48" s="87" t="s">
        <v>264</v>
      </c>
      <c r="B48" s="88" t="s">
        <v>2294</v>
      </c>
      <c r="C48" s="87">
        <v>23100</v>
      </c>
      <c r="D48" s="87">
        <v>21110</v>
      </c>
      <c r="E48" s="87">
        <v>23080</v>
      </c>
      <c r="F48" s="87"/>
      <c r="G48" s="100">
        <v>14780</v>
      </c>
      <c r="N48" s="87" t="s">
        <v>2418</v>
      </c>
      <c r="Q48" s="87" t="s">
        <v>2568</v>
      </c>
    </row>
    <row r="49" ht="14.25" customHeight="1" spans="1:17">
      <c r="A49" s="87" t="s">
        <v>264</v>
      </c>
      <c r="B49" s="88" t="s">
        <v>2295</v>
      </c>
      <c r="C49" s="87">
        <v>23400</v>
      </c>
      <c r="D49" s="87">
        <v>22920</v>
      </c>
      <c r="E49" s="87">
        <v>24900</v>
      </c>
      <c r="F49" s="87"/>
      <c r="G49" s="100">
        <v>16040</v>
      </c>
      <c r="N49" s="87" t="s">
        <v>2419</v>
      </c>
      <c r="Q49" s="87" t="s">
        <v>2569</v>
      </c>
    </row>
    <row r="50" ht="14.25" customHeight="1" spans="1:17">
      <c r="A50" s="87" t="s">
        <v>264</v>
      </c>
      <c r="B50" s="88" t="s">
        <v>2296</v>
      </c>
      <c r="C50" s="87">
        <v>21200</v>
      </c>
      <c r="D50" s="87">
        <v>26540</v>
      </c>
      <c r="E50" s="87">
        <v>23200</v>
      </c>
      <c r="F50" s="87"/>
      <c r="G50" s="100">
        <v>18580</v>
      </c>
      <c r="N50" s="87" t="s">
        <v>2420</v>
      </c>
      <c r="Q50" s="88" t="s">
        <v>2570</v>
      </c>
    </row>
    <row r="51" ht="14.25" customHeight="1" spans="1:17">
      <c r="A51" s="87" t="s">
        <v>264</v>
      </c>
      <c r="B51" s="88" t="s">
        <v>2297</v>
      </c>
      <c r="C51" s="87">
        <v>23000</v>
      </c>
      <c r="D51" s="87">
        <v>23460</v>
      </c>
      <c r="E51" s="87">
        <v>25290</v>
      </c>
      <c r="F51" s="87"/>
      <c r="G51" s="100">
        <v>16420</v>
      </c>
      <c r="N51" s="87" t="s">
        <v>2421</v>
      </c>
      <c r="Q51" s="94" t="s">
        <v>2571</v>
      </c>
    </row>
    <row r="52" ht="14.25" customHeight="1" spans="1:17">
      <c r="A52" s="87" t="s">
        <v>264</v>
      </c>
      <c r="B52" s="88" t="s">
        <v>2298</v>
      </c>
      <c r="C52" s="87">
        <v>26660</v>
      </c>
      <c r="D52" s="87">
        <v>22350</v>
      </c>
      <c r="E52" s="87">
        <v>22920</v>
      </c>
      <c r="F52" s="87"/>
      <c r="G52" s="100">
        <v>15640</v>
      </c>
      <c r="N52" s="87" t="s">
        <v>2422</v>
      </c>
    </row>
    <row r="53" ht="14.25" customHeight="1" spans="1:17">
      <c r="A53" s="87" t="s">
        <v>264</v>
      </c>
      <c r="B53" s="88" t="s">
        <v>2299</v>
      </c>
      <c r="C53" s="87">
        <v>23580</v>
      </c>
      <c r="D53" s="87"/>
      <c r="E53" s="87">
        <v>24280</v>
      </c>
      <c r="F53" s="87"/>
      <c r="G53" s="100"/>
      <c r="N53" s="87" t="s">
        <v>2423</v>
      </c>
    </row>
    <row r="54" ht="14.25" customHeight="1" spans="1:17">
      <c r="A54" s="101" t="s">
        <v>264</v>
      </c>
      <c r="B54" s="93" t="s">
        <v>2300</v>
      </c>
      <c r="C54" s="94">
        <v>22460</v>
      </c>
      <c r="D54" s="94"/>
      <c r="E54" s="94"/>
      <c r="F54" s="94"/>
      <c r="G54" s="102"/>
      <c r="N54" s="87" t="s">
        <v>2424</v>
      </c>
    </row>
    <row r="55" ht="14.25" customHeight="1" spans="1:17">
      <c r="A55" s="92" t="s">
        <v>275</v>
      </c>
      <c r="B55" s="82" t="s">
        <v>2301</v>
      </c>
      <c r="C55" s="87">
        <v>21970</v>
      </c>
      <c r="D55" s="87">
        <v>20370</v>
      </c>
      <c r="E55" s="87">
        <v>20180</v>
      </c>
      <c r="F55" s="87">
        <v>5730</v>
      </c>
      <c r="G55" s="87">
        <v>13820</v>
      </c>
      <c r="N55" s="87" t="s">
        <v>2425</v>
      </c>
    </row>
    <row r="56" ht="14.25" customHeight="1" spans="1:17">
      <c r="A56" s="87" t="s">
        <v>275</v>
      </c>
      <c r="B56" s="87" t="s">
        <v>2302</v>
      </c>
      <c r="C56" s="87">
        <v>20470</v>
      </c>
      <c r="D56" s="87">
        <v>20700</v>
      </c>
      <c r="E56" s="87">
        <v>20380</v>
      </c>
      <c r="F56" s="87">
        <v>4760</v>
      </c>
      <c r="G56" s="87">
        <v>14050</v>
      </c>
      <c r="N56" s="87" t="s">
        <v>2426</v>
      </c>
    </row>
    <row r="57" ht="14.25" customHeight="1" spans="1:17">
      <c r="A57" s="87" t="s">
        <v>275</v>
      </c>
      <c r="B57" s="87" t="s">
        <v>2303</v>
      </c>
      <c r="C57" s="87">
        <v>20790</v>
      </c>
      <c r="D57" s="87">
        <v>21370</v>
      </c>
      <c r="E57" s="87">
        <v>20890</v>
      </c>
      <c r="F57" s="87">
        <v>4910</v>
      </c>
      <c r="G57" s="87">
        <v>14510</v>
      </c>
      <c r="N57" s="87" t="s">
        <v>2427</v>
      </c>
    </row>
    <row r="58" ht="14.25" customHeight="1" spans="1:17">
      <c r="A58" s="87" t="s">
        <v>275</v>
      </c>
      <c r="B58" s="87" t="s">
        <v>2304</v>
      </c>
      <c r="C58" s="87">
        <v>21460</v>
      </c>
      <c r="D58" s="87">
        <v>20920</v>
      </c>
      <c r="E58" s="87">
        <v>23410</v>
      </c>
      <c r="F58" s="87">
        <v>5100</v>
      </c>
      <c r="G58" s="87">
        <v>14200</v>
      </c>
      <c r="N58" s="87" t="s">
        <v>2428</v>
      </c>
    </row>
    <row r="59" ht="14.25" customHeight="1" spans="1:17">
      <c r="A59" s="87" t="s">
        <v>275</v>
      </c>
      <c r="B59" s="87" t="s">
        <v>2305</v>
      </c>
      <c r="C59" s="87">
        <v>21000</v>
      </c>
      <c r="D59" s="87">
        <v>21550</v>
      </c>
      <c r="E59" s="87">
        <v>21150</v>
      </c>
      <c r="F59" s="87">
        <v>5250</v>
      </c>
      <c r="G59" s="87">
        <v>14630</v>
      </c>
      <c r="N59" s="87" t="s">
        <v>2429</v>
      </c>
    </row>
    <row r="60" ht="14.25" customHeight="1" spans="1:17">
      <c r="A60" s="87" t="s">
        <v>275</v>
      </c>
      <c r="B60" s="87" t="s">
        <v>2306</v>
      </c>
      <c r="C60" s="87">
        <v>21640</v>
      </c>
      <c r="D60" s="87">
        <v>21260</v>
      </c>
      <c r="E60" s="87">
        <v>24040</v>
      </c>
      <c r="F60" s="87">
        <v>4470</v>
      </c>
      <c r="G60" s="87">
        <v>14430</v>
      </c>
      <c r="N60" s="87" t="s">
        <v>2430</v>
      </c>
    </row>
    <row r="61" ht="14.25" customHeight="1" spans="1:17">
      <c r="A61" s="87" t="s">
        <v>275</v>
      </c>
      <c r="B61" s="87" t="s">
        <v>2307</v>
      </c>
      <c r="C61" s="87">
        <v>21330</v>
      </c>
      <c r="D61" s="87">
        <v>18640</v>
      </c>
      <c r="E61" s="87">
        <v>21190</v>
      </c>
      <c r="F61" s="87">
        <v>4180</v>
      </c>
      <c r="G61" s="87">
        <v>12650</v>
      </c>
      <c r="N61" s="87" t="s">
        <v>2431</v>
      </c>
    </row>
    <row r="62" ht="14.25" customHeight="1" spans="1:17">
      <c r="A62" s="87" t="s">
        <v>275</v>
      </c>
      <c r="B62" s="87" t="s">
        <v>547</v>
      </c>
      <c r="C62" s="87">
        <v>18710</v>
      </c>
      <c r="D62" s="87">
        <v>19400</v>
      </c>
      <c r="E62" s="87">
        <v>23750</v>
      </c>
      <c r="F62" s="87">
        <v>4860</v>
      </c>
      <c r="G62" s="87">
        <v>13170</v>
      </c>
      <c r="N62" s="87" t="s">
        <v>2432</v>
      </c>
    </row>
    <row r="63" ht="14.25" customHeight="1" spans="1:17">
      <c r="A63" s="87" t="s">
        <v>275</v>
      </c>
      <c r="B63" s="87" t="s">
        <v>2308</v>
      </c>
      <c r="C63" s="87">
        <v>19480</v>
      </c>
      <c r="D63" s="87">
        <v>16830</v>
      </c>
      <c r="E63" s="87">
        <v>21590</v>
      </c>
      <c r="F63" s="87">
        <v>4560</v>
      </c>
      <c r="G63" s="87">
        <v>11420</v>
      </c>
      <c r="N63" s="87" t="s">
        <v>2433</v>
      </c>
    </row>
    <row r="64" ht="14.25" customHeight="1" spans="1:17">
      <c r="A64" s="87" t="s">
        <v>275</v>
      </c>
      <c r="B64" s="87" t="s">
        <v>2309</v>
      </c>
      <c r="C64" s="87">
        <v>16920</v>
      </c>
      <c r="D64" s="87">
        <v>19190</v>
      </c>
      <c r="E64" s="87">
        <v>22200</v>
      </c>
      <c r="F64" s="87">
        <v>4390</v>
      </c>
      <c r="G64" s="87">
        <v>13030</v>
      </c>
      <c r="N64" s="94" t="s">
        <v>2434</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2318</v>
      </c>
      <c r="C73" s="87">
        <v>17610</v>
      </c>
      <c r="D73" s="87">
        <v>18520</v>
      </c>
      <c r="E73" s="87">
        <v>18720</v>
      </c>
      <c r="F73" s="87"/>
      <c r="G73" s="87">
        <v>12570</v>
      </c>
    </row>
    <row r="74" s="73" customFormat="1" ht="14.25" customHeight="1" spans="1:7">
      <c r="A74" s="87" t="s">
        <v>275</v>
      </c>
      <c r="B74" s="87" t="s">
        <v>2319</v>
      </c>
      <c r="C74" s="87">
        <v>18600</v>
      </c>
      <c r="D74" s="87">
        <v>16480</v>
      </c>
      <c r="E74" s="87">
        <v>20100</v>
      </c>
      <c r="F74" s="87"/>
      <c r="G74" s="87">
        <v>11190</v>
      </c>
    </row>
    <row r="75" s="73" customFormat="1" ht="14.25" customHeight="1" spans="1:7">
      <c r="A75" s="87" t="s">
        <v>275</v>
      </c>
      <c r="B75" s="87" t="s">
        <v>2320</v>
      </c>
      <c r="C75" s="87">
        <v>16570</v>
      </c>
      <c r="D75" s="87">
        <v>17530</v>
      </c>
      <c r="E75" s="87">
        <v>21030</v>
      </c>
      <c r="F75" s="87"/>
      <c r="G75" s="87">
        <v>11900</v>
      </c>
    </row>
    <row r="76" s="73" customFormat="1" ht="14.25" customHeight="1" spans="1:7">
      <c r="A76" s="87" t="s">
        <v>275</v>
      </c>
      <c r="B76" s="87" t="s">
        <v>2321</v>
      </c>
      <c r="C76" s="87">
        <v>17610</v>
      </c>
      <c r="D76" s="87">
        <v>20800</v>
      </c>
      <c r="E76" s="87">
        <v>18920</v>
      </c>
      <c r="F76" s="87"/>
      <c r="G76" s="87">
        <v>14120</v>
      </c>
    </row>
    <row r="77" s="73" customFormat="1" ht="14.25" customHeight="1" spans="1:7">
      <c r="A77" s="87" t="s">
        <v>275</v>
      </c>
      <c r="B77" s="87" t="s">
        <v>2322</v>
      </c>
      <c r="C77" s="87">
        <v>20890</v>
      </c>
      <c r="D77" s="87">
        <v>19740</v>
      </c>
      <c r="E77" s="87">
        <v>20110</v>
      </c>
      <c r="F77" s="87"/>
      <c r="G77" s="87">
        <v>13400</v>
      </c>
    </row>
    <row r="78" s="73" customFormat="1" ht="14.25" customHeight="1" spans="1:7">
      <c r="A78" s="87" t="s">
        <v>275</v>
      </c>
      <c r="B78" s="87" t="s">
        <v>2323</v>
      </c>
      <c r="C78" s="87">
        <v>19820</v>
      </c>
      <c r="D78" s="87">
        <v>19780</v>
      </c>
      <c r="E78" s="87">
        <v>18560</v>
      </c>
      <c r="F78" s="87"/>
      <c r="G78" s="87">
        <v>13430</v>
      </c>
    </row>
    <row r="79" s="73" customFormat="1" ht="14.25" customHeight="1" spans="1:7">
      <c r="A79" s="87" t="s">
        <v>275</v>
      </c>
      <c r="B79" s="87" t="s">
        <v>2324</v>
      </c>
      <c r="C79" s="87">
        <v>21660</v>
      </c>
      <c r="D79" s="87">
        <v>18000</v>
      </c>
      <c r="E79" s="87">
        <v>22570</v>
      </c>
      <c r="F79" s="87"/>
      <c r="G79" s="87">
        <v>12220</v>
      </c>
    </row>
    <row r="80" s="73" customFormat="1" ht="14.25" customHeight="1" spans="1:7">
      <c r="A80" s="87" t="s">
        <v>275</v>
      </c>
      <c r="B80" s="87" t="s">
        <v>2325</v>
      </c>
      <c r="C80" s="87">
        <v>19850</v>
      </c>
      <c r="D80" s="87"/>
      <c r="E80" s="87">
        <v>21700</v>
      </c>
      <c r="F80" s="87"/>
      <c r="G80" s="87"/>
    </row>
    <row r="81" s="73" customFormat="1" ht="14.25" customHeight="1" spans="1:7">
      <c r="A81" s="87" t="s">
        <v>275</v>
      </c>
      <c r="B81" s="87" t="s">
        <v>2326</v>
      </c>
      <c r="C81" s="87">
        <v>18080</v>
      </c>
      <c r="D81" s="87"/>
      <c r="E81" s="87">
        <v>20900</v>
      </c>
      <c r="F81" s="87"/>
      <c r="G81" s="87"/>
    </row>
    <row r="82" s="73" customFormat="1" ht="14.25" customHeight="1" spans="1:7">
      <c r="A82" s="87" t="s">
        <v>275</v>
      </c>
      <c r="B82" s="87" t="s">
        <v>2327</v>
      </c>
      <c r="C82" s="87"/>
      <c r="D82" s="87"/>
      <c r="E82" s="87">
        <v>20840</v>
      </c>
      <c r="F82" s="87"/>
      <c r="G82" s="87"/>
    </row>
    <row r="83" s="73" customFormat="1" ht="14.25" customHeight="1" spans="1:7">
      <c r="A83" s="87" t="s">
        <v>275</v>
      </c>
      <c r="B83" s="87" t="s">
        <v>2328</v>
      </c>
      <c r="C83" s="87"/>
      <c r="D83" s="87"/>
      <c r="E83" s="87"/>
      <c r="F83" s="87">
        <v>4770</v>
      </c>
      <c r="G83" s="87"/>
    </row>
    <row r="84" s="73" customFormat="1" ht="14.25" customHeight="1" spans="1:7">
      <c r="A84" s="87" t="s">
        <v>275</v>
      </c>
      <c r="B84" s="87" t="s">
        <v>2329</v>
      </c>
      <c r="C84" s="87"/>
      <c r="D84" s="87"/>
      <c r="E84" s="87"/>
      <c r="F84" s="87">
        <v>4600</v>
      </c>
      <c r="G84" s="87"/>
    </row>
    <row r="85" s="73" customFormat="1" ht="14.25" customHeight="1" spans="1:7">
      <c r="A85" s="87" t="s">
        <v>275</v>
      </c>
      <c r="B85" s="87" t="s">
        <v>2330</v>
      </c>
      <c r="C85" s="87"/>
      <c r="D85" s="87"/>
      <c r="E85" s="87"/>
      <c r="F85" s="87">
        <v>4680</v>
      </c>
      <c r="G85" s="87"/>
    </row>
    <row r="86" s="73" customFormat="1" ht="14.25" customHeight="1" spans="1:7">
      <c r="A86" s="95" t="s">
        <v>275</v>
      </c>
      <c r="B86" s="97" t="s">
        <v>2331</v>
      </c>
      <c r="C86" s="98">
        <v>16610</v>
      </c>
      <c r="D86" s="98">
        <v>16540</v>
      </c>
      <c r="E86" s="98">
        <v>18850</v>
      </c>
      <c r="F86" s="98"/>
      <c r="G86" s="98">
        <v>11220</v>
      </c>
    </row>
    <row r="87" s="73" customFormat="1" ht="14.25" customHeight="1" spans="1:7">
      <c r="A87" s="92" t="s">
        <v>286</v>
      </c>
      <c r="B87" s="82" t="s">
        <v>2332</v>
      </c>
      <c r="C87" s="82">
        <v>15240</v>
      </c>
      <c r="D87" s="82">
        <v>15170</v>
      </c>
      <c r="E87" s="82">
        <v>18260</v>
      </c>
      <c r="F87" s="82">
        <v>3830</v>
      </c>
      <c r="G87" s="99">
        <v>10020</v>
      </c>
    </row>
    <row r="88" s="73" customFormat="1" ht="14.25" customHeight="1" spans="1:7">
      <c r="A88" s="87" t="s">
        <v>286</v>
      </c>
      <c r="B88" s="87" t="s">
        <v>2333</v>
      </c>
      <c r="C88" s="87">
        <v>17310</v>
      </c>
      <c r="D88" s="87">
        <v>17220</v>
      </c>
      <c r="E88" s="87">
        <v>18610</v>
      </c>
      <c r="F88" s="87">
        <v>3990</v>
      </c>
      <c r="G88" s="100">
        <v>11380</v>
      </c>
    </row>
    <row r="89" s="73" customFormat="1" ht="14.25" customHeight="1" spans="1:7">
      <c r="A89" s="87" t="s">
        <v>286</v>
      </c>
      <c r="B89" s="87" t="s">
        <v>2334</v>
      </c>
      <c r="C89" s="87">
        <v>15600</v>
      </c>
      <c r="D89" s="87">
        <v>15550</v>
      </c>
      <c r="E89" s="87">
        <v>19200</v>
      </c>
      <c r="F89" s="87">
        <v>4110</v>
      </c>
      <c r="G89" s="100">
        <v>10270</v>
      </c>
    </row>
    <row r="90" s="73" customFormat="1" ht="14.25" customHeight="1" spans="1:7">
      <c r="A90" s="87" t="s">
        <v>286</v>
      </c>
      <c r="B90" s="87" t="s">
        <v>2335</v>
      </c>
      <c r="C90" s="87">
        <v>17330</v>
      </c>
      <c r="D90" s="87">
        <v>17240</v>
      </c>
      <c r="E90" s="87">
        <v>18570</v>
      </c>
      <c r="F90" s="87">
        <v>4070</v>
      </c>
      <c r="G90" s="100">
        <v>11390</v>
      </c>
    </row>
    <row r="91" s="73" customFormat="1" ht="14.25" customHeight="1" spans="1:7">
      <c r="A91" s="87" t="s">
        <v>286</v>
      </c>
      <c r="B91" s="87" t="s">
        <v>2336</v>
      </c>
      <c r="C91" s="87">
        <v>16330</v>
      </c>
      <c r="D91" s="87">
        <v>16260</v>
      </c>
      <c r="E91" s="87">
        <v>16800</v>
      </c>
      <c r="F91" s="87">
        <v>3410</v>
      </c>
      <c r="G91" s="100">
        <v>10740</v>
      </c>
    </row>
    <row r="92" s="73" customFormat="1" ht="14.25" customHeight="1" spans="1:7">
      <c r="A92" s="87" t="s">
        <v>286</v>
      </c>
      <c r="B92" s="87" t="s">
        <v>2337</v>
      </c>
      <c r="C92" s="87">
        <v>15570</v>
      </c>
      <c r="D92" s="87">
        <v>15500</v>
      </c>
      <c r="E92" s="87">
        <v>17360</v>
      </c>
      <c r="F92" s="87">
        <v>3510</v>
      </c>
      <c r="G92" s="100">
        <v>10240</v>
      </c>
    </row>
    <row r="93" s="73" customFormat="1" ht="14.25" customHeight="1" spans="1:7">
      <c r="A93" s="87" t="s">
        <v>286</v>
      </c>
      <c r="B93" s="87" t="s">
        <v>2338</v>
      </c>
      <c r="C93" s="87">
        <v>14000</v>
      </c>
      <c r="D93" s="87">
        <v>13930</v>
      </c>
      <c r="E93" s="87">
        <v>18200</v>
      </c>
      <c r="F93" s="87">
        <v>3640</v>
      </c>
      <c r="G93" s="100">
        <v>9210</v>
      </c>
    </row>
    <row r="94" s="73" customFormat="1" ht="14.25" customHeight="1" spans="1:7">
      <c r="A94" s="87" t="s">
        <v>286</v>
      </c>
      <c r="B94" s="87" t="s">
        <v>2339</v>
      </c>
      <c r="C94" s="87">
        <v>14530</v>
      </c>
      <c r="D94" s="87">
        <v>14470</v>
      </c>
      <c r="E94" s="87">
        <v>18240</v>
      </c>
      <c r="F94" s="87">
        <v>3180</v>
      </c>
      <c r="G94" s="100">
        <v>9560</v>
      </c>
    </row>
    <row r="95" s="73" customFormat="1" ht="14.25" customHeight="1" spans="1:7">
      <c r="A95" s="87" t="s">
        <v>286</v>
      </c>
      <c r="B95" s="87" t="s">
        <v>2340</v>
      </c>
      <c r="C95" s="87">
        <v>17330</v>
      </c>
      <c r="D95" s="87">
        <v>17260</v>
      </c>
      <c r="E95" s="87">
        <v>18420</v>
      </c>
      <c r="F95" s="87">
        <v>3060</v>
      </c>
      <c r="G95" s="100">
        <v>11410</v>
      </c>
    </row>
    <row r="96" s="73" customFormat="1" ht="14.25" customHeight="1" spans="1:7">
      <c r="A96" s="87" t="s">
        <v>286</v>
      </c>
      <c r="B96" s="87" t="s">
        <v>2341</v>
      </c>
      <c r="C96" s="87">
        <v>15030</v>
      </c>
      <c r="D96" s="87">
        <v>14970</v>
      </c>
      <c r="E96" s="87">
        <v>17580</v>
      </c>
      <c r="F96" s="87">
        <v>2970</v>
      </c>
      <c r="G96" s="100">
        <v>9890</v>
      </c>
    </row>
    <row r="97" s="73" customFormat="1" ht="14.25" customHeight="1" spans="1:7">
      <c r="A97" s="87" t="s">
        <v>286</v>
      </c>
      <c r="B97" s="87" t="s">
        <v>2342</v>
      </c>
      <c r="C97" s="87">
        <v>17400</v>
      </c>
      <c r="D97" s="87">
        <v>17330</v>
      </c>
      <c r="E97" s="87">
        <v>16430</v>
      </c>
      <c r="F97" s="87">
        <v>2950</v>
      </c>
      <c r="G97" s="100">
        <v>11450</v>
      </c>
    </row>
    <row r="98" s="73" customFormat="1" ht="14.25" customHeight="1" spans="1:7">
      <c r="A98" s="87" t="s">
        <v>286</v>
      </c>
      <c r="B98" s="87" t="s">
        <v>2343</v>
      </c>
      <c r="C98" s="87">
        <v>15200</v>
      </c>
      <c r="D98" s="87">
        <v>15120</v>
      </c>
      <c r="E98" s="87">
        <v>17550</v>
      </c>
      <c r="F98" s="87">
        <v>3080</v>
      </c>
      <c r="G98" s="100">
        <v>9990</v>
      </c>
    </row>
    <row r="99" s="73" customFormat="1" ht="14.25" customHeight="1" spans="1:7">
      <c r="A99" s="87" t="s">
        <v>286</v>
      </c>
      <c r="B99" s="87" t="s">
        <v>2344</v>
      </c>
      <c r="C99" s="87">
        <v>17520</v>
      </c>
      <c r="D99" s="87">
        <v>17430</v>
      </c>
      <c r="E99" s="87">
        <v>16350</v>
      </c>
      <c r="F99" s="87">
        <v>3260</v>
      </c>
      <c r="G99" s="100">
        <v>11510</v>
      </c>
    </row>
    <row r="100" s="73" customFormat="1" ht="14.25" customHeight="1" spans="1:7">
      <c r="A100" s="87" t="s">
        <v>286</v>
      </c>
      <c r="B100" s="87" t="s">
        <v>2345</v>
      </c>
      <c r="C100" s="87">
        <v>15340</v>
      </c>
      <c r="D100" s="87">
        <v>15260</v>
      </c>
      <c r="E100" s="87">
        <v>15930</v>
      </c>
      <c r="F100" s="87">
        <v>2740</v>
      </c>
      <c r="G100" s="100">
        <v>10080</v>
      </c>
    </row>
    <row r="101" s="73" customFormat="1" ht="14.25" customHeight="1" spans="1:7">
      <c r="A101" s="87" t="s">
        <v>286</v>
      </c>
      <c r="B101" s="87" t="s">
        <v>2346</v>
      </c>
      <c r="C101" s="87">
        <v>14620</v>
      </c>
      <c r="D101" s="87">
        <v>14560</v>
      </c>
      <c r="E101" s="87">
        <v>15570</v>
      </c>
      <c r="F101" s="87">
        <v>3500</v>
      </c>
      <c r="G101" s="100">
        <v>9630</v>
      </c>
    </row>
    <row r="102" s="73" customFormat="1" ht="14.25" customHeight="1" spans="1:7">
      <c r="A102" s="87" t="s">
        <v>286</v>
      </c>
      <c r="B102" s="87" t="s">
        <v>2347</v>
      </c>
      <c r="C102" s="87">
        <v>13680</v>
      </c>
      <c r="D102" s="87">
        <v>13610</v>
      </c>
      <c r="E102" s="87">
        <v>15690</v>
      </c>
      <c r="F102" s="87">
        <v>2870</v>
      </c>
      <c r="G102" s="100">
        <v>8990</v>
      </c>
    </row>
    <row r="103" s="73" customFormat="1" ht="14.25" customHeight="1" spans="1:7">
      <c r="A103" s="87" t="s">
        <v>286</v>
      </c>
      <c r="B103" s="87" t="s">
        <v>2348</v>
      </c>
      <c r="C103" s="87">
        <v>14620</v>
      </c>
      <c r="D103" s="87">
        <v>14540</v>
      </c>
      <c r="E103" s="87">
        <v>15240</v>
      </c>
      <c r="F103" s="87">
        <v>2840</v>
      </c>
      <c r="G103" s="100">
        <v>9610</v>
      </c>
    </row>
    <row r="104" s="73" customFormat="1" ht="14.25" customHeight="1" spans="1:7">
      <c r="A104" s="87" t="s">
        <v>286</v>
      </c>
      <c r="B104" s="87" t="s">
        <v>2349</v>
      </c>
      <c r="C104" s="87">
        <v>13610</v>
      </c>
      <c r="D104" s="87">
        <v>13540</v>
      </c>
      <c r="E104" s="87">
        <v>15750</v>
      </c>
      <c r="F104" s="87">
        <v>2770</v>
      </c>
      <c r="G104" s="100">
        <v>8940</v>
      </c>
    </row>
    <row r="105" s="73" customFormat="1" ht="14.25" customHeight="1" spans="1:7">
      <c r="A105" s="87" t="s">
        <v>286</v>
      </c>
      <c r="B105" s="87" t="s">
        <v>2350</v>
      </c>
      <c r="C105" s="87">
        <v>13310</v>
      </c>
      <c r="D105" s="87">
        <v>13240</v>
      </c>
      <c r="E105" s="87">
        <v>16280</v>
      </c>
      <c r="F105" s="87">
        <v>3210</v>
      </c>
      <c r="G105" s="100">
        <v>8750</v>
      </c>
    </row>
    <row r="106" s="73" customFormat="1" ht="14.25" customHeight="1" spans="1:7">
      <c r="A106" s="87" t="s">
        <v>286</v>
      </c>
      <c r="B106" s="87" t="s">
        <v>2351</v>
      </c>
      <c r="C106" s="87">
        <v>13010</v>
      </c>
      <c r="D106" s="87">
        <v>12930</v>
      </c>
      <c r="E106" s="87">
        <v>14960</v>
      </c>
      <c r="F106" s="87">
        <v>3530</v>
      </c>
      <c r="G106" s="100">
        <v>8550</v>
      </c>
    </row>
    <row r="107" s="73" customFormat="1" ht="14.25" customHeight="1" spans="1:7">
      <c r="A107" s="87" t="s">
        <v>286</v>
      </c>
      <c r="B107" s="87" t="s">
        <v>2352</v>
      </c>
      <c r="C107" s="87">
        <v>13070</v>
      </c>
      <c r="D107" s="87">
        <v>13000</v>
      </c>
      <c r="E107" s="87">
        <v>15910</v>
      </c>
      <c r="F107" s="87">
        <v>3990</v>
      </c>
      <c r="G107" s="100">
        <v>8580</v>
      </c>
    </row>
    <row r="108" s="73" customFormat="1" ht="14.25" customHeight="1" spans="1:7">
      <c r="A108" s="87" t="s">
        <v>286</v>
      </c>
      <c r="B108" s="87" t="s">
        <v>2353</v>
      </c>
      <c r="C108" s="87">
        <v>12640</v>
      </c>
      <c r="D108" s="87">
        <v>12580</v>
      </c>
      <c r="E108" s="87">
        <v>15730</v>
      </c>
      <c r="F108" s="87"/>
      <c r="G108" s="100">
        <v>8310</v>
      </c>
    </row>
    <row r="109" s="73" customFormat="1" ht="14.25" customHeight="1" spans="1:7">
      <c r="A109" s="87" t="s">
        <v>286</v>
      </c>
      <c r="B109" s="87" t="s">
        <v>2354</v>
      </c>
      <c r="C109" s="87">
        <v>13130</v>
      </c>
      <c r="D109" s="87">
        <v>13070</v>
      </c>
      <c r="E109" s="87">
        <v>15000</v>
      </c>
      <c r="F109" s="87"/>
      <c r="G109" s="100">
        <v>8630</v>
      </c>
    </row>
    <row r="110" s="73" customFormat="1" ht="14.25" customHeight="1" spans="1:7">
      <c r="A110" s="87" t="s">
        <v>286</v>
      </c>
      <c r="B110" s="87" t="s">
        <v>2355</v>
      </c>
      <c r="C110" s="87">
        <v>13560</v>
      </c>
      <c r="D110" s="87">
        <v>13490</v>
      </c>
      <c r="E110" s="87">
        <v>16300</v>
      </c>
      <c r="F110" s="87"/>
      <c r="G110" s="100">
        <v>8920</v>
      </c>
    </row>
    <row r="111" s="73" customFormat="1" ht="14.25" customHeight="1" spans="1:7">
      <c r="A111" s="87" t="s">
        <v>286</v>
      </c>
      <c r="B111" s="87" t="s">
        <v>2356</v>
      </c>
      <c r="C111" s="87">
        <v>12440</v>
      </c>
      <c r="D111" s="87">
        <v>12380</v>
      </c>
      <c r="E111" s="87">
        <v>17850</v>
      </c>
      <c r="F111" s="87"/>
      <c r="G111" s="100">
        <v>8180</v>
      </c>
    </row>
    <row r="112" s="73" customFormat="1" ht="14.25" customHeight="1" spans="1:7">
      <c r="A112" s="87" t="s">
        <v>286</v>
      </c>
      <c r="B112" s="87" t="s">
        <v>2357</v>
      </c>
      <c r="C112" s="87">
        <v>13260</v>
      </c>
      <c r="D112" s="87">
        <v>13180</v>
      </c>
      <c r="E112" s="87">
        <v>19740</v>
      </c>
      <c r="F112" s="87"/>
      <c r="G112" s="100">
        <v>8710</v>
      </c>
    </row>
    <row r="113" s="73" customFormat="1" ht="14.25" customHeight="1" spans="1:7">
      <c r="A113" s="87" t="s">
        <v>286</v>
      </c>
      <c r="B113" s="87" t="s">
        <v>2358</v>
      </c>
      <c r="C113" s="87">
        <v>15520</v>
      </c>
      <c r="D113" s="87">
        <v>15450</v>
      </c>
      <c r="E113" s="87"/>
      <c r="F113" s="87"/>
      <c r="G113" s="100">
        <v>10210</v>
      </c>
    </row>
    <row r="114" s="73" customFormat="1" ht="14.25" customHeight="1" spans="1:7">
      <c r="A114" s="87" t="s">
        <v>286</v>
      </c>
      <c r="B114" s="87" t="s">
        <v>2359</v>
      </c>
      <c r="C114" s="87">
        <v>13110</v>
      </c>
      <c r="D114" s="87">
        <v>13050</v>
      </c>
      <c r="E114" s="87"/>
      <c r="F114" s="87"/>
      <c r="G114" s="100">
        <v>8620</v>
      </c>
    </row>
    <row r="115" s="73" customFormat="1" ht="14.25" customHeight="1" spans="1:7">
      <c r="A115" s="87" t="s">
        <v>286</v>
      </c>
      <c r="B115" s="87" t="s">
        <v>2360</v>
      </c>
      <c r="C115" s="87">
        <v>12460</v>
      </c>
      <c r="D115" s="87">
        <v>12390</v>
      </c>
      <c r="E115" s="87"/>
      <c r="F115" s="87"/>
      <c r="G115" s="100">
        <v>8190</v>
      </c>
    </row>
    <row r="116" s="73" customFormat="1" ht="14.25" customHeight="1" spans="1:7">
      <c r="A116" s="87" t="s">
        <v>286</v>
      </c>
      <c r="B116" s="87" t="s">
        <v>2361</v>
      </c>
      <c r="C116" s="87">
        <v>13580</v>
      </c>
      <c r="D116" s="87">
        <v>13520</v>
      </c>
      <c r="E116" s="87"/>
      <c r="F116" s="87"/>
      <c r="G116" s="100">
        <v>8930</v>
      </c>
    </row>
    <row r="117" s="73" customFormat="1" ht="14.25" customHeight="1" spans="1:7">
      <c r="A117" s="87" t="s">
        <v>286</v>
      </c>
      <c r="B117" s="87" t="s">
        <v>2362</v>
      </c>
      <c r="C117" s="87">
        <v>17120</v>
      </c>
      <c r="D117" s="87">
        <v>17040</v>
      </c>
      <c r="E117" s="87"/>
      <c r="F117" s="87"/>
      <c r="G117" s="100">
        <v>11260</v>
      </c>
    </row>
    <row r="118" s="73" customFormat="1" ht="14.25" customHeight="1" spans="1:7">
      <c r="A118" s="87" t="s">
        <v>286</v>
      </c>
      <c r="B118" s="87" t="s">
        <v>2363</v>
      </c>
      <c r="C118" s="87">
        <v>14860</v>
      </c>
      <c r="D118" s="87">
        <v>14790</v>
      </c>
      <c r="E118" s="87"/>
      <c r="F118" s="87"/>
      <c r="G118" s="100">
        <v>9780</v>
      </c>
    </row>
    <row r="119" s="73" customFormat="1" ht="14.25" customHeight="1" spans="1:7">
      <c r="A119" s="87" t="s">
        <v>286</v>
      </c>
      <c r="B119" s="87" t="s">
        <v>2364</v>
      </c>
      <c r="C119" s="87">
        <v>16470</v>
      </c>
      <c r="D119" s="87">
        <v>16400</v>
      </c>
      <c r="E119" s="87"/>
      <c r="F119" s="87"/>
      <c r="G119" s="100">
        <v>10840</v>
      </c>
    </row>
    <row r="120" s="73" customFormat="1" ht="14.25" customHeight="1" spans="1:7">
      <c r="A120" s="87" t="s">
        <v>286</v>
      </c>
      <c r="B120" s="87" t="s">
        <v>2365</v>
      </c>
      <c r="C120" s="87"/>
      <c r="D120" s="87"/>
      <c r="E120" s="87"/>
      <c r="F120" s="87">
        <v>4160</v>
      </c>
      <c r="G120" s="100"/>
    </row>
    <row r="121" s="73" customFormat="1" ht="14.25" customHeight="1" spans="1:7">
      <c r="A121" s="87" t="s">
        <v>286</v>
      </c>
      <c r="B121" s="87" t="s">
        <v>2366</v>
      </c>
      <c r="C121" s="87"/>
      <c r="D121" s="87"/>
      <c r="E121" s="87"/>
      <c r="F121" s="87">
        <v>3880</v>
      </c>
      <c r="G121" s="100"/>
    </row>
    <row r="122" s="73" customFormat="1" ht="14.25" customHeight="1" spans="1:7">
      <c r="A122" s="87" t="s">
        <v>286</v>
      </c>
      <c r="B122" s="87" t="s">
        <v>2367</v>
      </c>
      <c r="C122" s="87">
        <v>13750</v>
      </c>
      <c r="D122" s="87">
        <v>13680</v>
      </c>
      <c r="E122" s="87">
        <v>16460</v>
      </c>
      <c r="F122" s="87">
        <v>2880</v>
      </c>
      <c r="G122" s="100">
        <v>9040</v>
      </c>
    </row>
    <row r="123" s="73" customFormat="1" ht="14.25" customHeight="1" spans="1:7">
      <c r="A123" s="87" t="s">
        <v>286</v>
      </c>
      <c r="B123" s="87" t="s">
        <v>2368</v>
      </c>
      <c r="C123" s="87">
        <v>13590</v>
      </c>
      <c r="D123" s="87">
        <v>13520</v>
      </c>
      <c r="E123" s="87">
        <v>16290</v>
      </c>
      <c r="F123" s="87">
        <v>2790</v>
      </c>
      <c r="G123" s="100">
        <v>8930</v>
      </c>
    </row>
    <row r="124" s="73" customFormat="1" ht="14.25" customHeight="1" spans="1:7">
      <c r="A124" s="87" t="s">
        <v>286</v>
      </c>
      <c r="B124" s="87" t="s">
        <v>2369</v>
      </c>
      <c r="C124" s="87">
        <v>13400</v>
      </c>
      <c r="D124" s="87">
        <v>13320</v>
      </c>
      <c r="E124" s="87">
        <v>16100</v>
      </c>
      <c r="F124" s="87">
        <v>2320</v>
      </c>
      <c r="G124" s="100">
        <v>8800</v>
      </c>
    </row>
    <row r="125" s="73" customFormat="1" ht="14.25" customHeight="1" spans="1:7">
      <c r="A125" s="87" t="s">
        <v>286</v>
      </c>
      <c r="B125" s="87" t="s">
        <v>2370</v>
      </c>
      <c r="C125" s="87">
        <v>12860</v>
      </c>
      <c r="D125" s="87">
        <v>12790</v>
      </c>
      <c r="E125" s="87">
        <v>15370</v>
      </c>
      <c r="F125" s="87">
        <v>2280</v>
      </c>
      <c r="G125" s="100">
        <v>8450</v>
      </c>
    </row>
    <row r="126" s="73" customFormat="1" ht="14.25" customHeight="1" spans="1:7">
      <c r="A126" s="101" t="s">
        <v>286</v>
      </c>
      <c r="B126" s="94" t="s">
        <v>2371</v>
      </c>
      <c r="C126" s="94">
        <v>12960</v>
      </c>
      <c r="D126" s="94">
        <v>12890</v>
      </c>
      <c r="E126" s="94">
        <v>15530</v>
      </c>
      <c r="F126" s="94">
        <v>2910</v>
      </c>
      <c r="G126" s="102">
        <v>8520</v>
      </c>
    </row>
    <row r="127" s="73" customFormat="1" ht="14.25" customHeight="1" spans="1:7">
      <c r="A127" s="92" t="s">
        <v>295</v>
      </c>
      <c r="B127" s="82" t="s">
        <v>2372</v>
      </c>
      <c r="C127" s="87">
        <v>12280</v>
      </c>
      <c r="D127" s="87">
        <v>12250</v>
      </c>
      <c r="E127" s="87">
        <v>15130</v>
      </c>
      <c r="F127" s="87">
        <v>2710</v>
      </c>
      <c r="G127" s="87">
        <v>7870</v>
      </c>
    </row>
    <row r="128" s="73" customFormat="1" ht="14.25" customHeight="1" spans="1:7">
      <c r="A128" s="87" t="s">
        <v>295</v>
      </c>
      <c r="B128" s="87" t="s">
        <v>2373</v>
      </c>
      <c r="C128" s="87">
        <v>13180</v>
      </c>
      <c r="D128" s="87">
        <v>13150</v>
      </c>
      <c r="E128" s="87">
        <v>16190</v>
      </c>
      <c r="F128" s="87">
        <v>2820</v>
      </c>
      <c r="G128" s="87">
        <v>8460</v>
      </c>
    </row>
    <row r="129" s="73" customFormat="1" ht="14.25" customHeight="1" spans="1:7">
      <c r="A129" s="87" t="s">
        <v>295</v>
      </c>
      <c r="B129" s="87" t="s">
        <v>2374</v>
      </c>
      <c r="C129" s="87">
        <v>10950</v>
      </c>
      <c r="D129" s="87">
        <v>10920</v>
      </c>
      <c r="E129" s="87">
        <v>13820</v>
      </c>
      <c r="F129" s="87">
        <v>2500</v>
      </c>
      <c r="G129" s="87">
        <v>7020</v>
      </c>
    </row>
    <row r="130" s="73" customFormat="1" ht="14.25" customHeight="1" spans="1:7">
      <c r="A130" s="87" t="s">
        <v>295</v>
      </c>
      <c r="B130" s="87" t="s">
        <v>2375</v>
      </c>
      <c r="C130" s="87">
        <v>10910</v>
      </c>
      <c r="D130" s="87">
        <v>10860</v>
      </c>
      <c r="E130" s="87">
        <v>13730</v>
      </c>
      <c r="F130" s="87">
        <v>2760</v>
      </c>
      <c r="G130" s="87">
        <v>6990</v>
      </c>
    </row>
    <row r="131" s="73" customFormat="1" ht="14.25" customHeight="1" spans="1:7">
      <c r="A131" s="87" t="s">
        <v>295</v>
      </c>
      <c r="B131" s="87" t="s">
        <v>2376</v>
      </c>
      <c r="C131" s="87">
        <v>12910</v>
      </c>
      <c r="D131" s="87">
        <v>12870</v>
      </c>
      <c r="E131" s="87">
        <v>15720</v>
      </c>
      <c r="F131" s="87">
        <v>2750</v>
      </c>
      <c r="G131" s="87">
        <v>8280</v>
      </c>
    </row>
    <row r="132" s="73" customFormat="1" ht="14.25" customHeight="1" spans="1:7">
      <c r="A132" s="87" t="s">
        <v>295</v>
      </c>
      <c r="B132" s="87" t="s">
        <v>2377</v>
      </c>
      <c r="C132" s="87">
        <v>11910</v>
      </c>
      <c r="D132" s="87">
        <v>11860</v>
      </c>
      <c r="E132" s="87">
        <v>14730</v>
      </c>
      <c r="F132" s="87">
        <v>2360</v>
      </c>
      <c r="G132" s="87">
        <v>7630</v>
      </c>
    </row>
    <row r="133" s="73" customFormat="1" ht="14.25" customHeight="1" spans="1:7">
      <c r="A133" s="87" t="s">
        <v>295</v>
      </c>
      <c r="B133" s="87" t="s">
        <v>2378</v>
      </c>
      <c r="C133" s="87">
        <v>12270</v>
      </c>
      <c r="D133" s="87">
        <v>12210</v>
      </c>
      <c r="E133" s="87">
        <v>15010</v>
      </c>
      <c r="F133" s="87">
        <v>2580</v>
      </c>
      <c r="G133" s="87">
        <v>7860</v>
      </c>
    </row>
    <row r="134" s="73" customFormat="1" ht="14.25" customHeight="1" spans="1:7">
      <c r="A134" s="87" t="s">
        <v>295</v>
      </c>
      <c r="B134" s="87" t="s">
        <v>2379</v>
      </c>
      <c r="C134" s="87">
        <v>10800</v>
      </c>
      <c r="D134" s="87">
        <v>10780</v>
      </c>
      <c r="E134" s="87">
        <v>13640</v>
      </c>
      <c r="F134" s="87">
        <v>2110</v>
      </c>
      <c r="G134" s="87">
        <v>6930</v>
      </c>
    </row>
    <row r="135" s="73" customFormat="1" ht="14.25" customHeight="1" spans="1:7">
      <c r="A135" s="87" t="s">
        <v>295</v>
      </c>
      <c r="B135" s="87" t="s">
        <v>2380</v>
      </c>
      <c r="C135" s="87">
        <v>10430</v>
      </c>
      <c r="D135" s="87">
        <v>10390</v>
      </c>
      <c r="E135" s="87">
        <v>13140</v>
      </c>
      <c r="F135" s="87">
        <v>2240</v>
      </c>
      <c r="G135" s="87">
        <v>6680</v>
      </c>
    </row>
    <row r="136" s="73" customFormat="1" ht="14.25" customHeight="1" spans="1:7">
      <c r="A136" s="87" t="s">
        <v>295</v>
      </c>
      <c r="B136" s="87" t="s">
        <v>2381</v>
      </c>
      <c r="C136" s="87">
        <v>11930</v>
      </c>
      <c r="D136" s="87">
        <v>11880</v>
      </c>
      <c r="E136" s="87">
        <v>14770</v>
      </c>
      <c r="F136" s="87">
        <v>1970</v>
      </c>
      <c r="G136" s="87">
        <v>7640</v>
      </c>
    </row>
    <row r="137" s="73" customFormat="1" ht="14.25" customHeight="1" spans="1:7">
      <c r="A137" s="87" t="s">
        <v>295</v>
      </c>
      <c r="B137" s="87" t="s">
        <v>2382</v>
      </c>
      <c r="C137" s="87">
        <v>10470</v>
      </c>
      <c r="D137" s="87">
        <v>10430</v>
      </c>
      <c r="E137" s="87">
        <v>13190</v>
      </c>
      <c r="F137" s="87">
        <v>1990</v>
      </c>
      <c r="G137" s="87">
        <v>6710</v>
      </c>
    </row>
    <row r="138" s="73" customFormat="1" ht="14.25" customHeight="1" spans="1:7">
      <c r="A138" s="87" t="s">
        <v>295</v>
      </c>
      <c r="B138" s="87" t="s">
        <v>2383</v>
      </c>
      <c r="C138" s="87">
        <v>10410</v>
      </c>
      <c r="D138" s="87">
        <v>10380</v>
      </c>
      <c r="E138" s="87">
        <v>13130</v>
      </c>
      <c r="F138" s="87">
        <v>2030</v>
      </c>
      <c r="G138" s="87">
        <v>6680</v>
      </c>
    </row>
    <row r="139" s="73" customFormat="1" ht="14.25" customHeight="1" spans="1:7">
      <c r="A139" s="87" t="s">
        <v>295</v>
      </c>
      <c r="B139" s="87" t="s">
        <v>2384</v>
      </c>
      <c r="C139" s="87">
        <v>9460</v>
      </c>
      <c r="D139" s="87">
        <v>9410</v>
      </c>
      <c r="E139" s="87">
        <v>12050</v>
      </c>
      <c r="F139" s="87">
        <v>2140</v>
      </c>
      <c r="G139" s="87">
        <v>6050</v>
      </c>
    </row>
    <row r="140" s="73" customFormat="1" ht="14.25" customHeight="1" spans="1:7">
      <c r="A140" s="87" t="s">
        <v>295</v>
      </c>
      <c r="B140" s="87" t="s">
        <v>2385</v>
      </c>
      <c r="C140" s="87">
        <v>11030</v>
      </c>
      <c r="D140" s="87">
        <v>10980</v>
      </c>
      <c r="E140" s="87">
        <v>13880</v>
      </c>
      <c r="F140" s="87">
        <v>2210</v>
      </c>
      <c r="G140" s="87">
        <v>7060</v>
      </c>
    </row>
    <row r="141" s="73" customFormat="1" ht="14.25" customHeight="1" spans="1:7">
      <c r="A141" s="87" t="s">
        <v>295</v>
      </c>
      <c r="B141" s="87" t="s">
        <v>2386</v>
      </c>
      <c r="C141" s="87">
        <v>11200</v>
      </c>
      <c r="D141" s="87">
        <v>11150</v>
      </c>
      <c r="E141" s="87">
        <v>14100</v>
      </c>
      <c r="F141" s="87">
        <v>2470</v>
      </c>
      <c r="G141" s="87">
        <v>7170</v>
      </c>
    </row>
    <row r="142" s="73" customFormat="1" ht="14.25" customHeight="1" spans="1:7">
      <c r="A142" s="87" t="s">
        <v>295</v>
      </c>
      <c r="B142" s="87" t="s">
        <v>2387</v>
      </c>
      <c r="C142" s="87">
        <v>10780</v>
      </c>
      <c r="D142" s="87">
        <v>10730</v>
      </c>
      <c r="E142" s="87">
        <v>13540</v>
      </c>
      <c r="F142" s="87">
        <v>2280</v>
      </c>
      <c r="G142" s="87">
        <v>6900</v>
      </c>
    </row>
    <row r="143" s="73" customFormat="1" ht="14.25" customHeight="1" spans="1:7">
      <c r="A143" s="87" t="s">
        <v>295</v>
      </c>
      <c r="B143" s="87" t="s">
        <v>2388</v>
      </c>
      <c r="C143" s="87">
        <v>11550</v>
      </c>
      <c r="D143" s="87">
        <v>11490</v>
      </c>
      <c r="E143" s="87">
        <v>14480</v>
      </c>
      <c r="F143" s="87">
        <v>2070</v>
      </c>
      <c r="G143" s="87">
        <v>7390</v>
      </c>
    </row>
    <row r="144" s="73" customFormat="1" ht="14.25" customHeight="1" spans="1:7">
      <c r="A144" s="87" t="s">
        <v>295</v>
      </c>
      <c r="B144" s="87" t="s">
        <v>2389</v>
      </c>
      <c r="C144" s="87">
        <v>10720</v>
      </c>
      <c r="D144" s="87">
        <v>10680</v>
      </c>
      <c r="E144" s="87">
        <v>13480</v>
      </c>
      <c r="F144" s="87">
        <v>2440</v>
      </c>
      <c r="G144" s="87">
        <v>6870</v>
      </c>
    </row>
    <row r="145" s="73" customFormat="1" ht="14.25" customHeight="1" spans="1:7">
      <c r="A145" s="87" t="s">
        <v>295</v>
      </c>
      <c r="B145" s="87" t="s">
        <v>2390</v>
      </c>
      <c r="C145" s="87">
        <v>10340</v>
      </c>
      <c r="D145" s="87">
        <v>10290</v>
      </c>
      <c r="E145" s="87">
        <v>12880</v>
      </c>
      <c r="F145" s="87">
        <v>2650</v>
      </c>
      <c r="G145" s="87">
        <v>6620</v>
      </c>
    </row>
    <row r="146" s="73" customFormat="1" ht="14.25" customHeight="1" spans="1:7">
      <c r="A146" s="87" t="s">
        <v>295</v>
      </c>
      <c r="B146" s="87" t="s">
        <v>2391</v>
      </c>
      <c r="C146" s="87">
        <v>11890</v>
      </c>
      <c r="D146" s="87">
        <v>11830</v>
      </c>
      <c r="E146" s="87">
        <v>14670</v>
      </c>
      <c r="F146" s="87"/>
      <c r="G146" s="87">
        <v>7610</v>
      </c>
    </row>
    <row r="147" s="73" customFormat="1" ht="14.25" customHeight="1" spans="1:7">
      <c r="A147" s="87" t="s">
        <v>295</v>
      </c>
      <c r="B147" s="87" t="s">
        <v>2392</v>
      </c>
      <c r="C147" s="87">
        <v>12650</v>
      </c>
      <c r="D147" s="87">
        <v>12600</v>
      </c>
      <c r="E147" s="87">
        <v>15440</v>
      </c>
      <c r="F147" s="87"/>
      <c r="G147" s="87">
        <v>8110</v>
      </c>
    </row>
    <row r="148" s="73" customFormat="1" ht="14.25" customHeight="1" spans="1:7">
      <c r="A148" s="87" t="s">
        <v>295</v>
      </c>
      <c r="B148" s="87" t="s">
        <v>2393</v>
      </c>
      <c r="C148" s="87">
        <v>10370</v>
      </c>
      <c r="D148" s="87">
        <v>10310</v>
      </c>
      <c r="E148" s="87">
        <v>12970</v>
      </c>
      <c r="F148" s="87"/>
      <c r="G148" s="87">
        <v>6630</v>
      </c>
    </row>
    <row r="149" s="73" customFormat="1" ht="14.25" customHeight="1" spans="1:7">
      <c r="A149" s="87" t="s">
        <v>295</v>
      </c>
      <c r="B149" s="87" t="s">
        <v>2394</v>
      </c>
      <c r="C149" s="87">
        <v>11600</v>
      </c>
      <c r="D149" s="87">
        <v>11560</v>
      </c>
      <c r="E149" s="87">
        <v>14540</v>
      </c>
      <c r="F149" s="87">
        <v>2390</v>
      </c>
      <c r="G149" s="87">
        <v>7430</v>
      </c>
    </row>
    <row r="150" s="73" customFormat="1" ht="14.25" customHeight="1" spans="1:7">
      <c r="A150" s="87" t="s">
        <v>295</v>
      </c>
      <c r="B150" s="87" t="s">
        <v>2395</v>
      </c>
      <c r="C150" s="87">
        <v>9950</v>
      </c>
      <c r="D150" s="87">
        <v>9890</v>
      </c>
      <c r="E150" s="87">
        <v>12590</v>
      </c>
      <c r="F150" s="87">
        <v>1970</v>
      </c>
      <c r="G150" s="87">
        <v>6360</v>
      </c>
    </row>
    <row r="151" s="73" customFormat="1" ht="14.25" customHeight="1" spans="1:7">
      <c r="A151" s="87" t="s">
        <v>295</v>
      </c>
      <c r="B151" s="87" t="s">
        <v>2396</v>
      </c>
      <c r="C151" s="87">
        <v>10700</v>
      </c>
      <c r="D151" s="87">
        <v>10650</v>
      </c>
      <c r="E151" s="87">
        <v>13420</v>
      </c>
      <c r="F151" s="87">
        <v>2020</v>
      </c>
      <c r="G151" s="87">
        <v>6850</v>
      </c>
    </row>
    <row r="152" s="73" customFormat="1" ht="14.25" customHeight="1" spans="1:7">
      <c r="A152" s="87" t="s">
        <v>295</v>
      </c>
      <c r="B152" s="87" t="s">
        <v>2397</v>
      </c>
      <c r="C152" s="87">
        <v>10310</v>
      </c>
      <c r="D152" s="87">
        <v>10260</v>
      </c>
      <c r="E152" s="87">
        <v>12820</v>
      </c>
      <c r="F152" s="87">
        <v>1980</v>
      </c>
      <c r="G152" s="87">
        <v>6600</v>
      </c>
    </row>
    <row r="153" s="73" customFormat="1" ht="14.25" customHeight="1" spans="1:7">
      <c r="A153" s="87" t="s">
        <v>295</v>
      </c>
      <c r="B153" s="87" t="s">
        <v>2398</v>
      </c>
      <c r="C153" s="87">
        <v>10880</v>
      </c>
      <c r="D153" s="87">
        <v>10820</v>
      </c>
      <c r="E153" s="87">
        <v>13660</v>
      </c>
      <c r="F153" s="87">
        <v>2260</v>
      </c>
      <c r="G153" s="87">
        <v>6970</v>
      </c>
    </row>
    <row r="154" s="73" customFormat="1" ht="14.25" customHeight="1" spans="1:7">
      <c r="A154" s="87" t="s">
        <v>295</v>
      </c>
      <c r="B154" s="87" t="s">
        <v>2399</v>
      </c>
      <c r="C154" s="87">
        <v>11220</v>
      </c>
      <c r="D154" s="87">
        <v>11160</v>
      </c>
      <c r="E154" s="87">
        <v>14130</v>
      </c>
      <c r="F154" s="87">
        <v>2230</v>
      </c>
      <c r="G154" s="87">
        <v>7180</v>
      </c>
    </row>
    <row r="155" s="73" customFormat="1" ht="14.25" customHeight="1" spans="1:7">
      <c r="A155" s="87" t="s">
        <v>295</v>
      </c>
      <c r="B155" s="87" t="s">
        <v>2400</v>
      </c>
      <c r="C155" s="87">
        <v>10430</v>
      </c>
      <c r="D155" s="87">
        <v>10380</v>
      </c>
      <c r="E155" s="87">
        <v>13140</v>
      </c>
      <c r="F155" s="87">
        <v>2080</v>
      </c>
      <c r="G155" s="87">
        <v>6650</v>
      </c>
    </row>
    <row r="156" s="73" customFormat="1" ht="14.25" customHeight="1" spans="1:7">
      <c r="A156" s="87" t="s">
        <v>295</v>
      </c>
      <c r="B156" s="87" t="s">
        <v>2401</v>
      </c>
      <c r="C156" s="87">
        <v>10440</v>
      </c>
      <c r="D156" s="87">
        <v>10400</v>
      </c>
      <c r="E156" s="87">
        <v>13150</v>
      </c>
      <c r="F156" s="87">
        <v>2490</v>
      </c>
      <c r="G156" s="87">
        <v>6690</v>
      </c>
    </row>
    <row r="157" s="73" customFormat="1" ht="14.25" customHeight="1" spans="1:7">
      <c r="A157" s="87" t="s">
        <v>295</v>
      </c>
      <c r="B157" s="87" t="s">
        <v>2402</v>
      </c>
      <c r="C157" s="87">
        <v>10970</v>
      </c>
      <c r="D157" s="87">
        <v>10920</v>
      </c>
      <c r="E157" s="87">
        <v>13840</v>
      </c>
      <c r="F157" s="87">
        <v>2420</v>
      </c>
      <c r="G157" s="87">
        <v>7020</v>
      </c>
    </row>
    <row r="158" s="73" customFormat="1" ht="14.25" customHeight="1" spans="1:7">
      <c r="A158" s="87" t="s">
        <v>295</v>
      </c>
      <c r="B158" s="87" t="s">
        <v>2403</v>
      </c>
      <c r="C158" s="87">
        <v>9590</v>
      </c>
      <c r="D158" s="87">
        <v>9540</v>
      </c>
      <c r="E158" s="87">
        <v>12210</v>
      </c>
      <c r="F158" s="87">
        <v>2100</v>
      </c>
      <c r="G158" s="87">
        <v>6130</v>
      </c>
    </row>
    <row r="159" s="73" customFormat="1" ht="14.25" customHeight="1" spans="1:7">
      <c r="A159" s="87" t="s">
        <v>295</v>
      </c>
      <c r="B159" s="87" t="s">
        <v>2404</v>
      </c>
      <c r="C159" s="87">
        <v>11190</v>
      </c>
      <c r="D159" s="87">
        <v>11140</v>
      </c>
      <c r="E159" s="87">
        <v>14090</v>
      </c>
      <c r="F159" s="87">
        <v>2470</v>
      </c>
      <c r="G159" s="87">
        <v>7170</v>
      </c>
    </row>
    <row r="160" s="73" customFormat="1" ht="14.25" customHeight="1" spans="1:7">
      <c r="A160" s="87" t="s">
        <v>295</v>
      </c>
      <c r="B160" s="87" t="s">
        <v>2405</v>
      </c>
      <c r="C160" s="87">
        <v>11180</v>
      </c>
      <c r="D160" s="87">
        <v>11140</v>
      </c>
      <c r="E160" s="87">
        <v>14050</v>
      </c>
      <c r="F160" s="87">
        <v>2270</v>
      </c>
      <c r="G160" s="87">
        <v>7170</v>
      </c>
    </row>
    <row r="161" s="73" customFormat="1" ht="14.25" customHeight="1" spans="1:7">
      <c r="A161" s="87" t="s">
        <v>295</v>
      </c>
      <c r="B161" s="87" t="s">
        <v>2406</v>
      </c>
      <c r="C161" s="87">
        <v>11160</v>
      </c>
      <c r="D161" s="87">
        <v>11120</v>
      </c>
      <c r="E161" s="87">
        <v>14020</v>
      </c>
      <c r="F161" s="87">
        <v>2150</v>
      </c>
      <c r="G161" s="87">
        <v>7160</v>
      </c>
    </row>
    <row r="162" s="73" customFormat="1" ht="14.25" customHeight="1" spans="1:7">
      <c r="A162" s="87" t="s">
        <v>295</v>
      </c>
      <c r="B162" s="87" t="s">
        <v>2407</v>
      </c>
      <c r="C162" s="87">
        <v>9620</v>
      </c>
      <c r="D162" s="87">
        <v>9570</v>
      </c>
      <c r="E162" s="87">
        <v>12320</v>
      </c>
      <c r="F162" s="87">
        <v>2010</v>
      </c>
      <c r="G162" s="87">
        <v>6160</v>
      </c>
    </row>
    <row r="163" s="73" customFormat="1" ht="14.25" customHeight="1" spans="1:7">
      <c r="A163" s="87" t="s">
        <v>295</v>
      </c>
      <c r="B163" s="87" t="s">
        <v>2408</v>
      </c>
      <c r="C163" s="87">
        <v>9320</v>
      </c>
      <c r="D163" s="87">
        <v>9270</v>
      </c>
      <c r="E163" s="87">
        <v>11790</v>
      </c>
      <c r="F163" s="87">
        <v>1920</v>
      </c>
      <c r="G163" s="87">
        <v>5960</v>
      </c>
    </row>
    <row r="164" s="73" customFormat="1" ht="14.25" customHeight="1" spans="1:7">
      <c r="A164" s="87" t="s">
        <v>295</v>
      </c>
      <c r="B164" s="87" t="s">
        <v>2409</v>
      </c>
      <c r="C164" s="87"/>
      <c r="D164" s="87"/>
      <c r="E164" s="87"/>
      <c r="F164" s="87">
        <v>1980</v>
      </c>
      <c r="G164" s="87"/>
    </row>
    <row r="165" s="73" customFormat="1" ht="14.25" customHeight="1" spans="1:7">
      <c r="A165" s="87" t="s">
        <v>295</v>
      </c>
      <c r="B165" s="87" t="s">
        <v>2410</v>
      </c>
      <c r="C165" s="87">
        <v>11060</v>
      </c>
      <c r="D165" s="87">
        <v>11030</v>
      </c>
      <c r="E165" s="87">
        <v>13850</v>
      </c>
      <c r="F165" s="87">
        <v>2170</v>
      </c>
      <c r="G165" s="87">
        <v>7090</v>
      </c>
    </row>
    <row r="166" s="73" customFormat="1" ht="14.25" customHeight="1" spans="1:7">
      <c r="A166" s="87" t="s">
        <v>295</v>
      </c>
      <c r="B166" s="87" t="s">
        <v>2411</v>
      </c>
      <c r="C166" s="87">
        <v>11050</v>
      </c>
      <c r="D166" s="87">
        <v>11010</v>
      </c>
      <c r="E166" s="87">
        <v>13920</v>
      </c>
      <c r="F166" s="87">
        <v>2140</v>
      </c>
      <c r="G166" s="87">
        <v>7080</v>
      </c>
    </row>
    <row r="167" s="73" customFormat="1" ht="14.25" customHeight="1" spans="1:7">
      <c r="A167" s="87" t="s">
        <v>295</v>
      </c>
      <c r="B167" s="87" t="s">
        <v>2412</v>
      </c>
      <c r="C167" s="87">
        <v>10930</v>
      </c>
      <c r="D167" s="87">
        <v>10890</v>
      </c>
      <c r="E167" s="87">
        <v>13790</v>
      </c>
      <c r="F167" s="87">
        <v>2010</v>
      </c>
      <c r="G167" s="87">
        <v>7000</v>
      </c>
    </row>
    <row r="168" s="73" customFormat="1" ht="14.25" customHeight="1" spans="1:7">
      <c r="A168" s="87" t="s">
        <v>295</v>
      </c>
      <c r="B168" s="87" t="s">
        <v>2413</v>
      </c>
      <c r="C168" s="87">
        <v>9420</v>
      </c>
      <c r="D168" s="87">
        <v>9380</v>
      </c>
      <c r="E168" s="87">
        <v>11970</v>
      </c>
      <c r="F168" s="87"/>
      <c r="G168" s="87">
        <v>6040</v>
      </c>
    </row>
    <row r="169" s="73" customFormat="1" ht="14.25" customHeight="1" spans="1:7">
      <c r="A169" s="87" t="s">
        <v>295</v>
      </c>
      <c r="B169" s="87" t="s">
        <v>2414</v>
      </c>
      <c r="C169" s="87"/>
      <c r="D169" s="87"/>
      <c r="E169" s="87"/>
      <c r="F169" s="87">
        <v>2880</v>
      </c>
      <c r="G169" s="87"/>
    </row>
    <row r="170" s="73" customFormat="1" ht="14.25" customHeight="1" spans="1:7">
      <c r="A170" s="87" t="s">
        <v>295</v>
      </c>
      <c r="B170" s="87" t="s">
        <v>2415</v>
      </c>
      <c r="C170" s="87"/>
      <c r="D170" s="87"/>
      <c r="E170" s="87"/>
      <c r="F170" s="87">
        <v>2880</v>
      </c>
      <c r="G170" s="87"/>
    </row>
    <row r="171" s="73" customFormat="1" ht="14.25" customHeight="1" spans="1:7">
      <c r="A171" s="87" t="s">
        <v>295</v>
      </c>
      <c r="B171" s="87" t="s">
        <v>2416</v>
      </c>
      <c r="C171" s="87"/>
      <c r="D171" s="87"/>
      <c r="E171" s="87"/>
      <c r="F171" s="87">
        <v>2880</v>
      </c>
      <c r="G171" s="87"/>
    </row>
    <row r="172" s="73" customFormat="1" ht="14.25" customHeight="1" spans="1:7">
      <c r="A172" s="87" t="s">
        <v>295</v>
      </c>
      <c r="B172" s="87" t="s">
        <v>2417</v>
      </c>
      <c r="C172" s="87"/>
      <c r="D172" s="87"/>
      <c r="E172" s="87"/>
      <c r="F172" s="87">
        <v>2880</v>
      </c>
      <c r="G172" s="87"/>
    </row>
    <row r="173" s="73" customFormat="1" ht="14.25" customHeight="1" spans="1:7">
      <c r="A173" s="87" t="s">
        <v>295</v>
      </c>
      <c r="B173" s="87" t="s">
        <v>2418</v>
      </c>
      <c r="C173" s="87"/>
      <c r="D173" s="87"/>
      <c r="E173" s="87"/>
      <c r="F173" s="87">
        <v>2150</v>
      </c>
      <c r="G173" s="87"/>
    </row>
    <row r="174" s="73" customFormat="1" ht="14.25" customHeight="1" spans="1:7">
      <c r="A174" s="87" t="s">
        <v>295</v>
      </c>
      <c r="B174" s="87" t="s">
        <v>2419</v>
      </c>
      <c r="C174" s="87"/>
      <c r="D174" s="87"/>
      <c r="E174" s="87"/>
      <c r="F174" s="87">
        <v>2030</v>
      </c>
      <c r="G174" s="87"/>
    </row>
    <row r="175" s="73" customFormat="1" ht="14.25" customHeight="1" spans="1:7">
      <c r="A175" s="87" t="s">
        <v>295</v>
      </c>
      <c r="B175" s="87" t="s">
        <v>2420</v>
      </c>
      <c r="C175" s="87"/>
      <c r="D175" s="87"/>
      <c r="E175" s="87"/>
      <c r="F175" s="87">
        <v>2780</v>
      </c>
      <c r="G175" s="87"/>
    </row>
    <row r="176" s="73" customFormat="1" ht="14.25" customHeight="1" spans="1:7">
      <c r="A176" s="87" t="s">
        <v>295</v>
      </c>
      <c r="B176" s="87" t="s">
        <v>2421</v>
      </c>
      <c r="C176" s="87"/>
      <c r="D176" s="87"/>
      <c r="E176" s="87"/>
      <c r="F176" s="87">
        <v>2780</v>
      </c>
      <c r="G176" s="87"/>
    </row>
    <row r="177" s="73" customFormat="1" ht="14.25" customHeight="1" spans="1:7">
      <c r="A177" s="87" t="s">
        <v>295</v>
      </c>
      <c r="B177" s="87" t="s">
        <v>2422</v>
      </c>
      <c r="C177" s="87"/>
      <c r="D177" s="87"/>
      <c r="E177" s="87"/>
      <c r="F177" s="87">
        <v>2780</v>
      </c>
      <c r="G177" s="87"/>
    </row>
    <row r="178" s="73" customFormat="1" ht="14.25" customHeight="1" spans="1:7">
      <c r="A178" s="87" t="s">
        <v>295</v>
      </c>
      <c r="B178" s="87" t="s">
        <v>2423</v>
      </c>
      <c r="C178" s="87"/>
      <c r="D178" s="87"/>
      <c r="E178" s="87"/>
      <c r="F178" s="87">
        <v>2060</v>
      </c>
      <c r="G178" s="87"/>
    </row>
    <row r="179" s="73" customFormat="1" ht="14.25" customHeight="1" spans="1:7">
      <c r="A179" s="87" t="s">
        <v>295</v>
      </c>
      <c r="B179" s="87" t="s">
        <v>2424</v>
      </c>
      <c r="C179" s="87"/>
      <c r="D179" s="87"/>
      <c r="E179" s="87"/>
      <c r="F179" s="87">
        <v>2120</v>
      </c>
      <c r="G179" s="87"/>
    </row>
    <row r="180" s="73" customFormat="1" ht="14.25" customHeight="1" spans="1:7">
      <c r="A180" s="87" t="s">
        <v>295</v>
      </c>
      <c r="B180" s="87" t="s">
        <v>2425</v>
      </c>
      <c r="C180" s="87"/>
      <c r="D180" s="87"/>
      <c r="E180" s="87"/>
      <c r="F180" s="87">
        <v>2340</v>
      </c>
      <c r="G180" s="87"/>
    </row>
    <row r="181" s="73" customFormat="1" ht="14.25" customHeight="1" spans="1:7">
      <c r="A181" s="87" t="s">
        <v>295</v>
      </c>
      <c r="B181" s="87" t="s">
        <v>2426</v>
      </c>
      <c r="C181" s="87"/>
      <c r="D181" s="87"/>
      <c r="E181" s="87"/>
      <c r="F181" s="87">
        <v>2340</v>
      </c>
      <c r="G181" s="87"/>
    </row>
    <row r="182" s="73" customFormat="1" ht="14.25" customHeight="1" spans="1:7">
      <c r="A182" s="87" t="s">
        <v>295</v>
      </c>
      <c r="B182" s="87" t="s">
        <v>2427</v>
      </c>
      <c r="C182" s="87"/>
      <c r="D182" s="87"/>
      <c r="E182" s="87"/>
      <c r="F182" s="87">
        <v>2340</v>
      </c>
      <c r="G182" s="87"/>
    </row>
    <row r="183" s="73" customFormat="1" ht="14.25" customHeight="1" spans="1:7">
      <c r="A183" s="87" t="s">
        <v>295</v>
      </c>
      <c r="B183" s="87" t="s">
        <v>2428</v>
      </c>
      <c r="C183" s="87"/>
      <c r="D183" s="87"/>
      <c r="E183" s="87"/>
      <c r="F183" s="87">
        <v>2340</v>
      </c>
      <c r="G183" s="87"/>
    </row>
    <row r="184" s="73" customFormat="1" ht="14.25" customHeight="1" spans="1:7">
      <c r="A184" s="87" t="s">
        <v>295</v>
      </c>
      <c r="B184" s="87" t="s">
        <v>2429</v>
      </c>
      <c r="C184" s="87"/>
      <c r="D184" s="87"/>
      <c r="E184" s="87"/>
      <c r="F184" s="87">
        <v>2340</v>
      </c>
      <c r="G184" s="87"/>
    </row>
    <row r="185" s="73" customFormat="1" ht="14.25" customHeight="1" spans="1:7">
      <c r="A185" s="87" t="s">
        <v>295</v>
      </c>
      <c r="B185" s="87" t="s">
        <v>2430</v>
      </c>
      <c r="C185" s="87"/>
      <c r="D185" s="87"/>
      <c r="E185" s="87"/>
      <c r="F185" s="87">
        <v>2530</v>
      </c>
      <c r="G185" s="87"/>
    </row>
    <row r="186" s="73" customFormat="1" ht="14.25" customHeight="1" spans="1:7">
      <c r="A186" s="87" t="s">
        <v>295</v>
      </c>
      <c r="B186" s="87" t="s">
        <v>2431</v>
      </c>
      <c r="C186" s="87"/>
      <c r="D186" s="87"/>
      <c r="E186" s="87"/>
      <c r="F186" s="87">
        <v>2550</v>
      </c>
      <c r="G186" s="87"/>
    </row>
    <row r="187" s="73" customFormat="1" ht="14.25" customHeight="1" spans="1:7">
      <c r="A187" s="87" t="s">
        <v>295</v>
      </c>
      <c r="B187" s="87" t="s">
        <v>2432</v>
      </c>
      <c r="C187" s="87"/>
      <c r="D187" s="87"/>
      <c r="E187" s="87"/>
      <c r="F187" s="87">
        <v>2070</v>
      </c>
      <c r="G187" s="87"/>
    </row>
    <row r="188" s="73" customFormat="1" ht="14.25" customHeight="1" spans="1:7">
      <c r="A188" s="87" t="s">
        <v>295</v>
      </c>
      <c r="B188" s="87" t="s">
        <v>2433</v>
      </c>
      <c r="C188" s="87"/>
      <c r="D188" s="87"/>
      <c r="E188" s="87"/>
      <c r="F188" s="87">
        <v>2340</v>
      </c>
      <c r="G188" s="87"/>
    </row>
    <row r="189" s="73" customFormat="1" ht="14.25" customHeight="1" spans="1:7">
      <c r="A189" s="95" t="s">
        <v>295</v>
      </c>
      <c r="B189" s="98" t="s">
        <v>2434</v>
      </c>
      <c r="C189" s="98"/>
      <c r="D189" s="98"/>
      <c r="E189" s="98"/>
      <c r="F189" s="98">
        <v>2050</v>
      </c>
      <c r="G189" s="98"/>
    </row>
    <row r="190" s="73" customFormat="1" ht="14.25" customHeight="1" spans="1:7">
      <c r="A190" s="92" t="s">
        <v>303</v>
      </c>
      <c r="B190" s="82" t="s">
        <v>2435</v>
      </c>
      <c r="C190" s="82">
        <v>8830</v>
      </c>
      <c r="D190" s="82">
        <v>8790</v>
      </c>
      <c r="E190" s="82">
        <v>11630</v>
      </c>
      <c r="F190" s="82">
        <v>1790</v>
      </c>
      <c r="G190" s="99">
        <v>5550</v>
      </c>
    </row>
    <row r="191" s="73" customFormat="1" ht="14.25" customHeight="1" spans="1:7">
      <c r="A191" s="87" t="s">
        <v>303</v>
      </c>
      <c r="B191" s="87" t="s">
        <v>2436</v>
      </c>
      <c r="C191" s="87">
        <v>9780</v>
      </c>
      <c r="D191" s="87">
        <v>9710</v>
      </c>
      <c r="E191" s="87">
        <v>12550</v>
      </c>
      <c r="F191" s="87">
        <v>1980</v>
      </c>
      <c r="G191" s="100">
        <v>6130</v>
      </c>
    </row>
    <row r="192" s="73" customFormat="1" ht="14.25" customHeight="1" spans="1:7">
      <c r="A192" s="87" t="s">
        <v>303</v>
      </c>
      <c r="B192" s="87" t="s">
        <v>2437</v>
      </c>
      <c r="C192" s="87">
        <v>8180</v>
      </c>
      <c r="D192" s="87">
        <v>8140</v>
      </c>
      <c r="E192" s="87">
        <v>10870</v>
      </c>
      <c r="F192" s="87">
        <v>1690</v>
      </c>
      <c r="G192" s="100">
        <v>5140</v>
      </c>
    </row>
    <row r="193" s="73" customFormat="1" ht="14.25" customHeight="1" spans="1:7">
      <c r="A193" s="87" t="s">
        <v>303</v>
      </c>
      <c r="B193" s="87" t="s">
        <v>2438</v>
      </c>
      <c r="C193" s="87">
        <v>8440</v>
      </c>
      <c r="D193" s="87">
        <v>8390</v>
      </c>
      <c r="E193" s="87">
        <v>11210</v>
      </c>
      <c r="F193" s="87">
        <v>1600</v>
      </c>
      <c r="G193" s="100">
        <v>5300</v>
      </c>
    </row>
    <row r="194" s="73" customFormat="1" ht="14.25" customHeight="1" spans="1:7">
      <c r="A194" s="87" t="s">
        <v>303</v>
      </c>
      <c r="B194" s="87" t="s">
        <v>2439</v>
      </c>
      <c r="C194" s="87">
        <v>8780</v>
      </c>
      <c r="D194" s="87">
        <v>8730</v>
      </c>
      <c r="E194" s="87">
        <v>11550</v>
      </c>
      <c r="F194" s="87">
        <v>1660</v>
      </c>
      <c r="G194" s="100">
        <v>5520</v>
      </c>
    </row>
    <row r="195" s="73" customFormat="1" ht="14.25" customHeight="1" spans="1:7">
      <c r="A195" s="87" t="s">
        <v>303</v>
      </c>
      <c r="B195" s="87" t="s">
        <v>2440</v>
      </c>
      <c r="C195" s="87">
        <v>8720</v>
      </c>
      <c r="D195" s="87">
        <v>8670</v>
      </c>
      <c r="E195" s="87">
        <v>11450</v>
      </c>
      <c r="F195" s="87">
        <v>1720</v>
      </c>
      <c r="G195" s="100">
        <v>5480</v>
      </c>
    </row>
    <row r="196" s="73" customFormat="1" ht="14.25" customHeight="1" spans="1:7">
      <c r="A196" s="87" t="s">
        <v>303</v>
      </c>
      <c r="B196" s="87" t="s">
        <v>2441</v>
      </c>
      <c r="C196" s="87">
        <v>8460</v>
      </c>
      <c r="D196" s="87">
        <v>8410</v>
      </c>
      <c r="E196" s="87">
        <v>11230</v>
      </c>
      <c r="F196" s="87">
        <v>1730</v>
      </c>
      <c r="G196" s="100">
        <v>5310</v>
      </c>
    </row>
    <row r="197" s="73" customFormat="1" ht="14.25" customHeight="1" spans="1:7">
      <c r="A197" s="87" t="s">
        <v>303</v>
      </c>
      <c r="B197" s="87" t="s">
        <v>2442</v>
      </c>
      <c r="C197" s="87">
        <v>8790</v>
      </c>
      <c r="D197" s="87">
        <v>8730</v>
      </c>
      <c r="E197" s="87">
        <v>11560</v>
      </c>
      <c r="F197" s="87">
        <v>1750</v>
      </c>
      <c r="G197" s="100">
        <v>5520</v>
      </c>
    </row>
    <row r="198" s="73" customFormat="1" ht="14.25" customHeight="1" spans="1:7">
      <c r="A198" s="87" t="s">
        <v>303</v>
      </c>
      <c r="B198" s="87" t="s">
        <v>2443</v>
      </c>
      <c r="C198" s="87">
        <v>8720</v>
      </c>
      <c r="D198" s="87">
        <v>8680</v>
      </c>
      <c r="E198" s="87">
        <v>11470</v>
      </c>
      <c r="F198" s="87"/>
      <c r="G198" s="100">
        <v>5480</v>
      </c>
    </row>
    <row r="199" s="73" customFormat="1" ht="14.25" customHeight="1" spans="1:7">
      <c r="A199" s="87" t="s">
        <v>303</v>
      </c>
      <c r="B199" s="87" t="s">
        <v>2444</v>
      </c>
      <c r="C199" s="87">
        <v>8690</v>
      </c>
      <c r="D199" s="87">
        <v>8630</v>
      </c>
      <c r="E199" s="87">
        <v>11350</v>
      </c>
      <c r="F199" s="87">
        <v>1600</v>
      </c>
      <c r="G199" s="100">
        <v>5450</v>
      </c>
    </row>
    <row r="200" s="73" customFormat="1" ht="14.25" customHeight="1" spans="1:7">
      <c r="A200" s="87" t="s">
        <v>303</v>
      </c>
      <c r="B200" s="87" t="s">
        <v>2445</v>
      </c>
      <c r="C200" s="87"/>
      <c r="D200" s="87"/>
      <c r="E200" s="87"/>
      <c r="F200" s="87">
        <v>1510</v>
      </c>
      <c r="G200" s="100"/>
    </row>
    <row r="201" s="73" customFormat="1" ht="14.25" customHeight="1" spans="1:7">
      <c r="A201" s="87" t="s">
        <v>303</v>
      </c>
      <c r="B201" s="87" t="s">
        <v>2446</v>
      </c>
      <c r="C201" s="87">
        <v>8440</v>
      </c>
      <c r="D201" s="87">
        <v>8390</v>
      </c>
      <c r="E201" s="87">
        <v>10930</v>
      </c>
      <c r="F201" s="87">
        <v>1500</v>
      </c>
      <c r="G201" s="100">
        <v>5300</v>
      </c>
    </row>
    <row r="202" s="73" customFormat="1" ht="14.25" customHeight="1" spans="1:7">
      <c r="A202" s="87" t="s">
        <v>303</v>
      </c>
      <c r="B202" s="87" t="s">
        <v>2447</v>
      </c>
      <c r="C202" s="87">
        <v>8530</v>
      </c>
      <c r="D202" s="87">
        <v>8490</v>
      </c>
      <c r="E202" s="87">
        <v>11160</v>
      </c>
      <c r="F202" s="87">
        <v>1580</v>
      </c>
      <c r="G202" s="100">
        <v>5360</v>
      </c>
    </row>
    <row r="203" s="73" customFormat="1" ht="14.25" customHeight="1" spans="1:7">
      <c r="A203" s="87" t="s">
        <v>303</v>
      </c>
      <c r="B203" s="87" t="s">
        <v>2448</v>
      </c>
      <c r="C203" s="87">
        <v>8130</v>
      </c>
      <c r="D203" s="87">
        <v>8070</v>
      </c>
      <c r="E203" s="87">
        <v>10820</v>
      </c>
      <c r="F203" s="87">
        <v>1690</v>
      </c>
      <c r="G203" s="100">
        <v>5100</v>
      </c>
    </row>
    <row r="204" s="73" customFormat="1" ht="14.25" customHeight="1" spans="1:7">
      <c r="A204" s="87" t="s">
        <v>303</v>
      </c>
      <c r="B204" s="87" t="s">
        <v>2449</v>
      </c>
      <c r="C204" s="87">
        <v>8350</v>
      </c>
      <c r="D204" s="87">
        <v>8290</v>
      </c>
      <c r="E204" s="87">
        <v>11080</v>
      </c>
      <c r="F204" s="87">
        <v>1450</v>
      </c>
      <c r="G204" s="100">
        <v>5240</v>
      </c>
    </row>
    <row r="205" s="73" customFormat="1" ht="14.25" customHeight="1" spans="1:7">
      <c r="A205" s="87" t="s">
        <v>303</v>
      </c>
      <c r="B205" s="87" t="s">
        <v>2450</v>
      </c>
      <c r="C205" s="87">
        <v>7190</v>
      </c>
      <c r="D205" s="87">
        <v>7130</v>
      </c>
      <c r="E205" s="87">
        <v>9490</v>
      </c>
      <c r="F205" s="87">
        <v>1470</v>
      </c>
      <c r="G205" s="100">
        <v>4510</v>
      </c>
    </row>
    <row r="206" s="73" customFormat="1" ht="14.25" customHeight="1" spans="1:7">
      <c r="A206" s="87" t="s">
        <v>303</v>
      </c>
      <c r="B206" s="87" t="s">
        <v>2451</v>
      </c>
      <c r="C206" s="87">
        <v>7000</v>
      </c>
      <c r="D206" s="87">
        <v>6950</v>
      </c>
      <c r="E206" s="87">
        <v>9170</v>
      </c>
      <c r="F206" s="87">
        <v>1400</v>
      </c>
      <c r="G206" s="100">
        <v>4380</v>
      </c>
    </row>
    <row r="207" s="73" customFormat="1" ht="14.25" customHeight="1" spans="1:7">
      <c r="A207" s="87" t="s">
        <v>303</v>
      </c>
      <c r="B207" s="87" t="s">
        <v>2452</v>
      </c>
      <c r="C207" s="87">
        <v>6950</v>
      </c>
      <c r="D207" s="87">
        <v>6900</v>
      </c>
      <c r="E207" s="87">
        <v>9110</v>
      </c>
      <c r="F207" s="87">
        <v>1790</v>
      </c>
      <c r="G207" s="100">
        <v>4360</v>
      </c>
    </row>
    <row r="208" s="73" customFormat="1" ht="14.25" customHeight="1" spans="1:7">
      <c r="A208" s="87" t="s">
        <v>303</v>
      </c>
      <c r="B208" s="87" t="s">
        <v>2453</v>
      </c>
      <c r="C208" s="87">
        <v>9470</v>
      </c>
      <c r="D208" s="87">
        <v>9410</v>
      </c>
      <c r="E208" s="87">
        <v>12330</v>
      </c>
      <c r="F208" s="87">
        <v>1770</v>
      </c>
      <c r="G208" s="100">
        <v>5940</v>
      </c>
    </row>
    <row r="209" s="73" customFormat="1" ht="14.25" customHeight="1" spans="1:7">
      <c r="A209" s="87" t="s">
        <v>303</v>
      </c>
      <c r="B209" s="87" t="s">
        <v>2454</v>
      </c>
      <c r="C209" s="87">
        <v>8740</v>
      </c>
      <c r="D209" s="87">
        <v>8700</v>
      </c>
      <c r="E209" s="87">
        <v>11500</v>
      </c>
      <c r="F209" s="87">
        <v>1730</v>
      </c>
      <c r="G209" s="100">
        <v>5490</v>
      </c>
    </row>
    <row r="210" s="73" customFormat="1" ht="14.25" customHeight="1" spans="1:7">
      <c r="A210" s="87" t="s">
        <v>303</v>
      </c>
      <c r="B210" s="87" t="s">
        <v>2455</v>
      </c>
      <c r="C210" s="87">
        <v>8710</v>
      </c>
      <c r="D210" s="87">
        <v>8660</v>
      </c>
      <c r="E210" s="87">
        <v>11440</v>
      </c>
      <c r="F210" s="87">
        <v>1740</v>
      </c>
      <c r="G210" s="100">
        <v>5470</v>
      </c>
    </row>
    <row r="211" s="73" customFormat="1" ht="14.25" customHeight="1" spans="1:7">
      <c r="A211" s="87" t="s">
        <v>303</v>
      </c>
      <c r="B211" s="87" t="s">
        <v>2456</v>
      </c>
      <c r="C211" s="87">
        <v>9480</v>
      </c>
      <c r="D211" s="87">
        <v>9430</v>
      </c>
      <c r="E211" s="87">
        <v>12360</v>
      </c>
      <c r="F211" s="87">
        <v>1820</v>
      </c>
      <c r="G211" s="100">
        <v>5950</v>
      </c>
    </row>
    <row r="212" s="73" customFormat="1" ht="14.25" customHeight="1" spans="1:7">
      <c r="A212" s="87" t="s">
        <v>303</v>
      </c>
      <c r="B212" s="87" t="s">
        <v>2457</v>
      </c>
      <c r="C212" s="87">
        <v>9070</v>
      </c>
      <c r="D212" s="87">
        <v>9020</v>
      </c>
      <c r="E212" s="87">
        <v>11720</v>
      </c>
      <c r="F212" s="87">
        <v>1850</v>
      </c>
      <c r="G212" s="100">
        <v>5700</v>
      </c>
    </row>
    <row r="213" s="73" customFormat="1" ht="14.25" customHeight="1" spans="1:7">
      <c r="A213" s="87" t="s">
        <v>303</v>
      </c>
      <c r="B213" s="87" t="s">
        <v>2458</v>
      </c>
      <c r="C213" s="87">
        <v>9030</v>
      </c>
      <c r="D213" s="87">
        <v>8980</v>
      </c>
      <c r="E213" s="87">
        <v>11670</v>
      </c>
      <c r="F213" s="87">
        <v>1690</v>
      </c>
      <c r="G213" s="100">
        <v>5670</v>
      </c>
    </row>
    <row r="214" s="73" customFormat="1" ht="14.25" customHeight="1" spans="1:7">
      <c r="A214" s="87" t="s">
        <v>303</v>
      </c>
      <c r="B214" s="87" t="s">
        <v>2459</v>
      </c>
      <c r="C214" s="87">
        <v>8090</v>
      </c>
      <c r="D214" s="87">
        <v>8030</v>
      </c>
      <c r="E214" s="87">
        <v>10780</v>
      </c>
      <c r="F214" s="87">
        <v>1570</v>
      </c>
      <c r="G214" s="100">
        <v>5070</v>
      </c>
    </row>
    <row r="215" s="73" customFormat="1" ht="14.25" customHeight="1" spans="1:7">
      <c r="A215" s="87" t="s">
        <v>303</v>
      </c>
      <c r="B215" s="87" t="s">
        <v>2460</v>
      </c>
      <c r="C215" s="87">
        <v>7950</v>
      </c>
      <c r="D215" s="87">
        <v>7900</v>
      </c>
      <c r="E215" s="87">
        <v>10560</v>
      </c>
      <c r="F215" s="87">
        <v>1630</v>
      </c>
      <c r="G215" s="100">
        <v>4990</v>
      </c>
    </row>
    <row r="216" s="73" customFormat="1" ht="14.25" customHeight="1" spans="1:7">
      <c r="A216" s="87" t="s">
        <v>303</v>
      </c>
      <c r="B216" s="87" t="s">
        <v>2461</v>
      </c>
      <c r="C216" s="87">
        <v>8490</v>
      </c>
      <c r="D216" s="87">
        <v>8440</v>
      </c>
      <c r="E216" s="87">
        <v>11260</v>
      </c>
      <c r="F216" s="87">
        <v>1690</v>
      </c>
      <c r="G216" s="100">
        <v>5330</v>
      </c>
    </row>
    <row r="217" s="73" customFormat="1" ht="14.25" customHeight="1" spans="1:7">
      <c r="A217" s="87" t="s">
        <v>303</v>
      </c>
      <c r="B217" s="87" t="s">
        <v>2462</v>
      </c>
      <c r="C217" s="87">
        <v>8200</v>
      </c>
      <c r="D217" s="87">
        <v>8150</v>
      </c>
      <c r="E217" s="87">
        <v>10910</v>
      </c>
      <c r="F217" s="87">
        <v>1670</v>
      </c>
      <c r="G217" s="100">
        <v>5150</v>
      </c>
    </row>
    <row r="218" s="73" customFormat="1" ht="14.25" customHeight="1" spans="1:7">
      <c r="A218" s="87" t="s">
        <v>303</v>
      </c>
      <c r="B218" s="87" t="s">
        <v>2463</v>
      </c>
      <c r="C218" s="87"/>
      <c r="D218" s="87"/>
      <c r="E218" s="87"/>
      <c r="F218" s="87">
        <v>2040</v>
      </c>
      <c r="G218" s="100"/>
    </row>
    <row r="219" s="73" customFormat="1" ht="14.25" customHeight="1" spans="1:7">
      <c r="A219" s="87" t="s">
        <v>303</v>
      </c>
      <c r="B219" s="87" t="s">
        <v>2464</v>
      </c>
      <c r="C219" s="87"/>
      <c r="D219" s="87"/>
      <c r="E219" s="87"/>
      <c r="F219" s="87">
        <v>2040</v>
      </c>
      <c r="G219" s="100"/>
    </row>
    <row r="220" s="73" customFormat="1" ht="14.25" customHeight="1" spans="1:7">
      <c r="A220" s="87" t="s">
        <v>303</v>
      </c>
      <c r="B220" s="87" t="s">
        <v>2465</v>
      </c>
      <c r="C220" s="87"/>
      <c r="D220" s="87"/>
      <c r="E220" s="87"/>
      <c r="F220" s="87">
        <v>2040</v>
      </c>
      <c r="G220" s="100"/>
    </row>
    <row r="221" s="73" customFormat="1" ht="14.25" customHeight="1" spans="1:7">
      <c r="A221" s="87" t="s">
        <v>303</v>
      </c>
      <c r="B221" s="87" t="s">
        <v>2466</v>
      </c>
      <c r="C221" s="87"/>
      <c r="D221" s="87"/>
      <c r="E221" s="87"/>
      <c r="F221" s="87">
        <v>2040</v>
      </c>
      <c r="G221" s="100"/>
    </row>
    <row r="222" s="73" customFormat="1" ht="14.25" customHeight="1" spans="1:7">
      <c r="A222" s="87" t="s">
        <v>303</v>
      </c>
      <c r="B222" s="87" t="s">
        <v>2467</v>
      </c>
      <c r="C222" s="87"/>
      <c r="D222" s="87"/>
      <c r="E222" s="87"/>
      <c r="F222" s="87">
        <v>2040</v>
      </c>
      <c r="G222" s="100"/>
    </row>
    <row r="223" s="73" customFormat="1" ht="14.25" customHeight="1" spans="1:7">
      <c r="A223" s="87" t="s">
        <v>303</v>
      </c>
      <c r="B223" s="87" t="s">
        <v>2468</v>
      </c>
      <c r="C223" s="87"/>
      <c r="D223" s="87"/>
      <c r="E223" s="87"/>
      <c r="F223" s="87">
        <v>1930</v>
      </c>
      <c r="G223" s="100"/>
    </row>
    <row r="224" s="73" customFormat="1" ht="14.25" customHeight="1" spans="1:7">
      <c r="A224" s="87" t="s">
        <v>303</v>
      </c>
      <c r="B224" s="87" t="s">
        <v>2469</v>
      </c>
      <c r="C224" s="87"/>
      <c r="D224" s="87"/>
      <c r="E224" s="87"/>
      <c r="F224" s="87">
        <v>1930</v>
      </c>
      <c r="G224" s="100"/>
    </row>
    <row r="225" s="73" customFormat="1" ht="14.25" customHeight="1" spans="1:7">
      <c r="A225" s="87" t="s">
        <v>303</v>
      </c>
      <c r="B225" s="87" t="s">
        <v>2470</v>
      </c>
      <c r="C225" s="87"/>
      <c r="D225" s="87"/>
      <c r="E225" s="87"/>
      <c r="F225" s="87">
        <v>1930</v>
      </c>
      <c r="G225" s="100"/>
    </row>
    <row r="226" s="73" customFormat="1" ht="14.25" customHeight="1" spans="1:7">
      <c r="A226" s="87" t="s">
        <v>303</v>
      </c>
      <c r="B226" s="87" t="s">
        <v>2471</v>
      </c>
      <c r="C226" s="87"/>
      <c r="D226" s="87"/>
      <c r="E226" s="87"/>
      <c r="F226" s="87">
        <v>1700</v>
      </c>
      <c r="G226" s="100"/>
    </row>
    <row r="227" s="73" customFormat="1" ht="14.25" customHeight="1" spans="1:7">
      <c r="A227" s="87" t="s">
        <v>303</v>
      </c>
      <c r="B227" s="87" t="s">
        <v>2759</v>
      </c>
      <c r="C227" s="87"/>
      <c r="D227" s="87"/>
      <c r="E227" s="87"/>
      <c r="F227" s="87">
        <v>1520</v>
      </c>
      <c r="G227" s="100"/>
    </row>
    <row r="228" s="73" customFormat="1" ht="14.25" customHeight="1" spans="1:7">
      <c r="A228" s="87" t="s">
        <v>303</v>
      </c>
      <c r="B228" s="87" t="s">
        <v>2760</v>
      </c>
      <c r="C228" s="87"/>
      <c r="D228" s="87"/>
      <c r="E228" s="87"/>
      <c r="F228" s="87">
        <v>1520</v>
      </c>
      <c r="G228" s="100"/>
    </row>
    <row r="229" s="73" customFormat="1" ht="14.25" customHeight="1" spans="1:7">
      <c r="A229" s="87" t="s">
        <v>303</v>
      </c>
      <c r="B229" s="87" t="s">
        <v>2761</v>
      </c>
      <c r="C229" s="87"/>
      <c r="D229" s="87"/>
      <c r="E229" s="87"/>
      <c r="F229" s="87">
        <v>1520</v>
      </c>
      <c r="G229" s="100"/>
    </row>
    <row r="230" s="73" customFormat="1" ht="14.25" customHeight="1" spans="1:7">
      <c r="A230" s="87" t="s">
        <v>303</v>
      </c>
      <c r="B230" s="87" t="s">
        <v>2475</v>
      </c>
      <c r="C230" s="87"/>
      <c r="D230" s="87"/>
      <c r="E230" s="87"/>
      <c r="F230" s="87">
        <v>1820</v>
      </c>
      <c r="G230" s="100"/>
    </row>
    <row r="231" s="73" customFormat="1" ht="14.25" customHeight="1" spans="1:7">
      <c r="A231" s="87" t="s">
        <v>303</v>
      </c>
      <c r="B231" s="87" t="s">
        <v>2476</v>
      </c>
      <c r="C231" s="87"/>
      <c r="D231" s="87"/>
      <c r="E231" s="87"/>
      <c r="F231" s="87">
        <v>1760</v>
      </c>
      <c r="G231" s="100"/>
    </row>
    <row r="232" s="73" customFormat="1" ht="14.25" customHeight="1" spans="1:7">
      <c r="A232" s="87" t="s">
        <v>303</v>
      </c>
      <c r="B232" s="87" t="s">
        <v>2762</v>
      </c>
      <c r="C232" s="87"/>
      <c r="D232" s="87"/>
      <c r="E232" s="87"/>
      <c r="F232" s="87">
        <v>1840</v>
      </c>
      <c r="G232" s="100"/>
    </row>
    <row r="233" s="73" customFormat="1" ht="14.25" customHeight="1" spans="1:7">
      <c r="A233" s="101" t="s">
        <v>303</v>
      </c>
      <c r="B233" s="94" t="s">
        <v>2478</v>
      </c>
      <c r="C233" s="94"/>
      <c r="D233" s="94"/>
      <c r="E233" s="94"/>
      <c r="F233" s="94">
        <v>1770</v>
      </c>
      <c r="G233" s="102"/>
    </row>
    <row r="234" s="73" customFormat="1" ht="14.25" customHeight="1" spans="1:7">
      <c r="A234" s="92" t="s">
        <v>311</v>
      </c>
      <c r="B234" s="82" t="s">
        <v>2479</v>
      </c>
      <c r="C234" s="87">
        <v>6980</v>
      </c>
      <c r="D234" s="87">
        <v>6970</v>
      </c>
      <c r="E234" s="87">
        <v>8720</v>
      </c>
      <c r="F234" s="87">
        <v>1350</v>
      </c>
      <c r="G234" s="87">
        <v>4280</v>
      </c>
    </row>
    <row r="235" s="73" customFormat="1" ht="14.25" customHeight="1" spans="1:7">
      <c r="A235" s="87" t="s">
        <v>311</v>
      </c>
      <c r="B235" s="87" t="s">
        <v>2480</v>
      </c>
      <c r="C235" s="87">
        <v>7620</v>
      </c>
      <c r="D235" s="87">
        <v>7580</v>
      </c>
      <c r="E235" s="87">
        <v>9360</v>
      </c>
      <c r="F235" s="87">
        <v>1490</v>
      </c>
      <c r="G235" s="87">
        <v>4650</v>
      </c>
    </row>
    <row r="236" s="73" customFormat="1" ht="14.25" customHeight="1" spans="1:7">
      <c r="A236" s="87" t="s">
        <v>311</v>
      </c>
      <c r="B236" s="87" t="s">
        <v>2481</v>
      </c>
      <c r="C236" s="87">
        <v>6650</v>
      </c>
      <c r="D236" s="87">
        <v>6630</v>
      </c>
      <c r="E236" s="87">
        <v>8330</v>
      </c>
      <c r="F236" s="87">
        <v>1250</v>
      </c>
      <c r="G236" s="87">
        <v>4070</v>
      </c>
    </row>
    <row r="237" s="73" customFormat="1" ht="14.25" customHeight="1" spans="1:7">
      <c r="A237" s="87" t="s">
        <v>311</v>
      </c>
      <c r="B237" s="87" t="s">
        <v>2482</v>
      </c>
      <c r="C237" s="87">
        <v>5850</v>
      </c>
      <c r="D237" s="87">
        <v>5820</v>
      </c>
      <c r="E237" s="87">
        <v>7260</v>
      </c>
      <c r="F237" s="87">
        <v>1140</v>
      </c>
      <c r="G237" s="87">
        <v>3570</v>
      </c>
    </row>
    <row r="238" s="73" customFormat="1" ht="14.25" customHeight="1" spans="1:7">
      <c r="A238" s="87" t="s">
        <v>311</v>
      </c>
      <c r="B238" s="87" t="s">
        <v>2483</v>
      </c>
      <c r="C238" s="87">
        <v>6920</v>
      </c>
      <c r="D238" s="87">
        <v>6890</v>
      </c>
      <c r="E238" s="87">
        <v>8640</v>
      </c>
      <c r="F238" s="87">
        <v>1310</v>
      </c>
      <c r="G238" s="87">
        <v>4230</v>
      </c>
    </row>
    <row r="239" s="73" customFormat="1" ht="14.25" customHeight="1" spans="1:7">
      <c r="A239" s="87" t="s">
        <v>311</v>
      </c>
      <c r="B239" s="87" t="s">
        <v>2484</v>
      </c>
      <c r="C239" s="87">
        <v>6780</v>
      </c>
      <c r="D239" s="87">
        <v>6750</v>
      </c>
      <c r="E239" s="87">
        <v>8440</v>
      </c>
      <c r="F239" s="87">
        <v>1160</v>
      </c>
      <c r="G239" s="87">
        <v>4140</v>
      </c>
    </row>
    <row r="240" s="73" customFormat="1" ht="14.25" customHeight="1" spans="1:7">
      <c r="A240" s="87" t="s">
        <v>311</v>
      </c>
      <c r="B240" s="87" t="s">
        <v>2485</v>
      </c>
      <c r="C240" s="87">
        <v>5420</v>
      </c>
      <c r="D240" s="87">
        <v>5380</v>
      </c>
      <c r="E240" s="87">
        <v>6640</v>
      </c>
      <c r="F240" s="87">
        <v>1020</v>
      </c>
      <c r="G240" s="87">
        <v>3300</v>
      </c>
    </row>
    <row r="241" s="73" customFormat="1" ht="14.25" customHeight="1" spans="1:7">
      <c r="A241" s="87" t="s">
        <v>311</v>
      </c>
      <c r="B241" s="87" t="s">
        <v>2486</v>
      </c>
      <c r="C241" s="87">
        <v>6660</v>
      </c>
      <c r="D241" s="87">
        <v>6640</v>
      </c>
      <c r="E241" s="87">
        <v>8340</v>
      </c>
      <c r="F241" s="87">
        <v>1130</v>
      </c>
      <c r="G241" s="87">
        <v>4080</v>
      </c>
    </row>
    <row r="242" s="73" customFormat="1" ht="14.25" customHeight="1" spans="1:7">
      <c r="A242" s="87" t="s">
        <v>311</v>
      </c>
      <c r="B242" s="87" t="s">
        <v>2487</v>
      </c>
      <c r="C242" s="87">
        <v>6580</v>
      </c>
      <c r="D242" s="87">
        <v>6550</v>
      </c>
      <c r="E242" s="87">
        <v>8090</v>
      </c>
      <c r="F242" s="87">
        <v>1240</v>
      </c>
      <c r="G242" s="87">
        <v>4020</v>
      </c>
    </row>
    <row r="243" s="73" customFormat="1" ht="14.25" customHeight="1" spans="1:7">
      <c r="A243" s="87" t="s">
        <v>311</v>
      </c>
      <c r="B243" s="87" t="s">
        <v>2488</v>
      </c>
      <c r="C243" s="87">
        <v>6000</v>
      </c>
      <c r="D243" s="87">
        <v>5970</v>
      </c>
      <c r="E243" s="87">
        <v>7370</v>
      </c>
      <c r="F243" s="87">
        <v>1070</v>
      </c>
      <c r="G243" s="87">
        <v>3670</v>
      </c>
    </row>
    <row r="244" s="73" customFormat="1" ht="14.25" customHeight="1" spans="1:7">
      <c r="A244" s="87" t="s">
        <v>311</v>
      </c>
      <c r="B244" s="87" t="s">
        <v>2489</v>
      </c>
      <c r="C244" s="87">
        <v>5840</v>
      </c>
      <c r="D244" s="87">
        <v>5810</v>
      </c>
      <c r="E244" s="87">
        <v>7240</v>
      </c>
      <c r="F244" s="87">
        <v>1100</v>
      </c>
      <c r="G244" s="87">
        <v>3560</v>
      </c>
    </row>
    <row r="245" s="73" customFormat="1" ht="14.25" customHeight="1" spans="1:7">
      <c r="A245" s="87" t="s">
        <v>311</v>
      </c>
      <c r="B245" s="87" t="s">
        <v>2490</v>
      </c>
      <c r="C245" s="87">
        <v>6040</v>
      </c>
      <c r="D245" s="87">
        <v>6000</v>
      </c>
      <c r="E245" s="87">
        <v>7420</v>
      </c>
      <c r="F245" s="87">
        <v>1140</v>
      </c>
      <c r="G245" s="87">
        <v>3690</v>
      </c>
    </row>
    <row r="246" s="73" customFormat="1" ht="14.25" customHeight="1" spans="1:7">
      <c r="A246" s="87" t="s">
        <v>311</v>
      </c>
      <c r="B246" s="87" t="s">
        <v>2491</v>
      </c>
      <c r="C246" s="87">
        <v>5890</v>
      </c>
      <c r="D246" s="87">
        <v>5860</v>
      </c>
      <c r="E246" s="87">
        <v>7300</v>
      </c>
      <c r="F246" s="87">
        <v>1110</v>
      </c>
      <c r="G246" s="87">
        <v>3590</v>
      </c>
    </row>
    <row r="247" s="73" customFormat="1" ht="14.25" customHeight="1" spans="1:7">
      <c r="A247" s="87" t="s">
        <v>311</v>
      </c>
      <c r="B247" s="87" t="s">
        <v>2492</v>
      </c>
      <c r="C247" s="87">
        <v>6480</v>
      </c>
      <c r="D247" s="87">
        <v>6450</v>
      </c>
      <c r="E247" s="87">
        <v>8010</v>
      </c>
      <c r="F247" s="87">
        <v>1170</v>
      </c>
      <c r="G247" s="87">
        <v>3960</v>
      </c>
    </row>
    <row r="248" s="73" customFormat="1" ht="14.25" customHeight="1" spans="1:7">
      <c r="A248" s="87" t="s">
        <v>311</v>
      </c>
      <c r="B248" s="87" t="s">
        <v>2493</v>
      </c>
      <c r="C248" s="87">
        <v>6860</v>
      </c>
      <c r="D248" s="87">
        <v>6840</v>
      </c>
      <c r="E248" s="87">
        <v>8520</v>
      </c>
      <c r="F248" s="87">
        <v>1240</v>
      </c>
      <c r="G248" s="87">
        <v>4200</v>
      </c>
    </row>
    <row r="249" s="73" customFormat="1" ht="14.25" customHeight="1" spans="1:7">
      <c r="A249" s="87" t="s">
        <v>311</v>
      </c>
      <c r="B249" s="87" t="s">
        <v>2494</v>
      </c>
      <c r="C249" s="87">
        <v>7180</v>
      </c>
      <c r="D249" s="87">
        <v>7140</v>
      </c>
      <c r="E249" s="87">
        <v>8900</v>
      </c>
      <c r="F249" s="87">
        <v>1350</v>
      </c>
      <c r="G249" s="87">
        <v>4380</v>
      </c>
    </row>
    <row r="250" s="73" customFormat="1" ht="14.25" customHeight="1" spans="1:7">
      <c r="A250" s="87" t="s">
        <v>311</v>
      </c>
      <c r="B250" s="87" t="s">
        <v>2495</v>
      </c>
      <c r="C250" s="87">
        <v>6880</v>
      </c>
      <c r="D250" s="87">
        <v>6860</v>
      </c>
      <c r="E250" s="87">
        <v>8550</v>
      </c>
      <c r="F250" s="87">
        <v>1220</v>
      </c>
      <c r="G250" s="87">
        <v>4210</v>
      </c>
    </row>
    <row r="251" s="73" customFormat="1" ht="14.25" customHeight="1" spans="1:7">
      <c r="A251" s="87" t="s">
        <v>311</v>
      </c>
      <c r="B251" s="87" t="s">
        <v>2496</v>
      </c>
      <c r="C251" s="87"/>
      <c r="D251" s="87"/>
      <c r="E251" s="87"/>
      <c r="F251" s="87">
        <v>1100</v>
      </c>
      <c r="G251" s="87"/>
    </row>
    <row r="252" s="73" customFormat="1" ht="14.25" customHeight="1" spans="1:7">
      <c r="A252" s="87" t="s">
        <v>311</v>
      </c>
      <c r="B252" s="87" t="s">
        <v>2497</v>
      </c>
      <c r="C252" s="87">
        <v>7240</v>
      </c>
      <c r="D252" s="87">
        <v>7200</v>
      </c>
      <c r="E252" s="87">
        <v>9040</v>
      </c>
      <c r="F252" s="87">
        <v>1380</v>
      </c>
      <c r="G252" s="87">
        <v>4420</v>
      </c>
    </row>
    <row r="253" s="73" customFormat="1" ht="14.25" customHeight="1" spans="1:7">
      <c r="A253" s="87" t="s">
        <v>311</v>
      </c>
      <c r="B253" s="87" t="s">
        <v>2498</v>
      </c>
      <c r="C253" s="87">
        <v>6670</v>
      </c>
      <c r="D253" s="87">
        <v>6650</v>
      </c>
      <c r="E253" s="87">
        <v>8350</v>
      </c>
      <c r="F253" s="87">
        <v>1260</v>
      </c>
      <c r="G253" s="87">
        <v>4080</v>
      </c>
    </row>
    <row r="254" s="73" customFormat="1" ht="14.25" customHeight="1" spans="1:7">
      <c r="A254" s="87" t="s">
        <v>311</v>
      </c>
      <c r="B254" s="87" t="s">
        <v>2499</v>
      </c>
      <c r="C254" s="87">
        <v>7630</v>
      </c>
      <c r="D254" s="87">
        <v>7590</v>
      </c>
      <c r="E254" s="87">
        <v>9380</v>
      </c>
      <c r="F254" s="87">
        <v>1320</v>
      </c>
      <c r="G254" s="87">
        <v>4660</v>
      </c>
    </row>
    <row r="255" s="73" customFormat="1" ht="14.25" customHeight="1" spans="1:7">
      <c r="A255" s="87" t="s">
        <v>311</v>
      </c>
      <c r="B255" s="87" t="s">
        <v>2500</v>
      </c>
      <c r="C255" s="87">
        <v>6940</v>
      </c>
      <c r="D255" s="87">
        <v>6890</v>
      </c>
      <c r="E255" s="87">
        <v>8650</v>
      </c>
      <c r="F255" s="87">
        <v>1210</v>
      </c>
      <c r="G255" s="87">
        <v>4230</v>
      </c>
    </row>
    <row r="256" s="73" customFormat="1" ht="14.25" customHeight="1" spans="1:7">
      <c r="A256" s="87" t="s">
        <v>311</v>
      </c>
      <c r="B256" s="87" t="s">
        <v>2501</v>
      </c>
      <c r="C256" s="87">
        <v>7520</v>
      </c>
      <c r="D256" s="87">
        <v>7490</v>
      </c>
      <c r="E256" s="87">
        <v>9240</v>
      </c>
      <c r="F256" s="87">
        <v>1270</v>
      </c>
      <c r="G256" s="87">
        <v>4590</v>
      </c>
    </row>
    <row r="257" s="73" customFormat="1" ht="14.25" customHeight="1" spans="1:7">
      <c r="A257" s="87" t="s">
        <v>311</v>
      </c>
      <c r="B257" s="87" t="s">
        <v>2502</v>
      </c>
      <c r="C257" s="87">
        <v>6280</v>
      </c>
      <c r="D257" s="87">
        <v>6230</v>
      </c>
      <c r="E257" s="87">
        <v>7740</v>
      </c>
      <c r="F257" s="87">
        <v>1080</v>
      </c>
      <c r="G257" s="87">
        <v>3830</v>
      </c>
    </row>
    <row r="258" s="73" customFormat="1" ht="14.25" customHeight="1" spans="1:7">
      <c r="A258" s="87" t="s">
        <v>311</v>
      </c>
      <c r="B258" s="87" t="s">
        <v>2503</v>
      </c>
      <c r="C258" s="87">
        <v>6190</v>
      </c>
      <c r="D258" s="87">
        <v>6160</v>
      </c>
      <c r="E258" s="87">
        <v>7680</v>
      </c>
      <c r="F258" s="87">
        <v>1170</v>
      </c>
      <c r="G258" s="87">
        <v>3780</v>
      </c>
    </row>
    <row r="259" s="73" customFormat="1" ht="14.25" customHeight="1" spans="1:7">
      <c r="A259" s="87" t="s">
        <v>311</v>
      </c>
      <c r="B259" s="87" t="s">
        <v>2504</v>
      </c>
      <c r="C259" s="87">
        <v>7610</v>
      </c>
      <c r="D259" s="87">
        <v>7570</v>
      </c>
      <c r="E259" s="87">
        <v>9350</v>
      </c>
      <c r="F259" s="87">
        <v>1350</v>
      </c>
      <c r="G259" s="87">
        <v>4650</v>
      </c>
    </row>
    <row r="260" s="73" customFormat="1" ht="14.25" customHeight="1" spans="1:7">
      <c r="A260" s="87" t="s">
        <v>311</v>
      </c>
      <c r="B260" s="87" t="s">
        <v>2505</v>
      </c>
      <c r="C260" s="87">
        <v>6920</v>
      </c>
      <c r="D260" s="87">
        <v>6880</v>
      </c>
      <c r="E260" s="87">
        <v>8380</v>
      </c>
      <c r="F260" s="87">
        <v>1160</v>
      </c>
      <c r="G260" s="87">
        <v>4220</v>
      </c>
    </row>
    <row r="261" s="73" customFormat="1" ht="14.25" customHeight="1" spans="1:7">
      <c r="A261" s="87" t="s">
        <v>311</v>
      </c>
      <c r="B261" s="87" t="s">
        <v>2506</v>
      </c>
      <c r="C261" s="87">
        <v>6850</v>
      </c>
      <c r="D261" s="87">
        <v>6810</v>
      </c>
      <c r="E261" s="87">
        <v>8290</v>
      </c>
      <c r="F261" s="87">
        <v>1130</v>
      </c>
      <c r="G261" s="87">
        <v>4180</v>
      </c>
    </row>
    <row r="262" s="73" customFormat="1" ht="14.25" customHeight="1" spans="1:7">
      <c r="A262" s="87" t="s">
        <v>311</v>
      </c>
      <c r="B262" s="87" t="s">
        <v>2507</v>
      </c>
      <c r="C262" s="87">
        <v>5860</v>
      </c>
      <c r="D262" s="87">
        <v>5820</v>
      </c>
      <c r="E262" s="87">
        <v>7640</v>
      </c>
      <c r="F262" s="87">
        <v>1070</v>
      </c>
      <c r="G262" s="87">
        <v>3570</v>
      </c>
    </row>
    <row r="263" s="73" customFormat="1" ht="14.25" customHeight="1" spans="1:7">
      <c r="A263" s="87" t="s">
        <v>311</v>
      </c>
      <c r="B263" s="87" t="s">
        <v>2508</v>
      </c>
      <c r="C263" s="87">
        <v>5870</v>
      </c>
      <c r="D263" s="87">
        <v>5840</v>
      </c>
      <c r="E263" s="87">
        <v>7270</v>
      </c>
      <c r="F263" s="87">
        <v>1190</v>
      </c>
      <c r="G263" s="87">
        <v>3580</v>
      </c>
    </row>
    <row r="264" s="73" customFormat="1" ht="14.25" customHeight="1" spans="1:7">
      <c r="A264" s="87" t="s">
        <v>311</v>
      </c>
      <c r="B264" s="87" t="s">
        <v>2509</v>
      </c>
      <c r="C264" s="87">
        <v>6190</v>
      </c>
      <c r="D264" s="87">
        <v>6150</v>
      </c>
      <c r="E264" s="87">
        <v>7660</v>
      </c>
      <c r="F264" s="87">
        <v>1160</v>
      </c>
      <c r="G264" s="87">
        <v>3770</v>
      </c>
    </row>
    <row r="265" s="73" customFormat="1" ht="14.25" customHeight="1" spans="1:7">
      <c r="A265" s="87" t="s">
        <v>311</v>
      </c>
      <c r="B265" s="87" t="s">
        <v>2510</v>
      </c>
      <c r="C265" s="87"/>
      <c r="D265" s="87"/>
      <c r="E265" s="87"/>
      <c r="F265" s="87">
        <v>1500</v>
      </c>
      <c r="G265" s="87"/>
    </row>
    <row r="266" s="73" customFormat="1" ht="14.25" customHeight="1" spans="1:7">
      <c r="A266" s="87" t="s">
        <v>311</v>
      </c>
      <c r="B266" s="87" t="s">
        <v>2511</v>
      </c>
      <c r="C266" s="87"/>
      <c r="D266" s="87"/>
      <c r="E266" s="87"/>
      <c r="F266" s="87">
        <v>1500</v>
      </c>
      <c r="G266" s="87"/>
    </row>
    <row r="267" s="73" customFormat="1" ht="14.25" customHeight="1" spans="1:7">
      <c r="A267" s="87" t="s">
        <v>311</v>
      </c>
      <c r="B267" s="87" t="s">
        <v>2512</v>
      </c>
      <c r="C267" s="87"/>
      <c r="D267" s="87"/>
      <c r="E267" s="87"/>
      <c r="F267" s="87">
        <v>1500</v>
      </c>
      <c r="G267" s="87"/>
    </row>
    <row r="268" s="73" customFormat="1" ht="14.25" customHeight="1" spans="1:7">
      <c r="A268" s="87" t="s">
        <v>311</v>
      </c>
      <c r="B268" s="87" t="s">
        <v>2513</v>
      </c>
      <c r="C268" s="87"/>
      <c r="D268" s="87"/>
      <c r="E268" s="87"/>
      <c r="F268" s="87">
        <v>1290</v>
      </c>
      <c r="G268" s="87"/>
    </row>
    <row r="269" s="73" customFormat="1" ht="14.25" customHeight="1" spans="1:7">
      <c r="A269" s="87" t="s">
        <v>311</v>
      </c>
      <c r="B269" s="87" t="s">
        <v>2514</v>
      </c>
      <c r="C269" s="87"/>
      <c r="D269" s="87"/>
      <c r="E269" s="87"/>
      <c r="F269" s="87">
        <v>1150</v>
      </c>
      <c r="G269" s="87"/>
    </row>
    <row r="270" s="73" customFormat="1" ht="14.25" customHeight="1" spans="1:7">
      <c r="A270" s="87" t="s">
        <v>311</v>
      </c>
      <c r="B270" s="87" t="s">
        <v>2515</v>
      </c>
      <c r="C270" s="87"/>
      <c r="D270" s="87"/>
      <c r="E270" s="87"/>
      <c r="F270" s="87">
        <v>1380</v>
      </c>
      <c r="G270" s="87"/>
    </row>
    <row r="271" s="73" customFormat="1" ht="14.25" customHeight="1" spans="1:7">
      <c r="A271" s="87" t="s">
        <v>311</v>
      </c>
      <c r="B271" s="87" t="s">
        <v>2516</v>
      </c>
      <c r="C271" s="87"/>
      <c r="D271" s="87"/>
      <c r="E271" s="87"/>
      <c r="F271" s="87">
        <v>1460</v>
      </c>
      <c r="G271" s="87"/>
    </row>
    <row r="272" s="73" customFormat="1" ht="14.25" customHeight="1" spans="1:7">
      <c r="A272" s="87" t="s">
        <v>311</v>
      </c>
      <c r="B272" s="87" t="s">
        <v>2517</v>
      </c>
      <c r="C272" s="87"/>
      <c r="D272" s="87"/>
      <c r="E272" s="87"/>
      <c r="F272" s="87">
        <v>1460</v>
      </c>
      <c r="G272" s="87"/>
    </row>
    <row r="273" s="73" customFormat="1" ht="14.25" customHeight="1" spans="1:7">
      <c r="A273" s="87" t="s">
        <v>311</v>
      </c>
      <c r="B273" s="87" t="s">
        <v>2518</v>
      </c>
      <c r="C273" s="87"/>
      <c r="D273" s="87"/>
      <c r="E273" s="87"/>
      <c r="F273" s="87">
        <v>1490</v>
      </c>
      <c r="G273" s="87"/>
    </row>
    <row r="274" s="73" customFormat="1" ht="14.25" customHeight="1" spans="1:7">
      <c r="A274" s="87" t="s">
        <v>311</v>
      </c>
      <c r="B274" s="87" t="s">
        <v>2519</v>
      </c>
      <c r="C274" s="87"/>
      <c r="D274" s="87"/>
      <c r="E274" s="87"/>
      <c r="F274" s="87">
        <v>1490</v>
      </c>
      <c r="G274" s="87"/>
    </row>
    <row r="275" s="73" customFormat="1" ht="14.25" customHeight="1" spans="1:7">
      <c r="A275" s="87" t="s">
        <v>311</v>
      </c>
      <c r="B275" s="87" t="s">
        <v>2520</v>
      </c>
      <c r="C275" s="87"/>
      <c r="D275" s="87"/>
      <c r="E275" s="87"/>
      <c r="F275" s="87">
        <v>1220</v>
      </c>
      <c r="G275" s="87"/>
    </row>
    <row r="276" s="73" customFormat="1" ht="14.25" customHeight="1" spans="1:7">
      <c r="A276" s="95" t="s">
        <v>311</v>
      </c>
      <c r="B276" s="97" t="s">
        <v>2521</v>
      </c>
      <c r="C276" s="98"/>
      <c r="D276" s="98"/>
      <c r="E276" s="98"/>
      <c r="F276" s="98">
        <v>1380</v>
      </c>
      <c r="G276" s="98"/>
    </row>
    <row r="277" s="73" customFormat="1" ht="14.25" customHeight="1" spans="1:7">
      <c r="A277" s="92" t="s">
        <v>318</v>
      </c>
      <c r="B277" s="82" t="s">
        <v>2522</v>
      </c>
      <c r="C277" s="82">
        <v>5790</v>
      </c>
      <c r="D277" s="82">
        <v>5740</v>
      </c>
      <c r="E277" s="82">
        <v>6730</v>
      </c>
      <c r="F277" s="82">
        <v>1110</v>
      </c>
      <c r="G277" s="99">
        <v>3460</v>
      </c>
    </row>
    <row r="278" s="73" customFormat="1" ht="14.25" customHeight="1" spans="1:7">
      <c r="A278" s="87" t="s">
        <v>318</v>
      </c>
      <c r="B278" s="87" t="s">
        <v>2523</v>
      </c>
      <c r="C278" s="87">
        <v>5740</v>
      </c>
      <c r="D278" s="87">
        <v>5670</v>
      </c>
      <c r="E278" s="87">
        <v>6680</v>
      </c>
      <c r="F278" s="87">
        <v>1070</v>
      </c>
      <c r="G278" s="100">
        <v>3420</v>
      </c>
    </row>
    <row r="279" s="73" customFormat="1" ht="14.25" customHeight="1" spans="1:7">
      <c r="A279" s="87" t="s">
        <v>318</v>
      </c>
      <c r="B279" s="87" t="s">
        <v>2524</v>
      </c>
      <c r="C279" s="87">
        <v>4760</v>
      </c>
      <c r="D279" s="87">
        <v>4720</v>
      </c>
      <c r="E279" s="87">
        <v>5540</v>
      </c>
      <c r="F279" s="87">
        <v>810</v>
      </c>
      <c r="G279" s="100">
        <v>2850</v>
      </c>
    </row>
    <row r="280" s="73" customFormat="1" ht="14.25" customHeight="1" spans="1:7">
      <c r="A280" s="87" t="s">
        <v>318</v>
      </c>
      <c r="B280" s="87" t="s">
        <v>2525</v>
      </c>
      <c r="C280" s="87">
        <v>4010</v>
      </c>
      <c r="D280" s="87">
        <v>3950</v>
      </c>
      <c r="E280" s="87">
        <v>4710</v>
      </c>
      <c r="F280" s="87">
        <v>800</v>
      </c>
      <c r="G280" s="100">
        <v>2390</v>
      </c>
    </row>
    <row r="281" s="73" customFormat="1" ht="14.25" customHeight="1" spans="1:7">
      <c r="A281" s="87" t="s">
        <v>318</v>
      </c>
      <c r="B281" s="87" t="s">
        <v>2526</v>
      </c>
      <c r="C281" s="87">
        <v>4480</v>
      </c>
      <c r="D281" s="87">
        <v>4420</v>
      </c>
      <c r="E281" s="87">
        <v>5230</v>
      </c>
      <c r="F281" s="87">
        <v>870</v>
      </c>
      <c r="G281" s="100">
        <v>2660</v>
      </c>
    </row>
    <row r="282" s="73" customFormat="1" ht="14.25" customHeight="1" spans="1:7">
      <c r="A282" s="87" t="s">
        <v>318</v>
      </c>
      <c r="B282" s="87" t="s">
        <v>2527</v>
      </c>
      <c r="C282" s="87">
        <v>5360</v>
      </c>
      <c r="D282" s="87">
        <v>5300</v>
      </c>
      <c r="E282" s="87">
        <v>6190</v>
      </c>
      <c r="F282" s="87">
        <v>950</v>
      </c>
      <c r="G282" s="100">
        <v>3190</v>
      </c>
    </row>
    <row r="283" s="73" customFormat="1" ht="14.25" customHeight="1" spans="1:7">
      <c r="A283" s="87" t="s">
        <v>318</v>
      </c>
      <c r="B283" s="87" t="s">
        <v>2528</v>
      </c>
      <c r="C283" s="87">
        <v>4950</v>
      </c>
      <c r="D283" s="87">
        <v>4900</v>
      </c>
      <c r="E283" s="87">
        <v>5720</v>
      </c>
      <c r="F283" s="87">
        <v>920</v>
      </c>
      <c r="G283" s="100">
        <v>2950</v>
      </c>
    </row>
    <row r="284" s="73" customFormat="1" ht="14.25" customHeight="1" spans="1:7">
      <c r="A284" s="87" t="s">
        <v>318</v>
      </c>
      <c r="B284" s="87" t="s">
        <v>2529</v>
      </c>
      <c r="C284" s="87">
        <v>5610</v>
      </c>
      <c r="D284" s="87">
        <v>5560</v>
      </c>
      <c r="E284" s="87">
        <v>6520</v>
      </c>
      <c r="F284" s="87">
        <v>1030</v>
      </c>
      <c r="G284" s="100">
        <v>3360</v>
      </c>
    </row>
    <row r="285" s="73" customFormat="1" ht="14.25" customHeight="1" spans="1:7">
      <c r="A285" s="87" t="s">
        <v>318</v>
      </c>
      <c r="B285" s="87" t="s">
        <v>2530</v>
      </c>
      <c r="C285" s="87">
        <v>5340</v>
      </c>
      <c r="D285" s="87">
        <v>5290</v>
      </c>
      <c r="E285" s="87">
        <v>6170</v>
      </c>
      <c r="F285" s="87">
        <v>1080</v>
      </c>
      <c r="G285" s="100">
        <v>3180</v>
      </c>
    </row>
    <row r="286" s="73" customFormat="1" ht="14.25" customHeight="1" spans="1:7">
      <c r="A286" s="87" t="s">
        <v>318</v>
      </c>
      <c r="B286" s="87" t="s">
        <v>2531</v>
      </c>
      <c r="C286" s="87">
        <v>4890</v>
      </c>
      <c r="D286" s="87">
        <v>4840</v>
      </c>
      <c r="E286" s="87">
        <v>5640</v>
      </c>
      <c r="F286" s="87">
        <v>960</v>
      </c>
      <c r="G286" s="100">
        <v>2910</v>
      </c>
    </row>
    <row r="287" s="73" customFormat="1" ht="14.25" customHeight="1" spans="1:7">
      <c r="A287" s="87" t="s">
        <v>318</v>
      </c>
      <c r="B287" s="87" t="s">
        <v>2532</v>
      </c>
      <c r="C287" s="87">
        <v>4960</v>
      </c>
      <c r="D287" s="87">
        <v>4920</v>
      </c>
      <c r="E287" s="87">
        <v>5730</v>
      </c>
      <c r="F287" s="87">
        <v>930</v>
      </c>
      <c r="G287" s="100">
        <v>2960</v>
      </c>
    </row>
    <row r="288" s="73" customFormat="1" ht="14.25" customHeight="1" spans="1:7">
      <c r="A288" s="87" t="s">
        <v>318</v>
      </c>
      <c r="B288" s="87" t="s">
        <v>2533</v>
      </c>
      <c r="C288" s="87">
        <v>4350</v>
      </c>
      <c r="D288" s="87">
        <v>4300</v>
      </c>
      <c r="E288" s="87">
        <v>4900</v>
      </c>
      <c r="F288" s="87">
        <v>820</v>
      </c>
      <c r="G288" s="100">
        <v>2590</v>
      </c>
    </row>
    <row r="289" s="73" customFormat="1" ht="14.25" customHeight="1" spans="1:7">
      <c r="A289" s="87" t="s">
        <v>318</v>
      </c>
      <c r="B289" s="87" t="s">
        <v>2534</v>
      </c>
      <c r="C289" s="87">
        <v>5230</v>
      </c>
      <c r="D289" s="87">
        <v>5170</v>
      </c>
      <c r="E289" s="87">
        <v>6060</v>
      </c>
      <c r="F289" s="87">
        <v>900</v>
      </c>
      <c r="G289" s="100">
        <v>3120</v>
      </c>
    </row>
    <row r="290" s="73" customFormat="1" ht="14.25" customHeight="1" spans="1:7">
      <c r="A290" s="87" t="s">
        <v>318</v>
      </c>
      <c r="B290" s="87" t="s">
        <v>2535</v>
      </c>
      <c r="C290" s="87">
        <v>5550</v>
      </c>
      <c r="D290" s="87">
        <v>5500</v>
      </c>
      <c r="E290" s="87">
        <v>6440</v>
      </c>
      <c r="F290" s="87">
        <v>960</v>
      </c>
      <c r="G290" s="100">
        <v>3320</v>
      </c>
    </row>
    <row r="291" s="73" customFormat="1" ht="14.25" customHeight="1" spans="1:7">
      <c r="A291" s="87" t="s">
        <v>318</v>
      </c>
      <c r="B291" s="87" t="s">
        <v>2536</v>
      </c>
      <c r="C291" s="87">
        <v>5440</v>
      </c>
      <c r="D291" s="87">
        <v>5400</v>
      </c>
      <c r="E291" s="87">
        <v>6320</v>
      </c>
      <c r="F291" s="87">
        <v>930</v>
      </c>
      <c r="G291" s="100">
        <v>3250</v>
      </c>
    </row>
    <row r="292" s="73" customFormat="1" ht="14.25" customHeight="1" spans="1:7">
      <c r="A292" s="87" t="s">
        <v>318</v>
      </c>
      <c r="B292" s="87" t="s">
        <v>2537</v>
      </c>
      <c r="C292" s="87">
        <v>5400</v>
      </c>
      <c r="D292" s="87">
        <v>5360</v>
      </c>
      <c r="E292" s="87">
        <v>6270</v>
      </c>
      <c r="F292" s="87">
        <v>1040</v>
      </c>
      <c r="G292" s="100">
        <v>3230</v>
      </c>
    </row>
    <row r="293" s="73" customFormat="1" ht="14.25" customHeight="1" spans="1:7">
      <c r="A293" s="87" t="s">
        <v>318</v>
      </c>
      <c r="B293" s="87" t="s">
        <v>2538</v>
      </c>
      <c r="C293" s="87">
        <v>5320</v>
      </c>
      <c r="D293" s="87">
        <v>5270</v>
      </c>
      <c r="E293" s="87">
        <v>6160</v>
      </c>
      <c r="F293" s="87">
        <v>990</v>
      </c>
      <c r="G293" s="100">
        <v>3170</v>
      </c>
    </row>
    <row r="294" s="73" customFormat="1" ht="14.25" customHeight="1" spans="1:7">
      <c r="A294" s="87" t="s">
        <v>318</v>
      </c>
      <c r="B294" s="87" t="s">
        <v>2539</v>
      </c>
      <c r="C294" s="87">
        <v>5260</v>
      </c>
      <c r="D294" s="87">
        <v>5210</v>
      </c>
      <c r="E294" s="87">
        <v>6100</v>
      </c>
      <c r="F294" s="87">
        <v>950</v>
      </c>
      <c r="G294" s="100">
        <v>3150</v>
      </c>
    </row>
    <row r="295" s="73" customFormat="1" ht="14.25" customHeight="1" spans="1:7">
      <c r="A295" s="87" t="s">
        <v>318</v>
      </c>
      <c r="B295" s="87" t="s">
        <v>2540</v>
      </c>
      <c r="C295" s="87">
        <v>5610</v>
      </c>
      <c r="D295" s="87">
        <v>5570</v>
      </c>
      <c r="E295" s="87">
        <v>6530</v>
      </c>
      <c r="F295" s="87">
        <v>960</v>
      </c>
      <c r="G295" s="100">
        <v>3360</v>
      </c>
    </row>
    <row r="296" s="73" customFormat="1" ht="14.25" customHeight="1" spans="1:7">
      <c r="A296" s="87" t="s">
        <v>318</v>
      </c>
      <c r="B296" s="87" t="s">
        <v>2541</v>
      </c>
      <c r="C296" s="87">
        <v>5540</v>
      </c>
      <c r="D296" s="87">
        <v>5490</v>
      </c>
      <c r="E296" s="87">
        <v>6430</v>
      </c>
      <c r="F296" s="87">
        <v>980</v>
      </c>
      <c r="G296" s="100">
        <v>3310</v>
      </c>
    </row>
    <row r="297" s="73" customFormat="1" ht="14.25" customHeight="1" spans="1:7">
      <c r="A297" s="87" t="s">
        <v>318</v>
      </c>
      <c r="B297" s="87" t="s">
        <v>2542</v>
      </c>
      <c r="C297" s="87">
        <v>5480</v>
      </c>
      <c r="D297" s="87">
        <v>5420</v>
      </c>
      <c r="E297" s="87">
        <v>6370</v>
      </c>
      <c r="F297" s="87">
        <v>990</v>
      </c>
      <c r="G297" s="100">
        <v>3270</v>
      </c>
    </row>
    <row r="298" s="73" customFormat="1" ht="14.25" customHeight="1" spans="1:7">
      <c r="A298" s="87" t="s">
        <v>318</v>
      </c>
      <c r="B298" s="87" t="s">
        <v>2543</v>
      </c>
      <c r="C298" s="87">
        <v>5090</v>
      </c>
      <c r="D298" s="87">
        <v>5050</v>
      </c>
      <c r="E298" s="87">
        <v>5910</v>
      </c>
      <c r="F298" s="87">
        <v>900</v>
      </c>
      <c r="G298" s="100">
        <v>3040</v>
      </c>
    </row>
    <row r="299" s="73" customFormat="1" ht="14.25" customHeight="1" spans="1:7">
      <c r="A299" s="87" t="s">
        <v>318</v>
      </c>
      <c r="B299" s="96" t="s">
        <v>2544</v>
      </c>
      <c r="C299" s="87">
        <v>5430</v>
      </c>
      <c r="D299" s="87">
        <v>5380</v>
      </c>
      <c r="E299" s="87">
        <v>6280</v>
      </c>
      <c r="F299" s="87">
        <v>1000</v>
      </c>
      <c r="G299" s="100">
        <v>3240</v>
      </c>
    </row>
    <row r="300" s="73" customFormat="1" ht="14.25" customHeight="1" spans="1:7">
      <c r="A300" s="87" t="s">
        <v>318</v>
      </c>
      <c r="B300" s="96" t="s">
        <v>2545</v>
      </c>
      <c r="C300" s="87">
        <v>4740</v>
      </c>
      <c r="D300" s="87">
        <v>4680</v>
      </c>
      <c r="E300" s="87">
        <v>5450</v>
      </c>
      <c r="F300" s="87">
        <v>900</v>
      </c>
      <c r="G300" s="100">
        <v>2830</v>
      </c>
    </row>
    <row r="301" s="73" customFormat="1" ht="14.25" customHeight="1" spans="1:7">
      <c r="A301" s="87" t="s">
        <v>318</v>
      </c>
      <c r="B301" s="96" t="s">
        <v>2546</v>
      </c>
      <c r="C301" s="87">
        <v>4870</v>
      </c>
      <c r="D301" s="87">
        <v>4810</v>
      </c>
      <c r="E301" s="87">
        <v>5560</v>
      </c>
      <c r="F301" s="87">
        <v>990</v>
      </c>
      <c r="G301" s="100">
        <v>2910</v>
      </c>
    </row>
    <row r="302" s="73" customFormat="1" ht="14.25" customHeight="1" spans="1:7">
      <c r="A302" s="87" t="s">
        <v>318</v>
      </c>
      <c r="B302" s="87" t="s">
        <v>2547</v>
      </c>
      <c r="C302" s="87">
        <v>5520</v>
      </c>
      <c r="D302" s="87">
        <v>5470</v>
      </c>
      <c r="E302" s="87">
        <v>6410</v>
      </c>
      <c r="F302" s="87">
        <v>950</v>
      </c>
      <c r="G302" s="100">
        <v>3300</v>
      </c>
    </row>
    <row r="303" s="73" customFormat="1" ht="14.25" customHeight="1" spans="1:7">
      <c r="A303" s="87" t="s">
        <v>318</v>
      </c>
      <c r="B303" s="87" t="s">
        <v>2548</v>
      </c>
      <c r="C303" s="87">
        <v>5630</v>
      </c>
      <c r="D303" s="87">
        <v>5590</v>
      </c>
      <c r="E303" s="87">
        <v>6550</v>
      </c>
      <c r="F303" s="87">
        <v>1010</v>
      </c>
      <c r="G303" s="100">
        <v>3370</v>
      </c>
    </row>
    <row r="304" s="73" customFormat="1" ht="14.25" customHeight="1" spans="1:7">
      <c r="A304" s="87" t="s">
        <v>318</v>
      </c>
      <c r="B304" s="87" t="s">
        <v>2549</v>
      </c>
      <c r="C304" s="87">
        <v>5680</v>
      </c>
      <c r="D304" s="87">
        <v>5620</v>
      </c>
      <c r="E304" s="87">
        <v>6620</v>
      </c>
      <c r="F304" s="87">
        <v>1050</v>
      </c>
      <c r="G304" s="100">
        <v>3390</v>
      </c>
    </row>
    <row r="305" s="73" customFormat="1" ht="14.25" customHeight="1" spans="1:7">
      <c r="A305" s="87" t="s">
        <v>318</v>
      </c>
      <c r="B305" s="87" t="s">
        <v>2550</v>
      </c>
      <c r="C305" s="87">
        <v>5590</v>
      </c>
      <c r="D305" s="87">
        <v>5530</v>
      </c>
      <c r="E305" s="87">
        <v>6460</v>
      </c>
      <c r="F305" s="87">
        <v>900</v>
      </c>
      <c r="G305" s="100">
        <v>3340</v>
      </c>
    </row>
    <row r="306" s="73" customFormat="1" ht="14.25" customHeight="1" spans="1:7">
      <c r="A306" s="87" t="s">
        <v>318</v>
      </c>
      <c r="B306" s="87" t="s">
        <v>2551</v>
      </c>
      <c r="C306" s="87">
        <v>5560</v>
      </c>
      <c r="D306" s="87">
        <v>5510</v>
      </c>
      <c r="E306" s="87">
        <v>6440</v>
      </c>
      <c r="F306" s="87">
        <v>900</v>
      </c>
      <c r="G306" s="100">
        <v>3320</v>
      </c>
    </row>
    <row r="307" s="73" customFormat="1" ht="14.25" customHeight="1" spans="1:7">
      <c r="A307" s="87" t="s">
        <v>318</v>
      </c>
      <c r="B307" s="87" t="s">
        <v>2552</v>
      </c>
      <c r="C307" s="87">
        <v>5650</v>
      </c>
      <c r="D307" s="87">
        <v>5600</v>
      </c>
      <c r="E307" s="87">
        <v>6590</v>
      </c>
      <c r="F307" s="87">
        <v>930</v>
      </c>
      <c r="G307" s="100">
        <v>3380</v>
      </c>
    </row>
    <row r="308" s="73" customFormat="1" ht="14.25" customHeight="1" spans="1:7">
      <c r="A308" s="87" t="s">
        <v>318</v>
      </c>
      <c r="B308" s="87" t="s">
        <v>2553</v>
      </c>
      <c r="C308" s="87">
        <v>5620</v>
      </c>
      <c r="D308" s="87">
        <v>5580</v>
      </c>
      <c r="E308" s="87">
        <v>6540</v>
      </c>
      <c r="F308" s="87">
        <v>910</v>
      </c>
      <c r="G308" s="100">
        <v>3370</v>
      </c>
    </row>
    <row r="309" s="73" customFormat="1" ht="14.25" customHeight="1" spans="1:7">
      <c r="A309" s="87" t="s">
        <v>318</v>
      </c>
      <c r="B309" s="87" t="s">
        <v>2554</v>
      </c>
      <c r="C309" s="87">
        <v>5060</v>
      </c>
      <c r="D309" s="87">
        <v>5020</v>
      </c>
      <c r="E309" s="87">
        <v>6370</v>
      </c>
      <c r="F309" s="87">
        <v>800</v>
      </c>
      <c r="G309" s="100">
        <v>3020</v>
      </c>
    </row>
    <row r="310" s="73" customFormat="1" ht="14.25" customHeight="1" spans="1:7">
      <c r="A310" s="87" t="s">
        <v>318</v>
      </c>
      <c r="B310" s="87" t="s">
        <v>2555</v>
      </c>
      <c r="C310" s="87">
        <v>5150</v>
      </c>
      <c r="D310" s="87">
        <v>5110</v>
      </c>
      <c r="E310" s="87">
        <v>6500</v>
      </c>
      <c r="F310" s="87">
        <v>880</v>
      </c>
      <c r="G310" s="100">
        <v>3080</v>
      </c>
    </row>
    <row r="311" s="73" customFormat="1" ht="14.25" customHeight="1" spans="1:7">
      <c r="A311" s="87" t="s">
        <v>318</v>
      </c>
      <c r="B311" s="87" t="s">
        <v>2556</v>
      </c>
      <c r="C311" s="87">
        <v>4750</v>
      </c>
      <c r="D311" s="87">
        <v>4710</v>
      </c>
      <c r="E311" s="87">
        <v>5510</v>
      </c>
      <c r="F311" s="87">
        <v>880</v>
      </c>
      <c r="G311" s="100">
        <v>2840</v>
      </c>
    </row>
    <row r="312" s="73" customFormat="1" ht="14.25" customHeight="1" spans="1:7">
      <c r="A312" s="87" t="s">
        <v>318</v>
      </c>
      <c r="B312" s="87" t="s">
        <v>2557</v>
      </c>
      <c r="C312" s="87">
        <v>4690</v>
      </c>
      <c r="D312" s="87">
        <v>4640</v>
      </c>
      <c r="E312" s="87">
        <v>5420</v>
      </c>
      <c r="F312" s="87">
        <v>800</v>
      </c>
      <c r="G312" s="100">
        <v>2800</v>
      </c>
    </row>
    <row r="313" s="73" customFormat="1" ht="14.25" customHeight="1" spans="1:7">
      <c r="A313" s="87" t="s">
        <v>318</v>
      </c>
      <c r="B313" s="87" t="s">
        <v>2558</v>
      </c>
      <c r="C313" s="87">
        <v>4810</v>
      </c>
      <c r="D313" s="87">
        <v>4760</v>
      </c>
      <c r="E313" s="87">
        <v>5550</v>
      </c>
      <c r="F313" s="87">
        <v>920</v>
      </c>
      <c r="G313" s="100">
        <v>2870</v>
      </c>
    </row>
    <row r="314" s="73" customFormat="1" ht="14.25" customHeight="1" spans="1:7">
      <c r="A314" s="87" t="s">
        <v>318</v>
      </c>
      <c r="B314" s="87" t="s">
        <v>2559</v>
      </c>
      <c r="C314" s="87"/>
      <c r="D314" s="87"/>
      <c r="E314" s="87"/>
      <c r="F314" s="87">
        <v>1020</v>
      </c>
      <c r="G314" s="100"/>
    </row>
    <row r="315" s="73" customFormat="1" ht="14.25" customHeight="1" spans="1:7">
      <c r="A315" s="87" t="s">
        <v>318</v>
      </c>
      <c r="B315" s="87" t="s">
        <v>2560</v>
      </c>
      <c r="C315" s="87"/>
      <c r="D315" s="87"/>
      <c r="E315" s="87"/>
      <c r="F315" s="87">
        <v>1050</v>
      </c>
      <c r="G315" s="100"/>
    </row>
    <row r="316" s="73" customFormat="1" ht="14.25" customHeight="1" spans="1:7">
      <c r="A316" s="87" t="s">
        <v>318</v>
      </c>
      <c r="B316" s="87" t="s">
        <v>2561</v>
      </c>
      <c r="C316" s="87"/>
      <c r="D316" s="87"/>
      <c r="E316" s="87"/>
      <c r="F316" s="87">
        <v>900</v>
      </c>
      <c r="G316" s="100"/>
    </row>
    <row r="317" s="73" customFormat="1" ht="14.25" customHeight="1" spans="1:7">
      <c r="A317" s="87" t="s">
        <v>318</v>
      </c>
      <c r="B317" s="87" t="s">
        <v>2562</v>
      </c>
      <c r="C317" s="87"/>
      <c r="D317" s="87"/>
      <c r="E317" s="87"/>
      <c r="F317" s="87">
        <v>920</v>
      </c>
      <c r="G317" s="100"/>
    </row>
    <row r="318" s="73" customFormat="1" ht="14.25" customHeight="1" spans="1:7">
      <c r="A318" s="87" t="s">
        <v>318</v>
      </c>
      <c r="B318" s="87" t="s">
        <v>2563</v>
      </c>
      <c r="C318" s="87"/>
      <c r="D318" s="87"/>
      <c r="E318" s="87"/>
      <c r="F318" s="87">
        <v>1080</v>
      </c>
      <c r="G318" s="100"/>
    </row>
    <row r="319" s="73" customFormat="1" ht="14.25" customHeight="1" spans="1:7">
      <c r="A319" s="87" t="s">
        <v>318</v>
      </c>
      <c r="B319" s="87" t="s">
        <v>2564</v>
      </c>
      <c r="C319" s="87"/>
      <c r="D319" s="87"/>
      <c r="E319" s="87"/>
      <c r="F319" s="87">
        <v>1020</v>
      </c>
      <c r="G319" s="100"/>
    </row>
    <row r="320" s="73" customFormat="1" ht="14.25" customHeight="1" spans="1:7">
      <c r="A320" s="87" t="s">
        <v>318</v>
      </c>
      <c r="B320" s="87" t="s">
        <v>2565</v>
      </c>
      <c r="C320" s="87"/>
      <c r="D320" s="87"/>
      <c r="E320" s="87"/>
      <c r="F320" s="87">
        <v>1050</v>
      </c>
      <c r="G320" s="100"/>
    </row>
    <row r="321" s="73" customFormat="1" ht="14.25" customHeight="1" spans="1:7">
      <c r="A321" s="87" t="s">
        <v>318</v>
      </c>
      <c r="B321" s="87" t="s">
        <v>2566</v>
      </c>
      <c r="C321" s="87"/>
      <c r="D321" s="87"/>
      <c r="E321" s="87"/>
      <c r="F321" s="87">
        <v>960</v>
      </c>
      <c r="G321" s="100"/>
    </row>
    <row r="322" s="73" customFormat="1" ht="14.25" customHeight="1" spans="1:7">
      <c r="A322" s="87" t="s">
        <v>318</v>
      </c>
      <c r="B322" s="87" t="s">
        <v>2567</v>
      </c>
      <c r="C322" s="87"/>
      <c r="D322" s="87"/>
      <c r="E322" s="87"/>
      <c r="F322" s="87">
        <v>960</v>
      </c>
      <c r="G322" s="100"/>
    </row>
    <row r="323" s="73" customFormat="1" ht="14.25" customHeight="1" spans="1:7">
      <c r="A323" s="87" t="s">
        <v>318</v>
      </c>
      <c r="B323" s="87" t="s">
        <v>2568</v>
      </c>
      <c r="C323" s="87"/>
      <c r="D323" s="87"/>
      <c r="E323" s="87"/>
      <c r="F323" s="87">
        <v>880</v>
      </c>
      <c r="G323" s="100"/>
    </row>
    <row r="324" s="73" customFormat="1" ht="14.25" customHeight="1" spans="1:7">
      <c r="A324" s="87" t="s">
        <v>318</v>
      </c>
      <c r="B324" s="87" t="s">
        <v>2569</v>
      </c>
      <c r="C324" s="87"/>
      <c r="D324" s="87"/>
      <c r="E324" s="87"/>
      <c r="F324" s="87">
        <v>930</v>
      </c>
      <c r="G324" s="100"/>
    </row>
    <row r="325" s="73" customFormat="1" ht="14.25" customHeight="1" spans="1:7">
      <c r="A325" s="87" t="s">
        <v>318</v>
      </c>
      <c r="B325" s="88" t="s">
        <v>2570</v>
      </c>
      <c r="C325" s="87"/>
      <c r="D325" s="87"/>
      <c r="E325" s="87"/>
      <c r="F325" s="87">
        <v>900</v>
      </c>
      <c r="G325" s="100"/>
    </row>
    <row r="326" s="73" customFormat="1" ht="14.25" customHeight="1" spans="1:7">
      <c r="A326" s="101" t="s">
        <v>318</v>
      </c>
      <c r="B326" s="94" t="s">
        <v>2571</v>
      </c>
      <c r="C326" s="94"/>
      <c r="D326" s="94"/>
      <c r="E326" s="94"/>
      <c r="F326" s="94">
        <v>790</v>
      </c>
      <c r="G326" s="102"/>
    </row>
    <row r="327" s="73" customFormat="1" ht="14.25" customHeight="1" spans="1:7">
      <c r="A327" s="92" t="s">
        <v>324</v>
      </c>
      <c r="B327" s="82" t="s">
        <v>2572</v>
      </c>
      <c r="C327" s="87">
        <v>3750</v>
      </c>
      <c r="D327" s="87">
        <v>3710</v>
      </c>
      <c r="E327" s="87">
        <v>4080</v>
      </c>
      <c r="F327" s="87">
        <v>860</v>
      </c>
      <c r="G327" s="87">
        <v>2210</v>
      </c>
    </row>
    <row r="328" s="73" customFormat="1" ht="14.25" customHeight="1" spans="1:7">
      <c r="A328" s="87" t="s">
        <v>324</v>
      </c>
      <c r="B328" s="87" t="s">
        <v>2573</v>
      </c>
      <c r="C328" s="87">
        <v>3330</v>
      </c>
      <c r="D328" s="87">
        <v>3290</v>
      </c>
      <c r="E328" s="87">
        <v>3610</v>
      </c>
      <c r="F328" s="87">
        <v>850</v>
      </c>
      <c r="G328" s="87">
        <v>1960</v>
      </c>
    </row>
    <row r="329" s="73" customFormat="1" ht="14.25" customHeight="1" spans="1:7">
      <c r="A329" s="87" t="s">
        <v>324</v>
      </c>
      <c r="B329" s="87" t="s">
        <v>2574</v>
      </c>
      <c r="C329" s="87">
        <v>2730</v>
      </c>
      <c r="D329" s="87">
        <v>2690</v>
      </c>
      <c r="E329" s="87">
        <v>3100</v>
      </c>
      <c r="F329" s="87">
        <v>660</v>
      </c>
      <c r="G329" s="87">
        <v>1610</v>
      </c>
    </row>
    <row r="330" s="73" customFormat="1" ht="14.25" customHeight="1" spans="1:7">
      <c r="A330" s="87" t="s">
        <v>324</v>
      </c>
      <c r="B330" s="87" t="s">
        <v>2575</v>
      </c>
      <c r="C330" s="87">
        <v>3270</v>
      </c>
      <c r="D330" s="87">
        <v>3240</v>
      </c>
      <c r="E330" s="87">
        <v>3560</v>
      </c>
      <c r="F330" s="87">
        <v>680</v>
      </c>
      <c r="G330" s="87">
        <v>1940</v>
      </c>
    </row>
    <row r="331" s="73" customFormat="1" ht="14.25" customHeight="1" spans="1:7">
      <c r="A331" s="87" t="s">
        <v>324</v>
      </c>
      <c r="B331" s="87" t="s">
        <v>2576</v>
      </c>
      <c r="C331" s="87">
        <v>3770</v>
      </c>
      <c r="D331" s="87">
        <v>3740</v>
      </c>
      <c r="E331" s="87">
        <v>4110</v>
      </c>
      <c r="F331" s="87">
        <v>730</v>
      </c>
      <c r="G331" s="87">
        <v>2230</v>
      </c>
    </row>
    <row r="332" s="73" customFormat="1" ht="14.25" customHeight="1" spans="1:7">
      <c r="A332" s="87" t="s">
        <v>324</v>
      </c>
      <c r="B332" s="87" t="s">
        <v>2577</v>
      </c>
      <c r="C332" s="87">
        <v>3520</v>
      </c>
      <c r="D332" s="87">
        <v>3480</v>
      </c>
      <c r="E332" s="87">
        <v>3830</v>
      </c>
      <c r="F332" s="87">
        <v>720</v>
      </c>
      <c r="G332" s="87">
        <v>2090</v>
      </c>
    </row>
    <row r="333" s="73" customFormat="1" ht="14.25" customHeight="1" spans="1:7">
      <c r="A333" s="87" t="s">
        <v>324</v>
      </c>
      <c r="B333" s="87" t="s">
        <v>2578</v>
      </c>
      <c r="C333" s="87">
        <v>3840</v>
      </c>
      <c r="D333" s="87">
        <v>3800</v>
      </c>
      <c r="E333" s="87">
        <v>4200</v>
      </c>
      <c r="F333" s="87">
        <v>760</v>
      </c>
      <c r="G333" s="87">
        <v>2270</v>
      </c>
    </row>
    <row r="334" s="73" customFormat="1" ht="14.25" customHeight="1" spans="1:7">
      <c r="A334" s="87" t="s">
        <v>324</v>
      </c>
      <c r="B334" s="87" t="s">
        <v>2579</v>
      </c>
      <c r="C334" s="87">
        <v>3960</v>
      </c>
      <c r="D334" s="87">
        <v>3910</v>
      </c>
      <c r="E334" s="87">
        <v>4340</v>
      </c>
      <c r="F334" s="87">
        <v>780</v>
      </c>
      <c r="G334" s="87">
        <v>2340</v>
      </c>
    </row>
    <row r="335" s="73" customFormat="1" ht="14.25" customHeight="1" spans="1:7">
      <c r="A335" s="87" t="s">
        <v>324</v>
      </c>
      <c r="B335" s="87" t="s">
        <v>2580</v>
      </c>
      <c r="C335" s="87">
        <v>3710</v>
      </c>
      <c r="D335" s="87">
        <v>3670</v>
      </c>
      <c r="E335" s="87">
        <v>4030</v>
      </c>
      <c r="F335" s="87">
        <v>750</v>
      </c>
      <c r="G335" s="87">
        <v>2200</v>
      </c>
    </row>
    <row r="336" s="73" customFormat="1" ht="14.25" customHeight="1" spans="1:7">
      <c r="A336" s="87" t="s">
        <v>324</v>
      </c>
      <c r="B336" s="87" t="s">
        <v>2581</v>
      </c>
      <c r="C336" s="87">
        <v>3570</v>
      </c>
      <c r="D336" s="87">
        <v>3530</v>
      </c>
      <c r="E336" s="87">
        <v>3880</v>
      </c>
      <c r="F336" s="87">
        <v>770</v>
      </c>
      <c r="G336" s="87">
        <v>2110</v>
      </c>
    </row>
    <row r="337" s="73" customFormat="1" ht="14.25" customHeight="1" spans="1:10">
      <c r="A337" s="87" t="s">
        <v>324</v>
      </c>
      <c r="B337" s="87" t="s">
        <v>2582</v>
      </c>
      <c r="C337" s="87">
        <v>3780</v>
      </c>
      <c r="D337" s="87">
        <v>3750</v>
      </c>
      <c r="E337" s="87">
        <v>4130</v>
      </c>
      <c r="F337" s="87">
        <v>750</v>
      </c>
      <c r="G337" s="87">
        <v>2240</v>
      </c>
    </row>
    <row r="338" s="73" customFormat="1" ht="14.25" customHeight="1" spans="1:10">
      <c r="A338" s="87" t="s">
        <v>324</v>
      </c>
      <c r="B338" s="87" t="s">
        <v>2583</v>
      </c>
      <c r="C338" s="87">
        <v>3600</v>
      </c>
      <c r="D338" s="87">
        <v>3570</v>
      </c>
      <c r="E338" s="87">
        <v>3920</v>
      </c>
      <c r="F338" s="87">
        <v>790</v>
      </c>
      <c r="G338" s="87">
        <v>2140</v>
      </c>
    </row>
    <row r="339" s="73" customFormat="1" ht="14.25" customHeight="1" spans="1:10">
      <c r="A339" s="87" t="s">
        <v>324</v>
      </c>
      <c r="B339" s="87" t="s">
        <v>2584</v>
      </c>
      <c r="C339" s="87">
        <v>3540</v>
      </c>
      <c r="D339" s="87">
        <v>3500</v>
      </c>
      <c r="E339" s="87">
        <v>3850</v>
      </c>
      <c r="F339" s="87">
        <v>780</v>
      </c>
      <c r="G339" s="87">
        <v>2100</v>
      </c>
    </row>
    <row r="340" s="73" customFormat="1" ht="14.25" customHeight="1" spans="1:10">
      <c r="A340" s="87" t="s">
        <v>324</v>
      </c>
      <c r="B340" s="87" t="s">
        <v>2585</v>
      </c>
      <c r="C340" s="87">
        <v>3850</v>
      </c>
      <c r="D340" s="87">
        <v>3810</v>
      </c>
      <c r="E340" s="87">
        <v>4210</v>
      </c>
      <c r="F340" s="87">
        <v>750</v>
      </c>
      <c r="G340" s="87">
        <v>2280</v>
      </c>
    </row>
    <row r="341" s="73" customFormat="1" ht="14.25" customHeight="1" spans="1:10">
      <c r="A341" s="87" t="s">
        <v>324</v>
      </c>
      <c r="B341" s="87" t="s">
        <v>2586</v>
      </c>
      <c r="C341" s="87">
        <v>3780</v>
      </c>
      <c r="D341" s="87">
        <v>3750</v>
      </c>
      <c r="E341" s="87">
        <v>4140</v>
      </c>
      <c r="F341" s="87">
        <v>720</v>
      </c>
      <c r="G341" s="87">
        <v>2240</v>
      </c>
    </row>
    <row r="342" s="73" customFormat="1" ht="14.25" customHeight="1" spans="1:10">
      <c r="A342" s="87" t="s">
        <v>324</v>
      </c>
      <c r="B342" s="87" t="s">
        <v>2587</v>
      </c>
      <c r="C342" s="87">
        <v>3670</v>
      </c>
      <c r="D342" s="87">
        <v>3620</v>
      </c>
      <c r="E342" s="87">
        <v>3990</v>
      </c>
      <c r="F342" s="87">
        <v>760</v>
      </c>
      <c r="G342" s="87">
        <v>2170</v>
      </c>
    </row>
    <row r="343" s="73" customFormat="1" ht="14.25" customHeight="1" spans="1:10">
      <c r="A343" s="87" t="s">
        <v>324</v>
      </c>
      <c r="B343" s="87" t="s">
        <v>2588</v>
      </c>
      <c r="C343" s="87">
        <v>3760</v>
      </c>
      <c r="D343" s="87">
        <v>3720</v>
      </c>
      <c r="E343" s="87">
        <v>4090</v>
      </c>
      <c r="F343" s="87">
        <v>780</v>
      </c>
      <c r="G343" s="87">
        <v>2220</v>
      </c>
    </row>
    <row r="344" s="73" customFormat="1" ht="14.25" customHeight="1" spans="1:10">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3"/>
    </row>
    <row r="346" spans="1:10">
      <c r="A346" s="87" t="s">
        <v>324</v>
      </c>
      <c r="B346" s="87" t="s">
        <v>2591</v>
      </c>
      <c r="C346" s="87">
        <v>3630</v>
      </c>
      <c r="D346" s="87">
        <v>3590</v>
      </c>
      <c r="E346" s="87">
        <v>3940</v>
      </c>
      <c r="F346" s="87">
        <v>730</v>
      </c>
      <c r="G346" s="87">
        <v>2150</v>
      </c>
      <c r="J346" s="73"/>
    </row>
    <row r="347" spans="1:10">
      <c r="A347" s="87" t="s">
        <v>324</v>
      </c>
      <c r="B347" s="87" t="s">
        <v>2592</v>
      </c>
      <c r="C347" s="87">
        <v>3860</v>
      </c>
      <c r="D347" s="87">
        <v>3820</v>
      </c>
      <c r="E347" s="87">
        <v>4220</v>
      </c>
      <c r="F347" s="87">
        <v>750</v>
      </c>
      <c r="G347" s="87">
        <v>2280</v>
      </c>
      <c r="J347" s="73"/>
    </row>
    <row r="348" spans="1:10">
      <c r="A348" s="87" t="s">
        <v>324</v>
      </c>
      <c r="B348" s="87" t="s">
        <v>2593</v>
      </c>
      <c r="C348" s="87">
        <v>4000</v>
      </c>
      <c r="D348" s="87">
        <v>3950</v>
      </c>
      <c r="E348" s="87">
        <v>4430</v>
      </c>
      <c r="F348" s="87">
        <v>760</v>
      </c>
      <c r="G348" s="87">
        <v>2360</v>
      </c>
      <c r="J348" s="73"/>
    </row>
    <row r="349" spans="1:10">
      <c r="A349" s="87" t="s">
        <v>324</v>
      </c>
      <c r="B349" s="87" t="s">
        <v>2594</v>
      </c>
      <c r="C349" s="87">
        <v>3820</v>
      </c>
      <c r="D349" s="87">
        <v>3780</v>
      </c>
      <c r="E349" s="87">
        <v>4170</v>
      </c>
      <c r="F349" s="87">
        <v>710</v>
      </c>
      <c r="G349" s="87">
        <v>2260</v>
      </c>
      <c r="J349" s="73"/>
    </row>
    <row r="350" spans="1:10">
      <c r="A350" s="87" t="s">
        <v>324</v>
      </c>
      <c r="B350" s="87" t="s">
        <v>2595</v>
      </c>
      <c r="C350" s="87">
        <v>3760</v>
      </c>
      <c r="D350" s="87">
        <v>3730</v>
      </c>
      <c r="E350" s="87">
        <v>4100</v>
      </c>
      <c r="F350" s="87">
        <v>800</v>
      </c>
      <c r="G350" s="87">
        <v>2230</v>
      </c>
      <c r="J350" s="73"/>
    </row>
    <row r="351" spans="1:10">
      <c r="A351" s="87" t="s">
        <v>324</v>
      </c>
      <c r="B351" s="87" t="s">
        <v>2596</v>
      </c>
      <c r="C351" s="87">
        <v>3610</v>
      </c>
      <c r="D351" s="87">
        <v>3580</v>
      </c>
      <c r="E351" s="87">
        <v>3930</v>
      </c>
      <c r="F351" s="87">
        <v>700</v>
      </c>
      <c r="G351" s="87">
        <v>2140</v>
      </c>
      <c r="J351" s="73"/>
    </row>
    <row r="352" spans="1:10">
      <c r="A352" s="87" t="s">
        <v>324</v>
      </c>
      <c r="B352" s="87" t="s">
        <v>2597</v>
      </c>
      <c r="C352" s="87">
        <v>3670</v>
      </c>
      <c r="D352" s="87">
        <v>3630</v>
      </c>
      <c r="E352" s="87">
        <v>4000</v>
      </c>
      <c r="F352" s="87">
        <v>750</v>
      </c>
      <c r="G352" s="87">
        <v>2180</v>
      </c>
    </row>
    <row r="353" s="74" customFormat="1" spans="1:7">
      <c r="A353" s="87" t="s">
        <v>324</v>
      </c>
      <c r="B353" s="87" t="s">
        <v>2598</v>
      </c>
      <c r="C353" s="87">
        <v>3190</v>
      </c>
      <c r="D353" s="87">
        <v>3150</v>
      </c>
      <c r="E353" s="87">
        <v>3640</v>
      </c>
      <c r="F353" s="87">
        <v>630</v>
      </c>
      <c r="G353" s="87">
        <v>1890</v>
      </c>
    </row>
    <row r="354" s="74" customFormat="1" spans="1:7">
      <c r="A354" s="87" t="s">
        <v>324</v>
      </c>
      <c r="B354" s="87" t="s">
        <v>2599</v>
      </c>
      <c r="C354" s="87">
        <v>3450</v>
      </c>
      <c r="D354" s="87">
        <v>3420</v>
      </c>
      <c r="E354" s="87">
        <v>3960</v>
      </c>
      <c r="F354" s="87">
        <v>660</v>
      </c>
      <c r="G354" s="87">
        <v>2050</v>
      </c>
    </row>
    <row r="355" s="74" customFormat="1" spans="1:7">
      <c r="A355" s="87" t="s">
        <v>324</v>
      </c>
      <c r="B355" s="87" t="s">
        <v>2600</v>
      </c>
      <c r="C355" s="87">
        <v>3650</v>
      </c>
      <c r="D355" s="87">
        <v>3610</v>
      </c>
      <c r="E355" s="87">
        <v>4200</v>
      </c>
      <c r="F355" s="87">
        <v>640</v>
      </c>
      <c r="G355" s="87">
        <v>2160</v>
      </c>
    </row>
    <row r="356" s="74" customFormat="1" spans="1:7">
      <c r="A356" s="87" t="s">
        <v>324</v>
      </c>
      <c r="B356" s="87" t="s">
        <v>2601</v>
      </c>
      <c r="C356" s="87">
        <v>3260</v>
      </c>
      <c r="D356" s="87">
        <v>3230</v>
      </c>
      <c r="E356" s="87">
        <v>3740</v>
      </c>
      <c r="F356" s="87">
        <v>600</v>
      </c>
      <c r="G356" s="87">
        <v>1930</v>
      </c>
    </row>
    <row r="357" s="74" customFormat="1" ht="12" spans="1:7">
      <c r="A357" s="95" t="s">
        <v>324</v>
      </c>
      <c r="B357" s="98" t="s">
        <v>2602</v>
      </c>
      <c r="C357" s="98">
        <v>3690</v>
      </c>
      <c r="D357" s="98">
        <v>3650</v>
      </c>
      <c r="E357" s="98">
        <v>4020</v>
      </c>
      <c r="F357" s="98">
        <v>700</v>
      </c>
      <c r="G357" s="98">
        <v>2190</v>
      </c>
    </row>
    <row r="358" s="74" customFormat="1" spans="1:7">
      <c r="A358" s="92" t="s">
        <v>330</v>
      </c>
      <c r="B358" s="82" t="s">
        <v>2603</v>
      </c>
      <c r="C358" s="82">
        <v>2080</v>
      </c>
      <c r="D358" s="82">
        <v>2040</v>
      </c>
      <c r="E358" s="82">
        <v>2010</v>
      </c>
      <c r="F358" s="82">
        <v>530</v>
      </c>
      <c r="G358" s="99">
        <v>1230</v>
      </c>
    </row>
    <row r="359" s="74" customFormat="1" spans="1:7">
      <c r="A359" s="87" t="s">
        <v>330</v>
      </c>
      <c r="B359" s="87" t="s">
        <v>2604</v>
      </c>
      <c r="C359" s="87">
        <v>1850</v>
      </c>
      <c r="D359" s="87">
        <v>1820</v>
      </c>
      <c r="E359" s="87">
        <v>1780</v>
      </c>
      <c r="F359" s="87">
        <v>520</v>
      </c>
      <c r="G359" s="100">
        <v>1100</v>
      </c>
    </row>
    <row r="360" s="74" customFormat="1" spans="1:7">
      <c r="A360" s="87" t="s">
        <v>330</v>
      </c>
      <c r="B360" s="87" t="s">
        <v>2605</v>
      </c>
      <c r="C360" s="87">
        <v>2020</v>
      </c>
      <c r="D360" s="87">
        <v>1990</v>
      </c>
      <c r="E360" s="87">
        <v>1950</v>
      </c>
      <c r="F360" s="87">
        <v>500</v>
      </c>
      <c r="G360" s="100">
        <v>1200</v>
      </c>
    </row>
    <row r="361" s="74" customFormat="1" spans="1:7">
      <c r="A361" s="87" t="s">
        <v>330</v>
      </c>
      <c r="B361" s="87" t="s">
        <v>2606</v>
      </c>
      <c r="C361" s="87">
        <v>2260</v>
      </c>
      <c r="D361" s="87">
        <v>2220</v>
      </c>
      <c r="E361" s="87">
        <v>2180</v>
      </c>
      <c r="F361" s="87">
        <v>580</v>
      </c>
      <c r="G361" s="100">
        <v>1340</v>
      </c>
    </row>
    <row r="362" s="74" customFormat="1" spans="1:7">
      <c r="A362" s="87" t="s">
        <v>330</v>
      </c>
      <c r="B362" s="87" t="s">
        <v>2607</v>
      </c>
      <c r="C362" s="87">
        <v>2650</v>
      </c>
      <c r="D362" s="87">
        <v>2610</v>
      </c>
      <c r="E362" s="87">
        <v>2570</v>
      </c>
      <c r="F362" s="87">
        <v>630</v>
      </c>
      <c r="G362" s="100">
        <v>1570</v>
      </c>
    </row>
    <row r="363" s="74" customFormat="1" spans="1:7">
      <c r="A363" s="87" t="s">
        <v>330</v>
      </c>
      <c r="B363" s="87" t="s">
        <v>2608</v>
      </c>
      <c r="C363" s="87">
        <v>2390</v>
      </c>
      <c r="D363" s="87">
        <v>2360</v>
      </c>
      <c r="E363" s="87">
        <v>2320</v>
      </c>
      <c r="F363" s="87">
        <v>600</v>
      </c>
      <c r="G363" s="100">
        <v>1420</v>
      </c>
    </row>
    <row r="364" s="74" customFormat="1" spans="1:7">
      <c r="A364" s="87" t="s">
        <v>330</v>
      </c>
      <c r="B364" s="87" t="s">
        <v>2609</v>
      </c>
      <c r="C364" s="87">
        <v>2050</v>
      </c>
      <c r="D364" s="87">
        <v>2030</v>
      </c>
      <c r="E364" s="87">
        <v>1990</v>
      </c>
      <c r="F364" s="87">
        <v>550</v>
      </c>
      <c r="G364" s="100">
        <v>1220</v>
      </c>
    </row>
    <row r="365" s="74" customFormat="1" spans="1:7">
      <c r="A365" s="87" t="s">
        <v>330</v>
      </c>
      <c r="B365" s="87" t="s">
        <v>2610</v>
      </c>
      <c r="C365" s="87">
        <v>2140</v>
      </c>
      <c r="D365" s="87">
        <v>2100</v>
      </c>
      <c r="E365" s="87">
        <v>2060</v>
      </c>
      <c r="F365" s="87">
        <v>540</v>
      </c>
      <c r="G365" s="100">
        <v>1270</v>
      </c>
    </row>
    <row r="366" s="74" customFormat="1" spans="1:7">
      <c r="A366" s="87" t="s">
        <v>330</v>
      </c>
      <c r="B366" s="87" t="s">
        <v>2611</v>
      </c>
      <c r="C366" s="87">
        <v>2410</v>
      </c>
      <c r="D366" s="87">
        <v>2370</v>
      </c>
      <c r="E366" s="87">
        <v>2330</v>
      </c>
      <c r="F366" s="87">
        <v>570</v>
      </c>
      <c r="G366" s="100">
        <v>1440</v>
      </c>
    </row>
    <row r="367" s="74" customFormat="1" spans="1:7">
      <c r="A367" s="87" t="s">
        <v>330</v>
      </c>
      <c r="B367" s="87" t="s">
        <v>2612</v>
      </c>
      <c r="C367" s="87">
        <v>2300</v>
      </c>
      <c r="D367" s="87">
        <v>2260</v>
      </c>
      <c r="E367" s="87">
        <v>2220</v>
      </c>
      <c r="F367" s="87">
        <v>560</v>
      </c>
      <c r="G367" s="100">
        <v>1370</v>
      </c>
    </row>
    <row r="368" s="74" customFormat="1" spans="1:7">
      <c r="A368" s="87" t="s">
        <v>330</v>
      </c>
      <c r="B368" s="87" t="s">
        <v>2613</v>
      </c>
      <c r="C368" s="87">
        <v>2430</v>
      </c>
      <c r="D368" s="87">
        <v>2390</v>
      </c>
      <c r="E368" s="87">
        <v>2350</v>
      </c>
      <c r="F368" s="87">
        <v>570</v>
      </c>
      <c r="G368" s="100">
        <v>1450</v>
      </c>
    </row>
    <row r="369" s="74" customFormat="1" spans="1:7">
      <c r="A369" s="87" t="s">
        <v>330</v>
      </c>
      <c r="B369" s="87" t="s">
        <v>2614</v>
      </c>
      <c r="C369" s="87">
        <v>2320</v>
      </c>
      <c r="D369" s="87">
        <v>2290</v>
      </c>
      <c r="E369" s="87">
        <v>2250</v>
      </c>
      <c r="F369" s="87">
        <v>550</v>
      </c>
      <c r="G369" s="100">
        <v>1380</v>
      </c>
    </row>
    <row r="370" s="74" customFormat="1" spans="1:7">
      <c r="A370" s="87" t="s">
        <v>330</v>
      </c>
      <c r="B370" s="87" t="s">
        <v>2615</v>
      </c>
      <c r="C370" s="87">
        <v>2190</v>
      </c>
      <c r="D370" s="87">
        <v>2170</v>
      </c>
      <c r="E370" s="87">
        <v>2130</v>
      </c>
      <c r="F370" s="87">
        <v>530</v>
      </c>
      <c r="G370" s="100">
        <v>1310</v>
      </c>
    </row>
    <row r="371" s="74" customFormat="1" spans="1:7">
      <c r="A371" s="87" t="s">
        <v>330</v>
      </c>
      <c r="B371" s="87" t="s">
        <v>2616</v>
      </c>
      <c r="C371" s="87">
        <v>2460</v>
      </c>
      <c r="D371" s="87">
        <v>2420</v>
      </c>
      <c r="E371" s="87">
        <v>2370</v>
      </c>
      <c r="F371" s="87">
        <v>560</v>
      </c>
      <c r="G371" s="100">
        <v>1470</v>
      </c>
    </row>
    <row r="372" s="74" customFormat="1" spans="1:7">
      <c r="A372" s="87" t="s">
        <v>330</v>
      </c>
      <c r="B372" s="87" t="s">
        <v>2617</v>
      </c>
      <c r="C372" s="87">
        <v>2250</v>
      </c>
      <c r="D372" s="87">
        <v>2210</v>
      </c>
      <c r="E372" s="87">
        <v>2180</v>
      </c>
      <c r="F372" s="87">
        <v>550</v>
      </c>
      <c r="G372" s="100">
        <v>1340</v>
      </c>
    </row>
    <row r="373" s="74" customFormat="1" spans="1:7">
      <c r="A373" s="87" t="s">
        <v>330</v>
      </c>
      <c r="B373" s="87" t="s">
        <v>2618</v>
      </c>
      <c r="C373" s="87">
        <v>2210</v>
      </c>
      <c r="D373" s="87">
        <v>2190</v>
      </c>
      <c r="E373" s="87">
        <v>2150</v>
      </c>
      <c r="F373" s="87">
        <v>530</v>
      </c>
      <c r="G373" s="100">
        <v>1320</v>
      </c>
    </row>
    <row r="374" s="74" customFormat="1" spans="1:7">
      <c r="A374" s="87" t="s">
        <v>330</v>
      </c>
      <c r="B374" s="87" t="s">
        <v>2619</v>
      </c>
      <c r="C374" s="87">
        <v>2320</v>
      </c>
      <c r="D374" s="87">
        <v>2280</v>
      </c>
      <c r="E374" s="87">
        <v>2230</v>
      </c>
      <c r="F374" s="87">
        <v>580</v>
      </c>
      <c r="G374" s="100">
        <v>1380</v>
      </c>
    </row>
    <row r="375" s="74" customFormat="1" spans="1:7">
      <c r="A375" s="87" t="s">
        <v>330</v>
      </c>
      <c r="B375" s="87" t="s">
        <v>2620</v>
      </c>
      <c r="C375" s="87">
        <v>2090</v>
      </c>
      <c r="D375" s="87">
        <v>2050</v>
      </c>
      <c r="E375" s="87">
        <v>2020</v>
      </c>
      <c r="F375" s="87">
        <v>520</v>
      </c>
      <c r="G375" s="100">
        <v>1240</v>
      </c>
    </row>
    <row r="376" s="74" customFormat="1" spans="1:7">
      <c r="A376" s="87" t="s">
        <v>330</v>
      </c>
      <c r="B376" s="87" t="s">
        <v>2621</v>
      </c>
      <c r="C376" s="87">
        <v>2010</v>
      </c>
      <c r="D376" s="87">
        <v>1980</v>
      </c>
      <c r="E376" s="87">
        <v>1940</v>
      </c>
      <c r="F376" s="87">
        <v>540</v>
      </c>
      <c r="G376" s="100">
        <v>1190</v>
      </c>
    </row>
    <row r="377" s="74" customFormat="1" ht="12" spans="1:7">
      <c r="A377" s="95" t="s">
        <v>330</v>
      </c>
      <c r="B377" s="98" t="s">
        <v>2622</v>
      </c>
      <c r="C377" s="98">
        <v>1930</v>
      </c>
      <c r="D377" s="98">
        <v>1890</v>
      </c>
      <c r="E377" s="98">
        <v>1860</v>
      </c>
      <c r="F377" s="98">
        <v>530</v>
      </c>
      <c r="G377" s="103">
        <v>1150</v>
      </c>
    </row>
    <row r="378" s="74" customFormat="1" spans="1:7">
      <c r="A378" s="104" t="s">
        <v>336</v>
      </c>
      <c r="B378" s="82" t="s">
        <v>2623</v>
      </c>
      <c r="C378" s="82">
        <v>1520</v>
      </c>
      <c r="D378" s="82">
        <v>1490</v>
      </c>
      <c r="E378" s="82">
        <v>1460</v>
      </c>
      <c r="F378" s="82">
        <v>460</v>
      </c>
      <c r="G378" s="99">
        <v>940</v>
      </c>
    </row>
    <row r="379" s="74" customFormat="1" spans="1:7">
      <c r="A379" s="105" t="s">
        <v>336</v>
      </c>
      <c r="B379" s="87" t="s">
        <v>2624</v>
      </c>
      <c r="C379" s="87">
        <v>1500</v>
      </c>
      <c r="D379" s="87">
        <v>1470</v>
      </c>
      <c r="E379" s="87">
        <v>1430</v>
      </c>
      <c r="F379" s="87">
        <v>460</v>
      </c>
      <c r="G379" s="100">
        <v>920</v>
      </c>
    </row>
    <row r="380" s="74" customFormat="1" spans="1:7">
      <c r="A380" s="105" t="s">
        <v>336</v>
      </c>
      <c r="B380" s="87" t="s">
        <v>2625</v>
      </c>
      <c r="C380" s="87">
        <v>1620</v>
      </c>
      <c r="D380" s="87">
        <v>1590</v>
      </c>
      <c r="E380" s="87">
        <v>1560</v>
      </c>
      <c r="F380" s="87">
        <v>480</v>
      </c>
      <c r="G380" s="100">
        <v>1000</v>
      </c>
    </row>
    <row r="381" s="74" customFormat="1" spans="1:7">
      <c r="A381" s="105" t="s">
        <v>336</v>
      </c>
      <c r="B381" s="87" t="s">
        <v>2626</v>
      </c>
      <c r="C381" s="87">
        <v>1460</v>
      </c>
      <c r="D381" s="87">
        <v>1430</v>
      </c>
      <c r="E381" s="87">
        <v>1390</v>
      </c>
      <c r="F381" s="87">
        <v>450</v>
      </c>
      <c r="G381" s="100">
        <v>900</v>
      </c>
    </row>
    <row r="382" s="74" customFormat="1" spans="1:7">
      <c r="A382" s="105" t="s">
        <v>336</v>
      </c>
      <c r="B382" s="87" t="s">
        <v>2627</v>
      </c>
      <c r="C382" s="87">
        <v>1310</v>
      </c>
      <c r="D382" s="87">
        <v>1280</v>
      </c>
      <c r="E382" s="87">
        <v>1250</v>
      </c>
      <c r="F382" s="87">
        <v>440</v>
      </c>
      <c r="G382" s="100">
        <v>800</v>
      </c>
    </row>
    <row r="383" s="74" customFormat="1" spans="1:7">
      <c r="A383" s="105" t="s">
        <v>336</v>
      </c>
      <c r="B383" s="87" t="s">
        <v>2628</v>
      </c>
      <c r="C383" s="87">
        <v>1260</v>
      </c>
      <c r="D383" s="87">
        <v>1230</v>
      </c>
      <c r="E383" s="87">
        <v>1200</v>
      </c>
      <c r="F383" s="87">
        <v>420</v>
      </c>
      <c r="G383" s="100">
        <v>770</v>
      </c>
    </row>
    <row r="384" s="74" customFormat="1" ht="12" spans="1:7">
      <c r="A384" s="106" t="s">
        <v>336</v>
      </c>
      <c r="B384" s="94" t="s">
        <v>2629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50.74</v>
      </c>
      <c r="C4" s="3359">
        <f>项目基本情况!C18</f>
        <v>0</v>
      </c>
      <c r="D4" s="3359">
        <f ca="1">结果表!D118</f>
        <v>105</v>
      </c>
      <c r="E4" s="3359">
        <f ca="1">结果表!E118</f>
        <v>20596</v>
      </c>
      <c r="F4" s="3359">
        <f ca="1">结果表!F118</f>
        <v>22</v>
      </c>
      <c r="G4" s="3359">
        <f ca="1">结果表!G118</f>
        <v>4339</v>
      </c>
      <c r="H4" s="3359">
        <f ca="1">结果表!H118</f>
        <v>127</v>
      </c>
      <c r="I4" s="3359">
        <f ca="1">结果表!I118</f>
        <v>24935</v>
      </c>
    </row>
    <row r="5" ht="30" customHeight="1" spans="1:9">
      <c r="A5" s="3359" t="s">
        <v>112</v>
      </c>
      <c r="B5" s="3359"/>
      <c r="C5" s="3359"/>
      <c r="D5" s="3359" t="str">
        <f ca="1">结果表!D119</f>
        <v>壹佰零伍万元整</v>
      </c>
      <c r="E5" s="3359"/>
      <c r="F5" s="3359" t="str">
        <f ca="1">结果表!F119</f>
        <v>贰拾贰万元整</v>
      </c>
      <c r="G5" s="3359"/>
      <c r="H5" s="3359" t="str">
        <f ca="1">结果表!H119</f>
        <v>壹佰贰拾柒万元整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127</v>
      </c>
      <c r="E8" s="3361"/>
      <c r="F8" s="3361"/>
      <c r="G8" s="3361"/>
      <c r="H8" s="3361"/>
      <c r="I8" s="3361"/>
    </row>
    <row r="9" ht="15" spans="1:9">
      <c r="A9" s="3359" t="s">
        <v>112</v>
      </c>
      <c r="B9" s="3359"/>
      <c r="C9" s="3359"/>
      <c r="D9" s="3359" t="str">
        <f ca="1">结果表!D123</f>
        <v>壹佰贰拾柒万元整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46016</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2025-12-25T02:17:32Z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