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5" i="74" l="1"/>
  <c r="B15" i="74"/>
  <c r="D15" i="74" l="1"/>
  <c r="H30" i="80" s="1"/>
  <c r="H31" i="80" l="1"/>
  <c r="F31" i="80" s="1"/>
  <c r="F30" i="80"/>
  <c r="G15" i="74" l="1"/>
  <c r="C14" i="74" l="1"/>
  <c r="B14" i="74"/>
  <c r="D33" i="43" l="1"/>
  <c r="G84" i="43"/>
  <c r="G85" i="43"/>
  <c r="G86" i="43"/>
  <c r="G87" i="43"/>
  <c r="G88" i="43"/>
  <c r="G89" i="43"/>
  <c r="G90" i="43"/>
  <c r="G83" i="43"/>
  <c r="Y6" i="1" l="1"/>
  <c r="N6" i="1"/>
  <c r="B59" i="1"/>
  <c r="B21" i="1"/>
  <c r="F19" i="6"/>
  <c r="I16" i="3" l="1"/>
  <c r="I15" i="3"/>
  <c r="I14" i="3"/>
  <c r="I13" i="3"/>
  <c r="G23" i="80"/>
  <c r="F23" i="80"/>
  <c r="E23" i="80"/>
  <c r="L5" i="80"/>
  <c r="L4" i="80"/>
  <c r="C16" i="3"/>
  <c r="C15" i="3"/>
  <c r="C14" i="3"/>
  <c r="A3" i="3"/>
  <c r="C11" i="4"/>
  <c r="E7" i="1" l="1"/>
  <c r="E8" i="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6" i="67"/>
  <c r="F42" i="67"/>
  <c r="M6" i="15"/>
  <c r="F42" i="15"/>
  <c r="J15" i="15"/>
  <c r="M23" i="67"/>
  <c r="B11" i="76"/>
  <c r="E12" i="76"/>
  <c r="M22" i="15"/>
  <c r="F37" i="67"/>
  <c r="F43" i="15"/>
  <c r="L47" i="15"/>
  <c r="M6" i="67"/>
  <c r="F7" i="67"/>
  <c r="M28" i="15"/>
  <c r="M24" i="67"/>
  <c r="M26" i="15"/>
  <c r="D7" i="73"/>
  <c r="M9" i="15"/>
  <c r="F4" i="73"/>
  <c r="F43" i="67"/>
  <c r="M24" i="15"/>
  <c r="M28" i="67"/>
  <c r="C76" i="15"/>
  <c r="J15" i="67"/>
  <c r="E11" i="76"/>
  <c r="F36" i="67"/>
  <c r="D4" i="73"/>
  <c r="D5" i="73"/>
  <c r="B13" i="76"/>
  <c r="F8" i="67"/>
  <c r="L48" i="15"/>
  <c r="B9" i="76"/>
  <c r="F9" i="15"/>
  <c r="B12" i="76"/>
  <c r="L48" i="67"/>
  <c r="F6" i="73"/>
  <c r="F13" i="67"/>
  <c r="F38" i="67"/>
  <c r="M26" i="67"/>
  <c r="L47" i="67"/>
  <c r="F5" i="73"/>
  <c r="B8" i="76"/>
  <c r="E2" i="68"/>
  <c r="F26" i="15"/>
  <c r="M8" i="15"/>
  <c r="F16" i="15"/>
  <c r="C76" i="67"/>
  <c r="M9" i="67"/>
  <c r="E7" i="76"/>
  <c r="F37" i="15"/>
  <c r="E9" i="76"/>
  <c r="F9" i="67"/>
  <c r="B7" i="76"/>
  <c r="F7" i="73"/>
  <c r="F16" i="67"/>
  <c r="F20" i="31"/>
  <c r="M29" i="67"/>
  <c r="E2" i="69"/>
  <c r="E13" i="76"/>
  <c r="AO13" i="1"/>
  <c r="F26" i="67"/>
  <c r="D6" i="73"/>
  <c r="M23" i="15"/>
  <c r="E8" i="76"/>
  <c r="E10" i="76"/>
  <c r="M29" i="15"/>
  <c r="F3" i="73"/>
  <c r="F38" i="15"/>
  <c r="F7" i="15"/>
  <c r="B10" i="76"/>
  <c r="M8" i="67"/>
  <c r="F8" i="15"/>
  <c r="D3" i="73"/>
  <c r="F40" i="15"/>
  <c r="F36" i="15"/>
  <c r="F6" i="15"/>
  <c r="F13" i="15"/>
  <c r="M22" i="67"/>
  <c r="D88" i="43" l="1"/>
  <c r="F28" i="15"/>
  <c r="C28" i="15" s="1"/>
  <c r="F32" i="67"/>
  <c r="F60" i="67" s="1"/>
  <c r="F28" i="67"/>
  <c r="C28" i="67" s="1"/>
  <c r="D68" i="9"/>
  <c r="M18" i="15"/>
  <c r="F30" i="69"/>
  <c r="F48" i="69" s="1"/>
  <c r="M18" i="67"/>
  <c r="F31" i="12"/>
  <c r="F30" i="11"/>
  <c r="C48" i="11" s="1"/>
  <c r="C21" i="68"/>
  <c r="C40" i="69"/>
  <c r="BA5" i="3"/>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P6" i="1" s="1"/>
  <c r="C13" i="12"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C30" i="11" l="1"/>
  <c r="C48" i="69"/>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7" i="68" l="1"/>
  <c r="C5" i="68"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3" i="68" l="1"/>
  <c r="C20" i="68"/>
  <c r="C28" i="68" s="1"/>
  <c r="C27" i="68"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22" i="68" l="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F35"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C19" i="9"/>
  <c r="L51" i="67"/>
  <c r="D2" i="21"/>
  <c r="C102" i="9" l="1"/>
  <c r="C21" i="9"/>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7"/>
  <c r="L51" i="15"/>
  <c r="D2" i="34"/>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8" i="1"/>
  <c r="AO9" i="1"/>
  <c r="AO7"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0" i="9"/>
  <c r="D21" i="9" l="1"/>
  <c r="D22" i="9"/>
  <c r="D102" i="9"/>
  <c r="G19" i="9"/>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G21" i="9"/>
  <c r="F34" i="9"/>
  <c r="C34" i="9" s="1"/>
  <c r="D34" i="9" s="1"/>
  <c r="C42" i="40"/>
  <c r="C43" i="40"/>
  <c r="E47" i="40"/>
  <c r="F47" i="40" s="1"/>
  <c r="E46" i="40"/>
  <c r="F46" i="40" s="1"/>
  <c r="I47" i="40"/>
  <c r="J47" i="40" s="1"/>
  <c r="D35" i="9"/>
  <c r="B58" i="40" l="1"/>
  <c r="F58" i="40" s="1"/>
  <c r="B54" i="40"/>
  <c r="F54" i="40" s="1"/>
  <c r="B53" i="40"/>
  <c r="F53" i="40" s="1"/>
  <c r="B59" i="40"/>
  <c r="F59" i="40" s="1"/>
  <c r="B52" i="40"/>
  <c r="F52" i="40" s="1"/>
  <c r="B56" i="40"/>
  <c r="F56" i="40" s="1"/>
  <c r="B60" i="40"/>
  <c r="F60" i="40" s="1"/>
  <c r="B57" i="40"/>
  <c r="F57" i="40" s="1"/>
  <c r="B51" i="40"/>
  <c r="F51" i="40" s="1"/>
  <c r="F61" i="40"/>
  <c r="B2" i="40" s="1"/>
  <c r="B3" i="40" s="1"/>
  <c r="H112" i="9" l="1"/>
  <c r="C8" i="74" s="1"/>
  <c r="H111" i="9"/>
  <c r="D126" i="9" s="1"/>
  <c r="D19" i="53" l="1"/>
  <c r="B38" i="72" s="1"/>
  <c r="D21" i="53"/>
  <c r="B39" i="72" s="1"/>
  <c r="D12" i="52"/>
  <c r="D127" i="9"/>
  <c r="D13" i="52" s="1"/>
  <c r="D20" i="53"/>
  <c r="B40" i="72" s="1"/>
  <c r="D118" i="9"/>
  <c r="D4" i="52" s="1"/>
  <c r="B47" i="72" s="1"/>
  <c r="F118" i="9"/>
  <c r="H118" i="9"/>
  <c r="D14" i="74" l="1"/>
  <c r="H28" i="80" s="1"/>
  <c r="D119" i="9"/>
  <c r="D5" i="52" s="1"/>
  <c r="B49" i="72" s="1"/>
  <c r="C104" i="9"/>
  <c r="H119" i="9"/>
  <c r="H5" i="52" s="1"/>
  <c r="H4" i="52"/>
  <c r="H101" i="9"/>
  <c r="I118" i="9"/>
  <c r="F4" i="52"/>
  <c r="B51" i="72" s="1"/>
  <c r="G118" i="9"/>
  <c r="G4" i="52" s="1"/>
  <c r="B52" i="72" s="1"/>
  <c r="F119" i="9"/>
  <c r="F5" i="52" s="1"/>
  <c r="B53" i="72" s="1"/>
  <c r="F28" i="80" l="1"/>
  <c r="H29" i="80"/>
  <c r="F29" i="80" s="1"/>
  <c r="E14" i="74"/>
  <c r="F14" i="74"/>
  <c r="M48" i="9"/>
  <c r="D5" i="53"/>
  <c r="H107" i="9"/>
  <c r="D45" i="9"/>
  <c r="C105" i="9"/>
  <c r="H102" i="9"/>
  <c r="E118" i="9"/>
  <c r="E4" i="52" s="1"/>
  <c r="B48" i="72" s="1"/>
  <c r="I4" i="52"/>
  <c r="D122" i="9" l="1"/>
  <c r="G14" i="74" s="1"/>
  <c r="H108" i="9"/>
  <c r="D13" i="53"/>
  <c r="M49" i="9"/>
  <c r="D7" i="53"/>
  <c r="B21" i="72" s="1"/>
  <c r="D53" i="9"/>
  <c r="D55" i="9"/>
  <c r="M53" i="9" s="1"/>
  <c r="D52" i="9"/>
  <c r="C78" i="9"/>
  <c r="C73" i="9" s="1"/>
  <c r="C93" i="9"/>
  <c r="C86" i="9" s="1"/>
  <c r="C64" i="9"/>
  <c r="C63" i="9" s="1"/>
  <c r="C67" i="9" s="1"/>
  <c r="C72" i="9"/>
  <c r="C85" i="9"/>
  <c r="B20" i="72"/>
  <c r="D6" i="53"/>
  <c r="B22" i="72" s="1"/>
  <c r="C95" i="9" l="1"/>
  <c r="C96" i="9" s="1"/>
  <c r="E96" i="9" s="1"/>
  <c r="E97" i="9" s="1"/>
  <c r="L64" i="9"/>
  <c r="M64" i="9" s="1"/>
  <c r="L67" i="9"/>
  <c r="M67" i="9" s="1"/>
  <c r="L68" i="9"/>
  <c r="M68" i="9" s="1"/>
  <c r="L65" i="9"/>
  <c r="M65" i="9" s="1"/>
  <c r="L66" i="9"/>
  <c r="M66" i="9" s="1"/>
  <c r="L63" i="9"/>
  <c r="M63" i="9" s="1"/>
  <c r="D15" i="53"/>
  <c r="B31" i="72" s="1"/>
  <c r="C68" i="9"/>
  <c r="D54" i="9" s="1"/>
  <c r="D59" i="9"/>
  <c r="M55" i="9" s="1"/>
  <c r="C79" i="9"/>
  <c r="D14" i="53"/>
  <c r="B32" i="72" s="1"/>
  <c r="B30" i="72"/>
  <c r="D8" i="52"/>
  <c r="D123" i="9"/>
  <c r="D9" i="52" s="1"/>
  <c r="M69" i="9" l="1"/>
  <c r="N69" i="9" s="1"/>
  <c r="C97" i="9"/>
  <c r="D58" i="9" s="1"/>
  <c r="D56" i="9" s="1"/>
  <c r="M54" i="9" s="1"/>
  <c r="N57" i="9" s="1"/>
  <c r="C80" i="9"/>
  <c r="E80" i="9" s="1"/>
  <c r="E81" i="9" s="1"/>
  <c r="N58" i="9" l="1"/>
  <c r="P57" i="9"/>
  <c r="N59" i="9"/>
  <c r="C81" i="9"/>
  <c r="N60" i="9" l="1"/>
  <c r="N61" i="9"/>
  <c r="D16" i="74" l="1"/>
  <c r="H32" i="80" s="1"/>
  <c r="H33" i="80" l="1"/>
  <c r="F33" i="80" s="1"/>
  <c r="F32" i="80"/>
  <c r="E16" i="74"/>
  <c r="F16" i="74"/>
  <c r="B5" i="74"/>
  <c r="F34" i="80" l="1"/>
  <c r="D5" i="74"/>
  <c r="C5" i="74"/>
  <c r="G16"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<sst xmlns="http://schemas.openxmlformats.org/spreadsheetml/2006/main" count="7894" uniqueCount="3489">
  <si>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</si>
  <si>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</si>
  <si>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</si>
  <si>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</si>
  <si>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</si>
  <si>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</si>
  <si>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</si>
  <si>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</si>
  <si>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</si>
  <si>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</si>
  <si>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</si>
  <si>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</si>
  <si>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</si>
  <si>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</si>
  <si>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</si>
  <si>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</si>
  <si>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</si>
  <si>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</si>
  <si>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</si>
  <si>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</si>
  <si>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</si>
  <si>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</si>
  <si>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</si>
  <si>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</si>
  <si>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</si>
  <si>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</si>
  <si>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</si>
  <si>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</si>
  <si>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</si>
  <si>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</si>
  <si>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</si>
  <si>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</si>
  <si>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</si>
  <si>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</si>
  <si>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</si>
  <si>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</si>
  <si>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</si>
  <si>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</si>
  <si>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</si>
  <si>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</si>
  <si>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</si>
  <si>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</si>
  <si>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</si>
  <si>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</si>
  <si>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</si>
  <si>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</si>
  <si>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</si>
  <si>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</si>
  <si>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</si>
  <si>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</si>
  <si>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</si>
  <si>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</si>
  <si>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</si>
  <si>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</si>
  <si>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</si>
  <si>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</si>
  <si>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</si>
  <si>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</si>
  <si>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</si>
  <si>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</si>
  <si>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</si>
  <si>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</si>
  <si>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</si>
  <si>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</si>
  <si>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</si>
  <si>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</si>
  <si>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</si>
  <si>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</si>
  <si>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</si>
  <si>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</si>
  <si>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</si>
  <si>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</si>
  <si>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</si>
  <si>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</si>
  <si>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</si>
  <si>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</si>
  <si>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</si>
  <si>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</si>
  <si>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</si>
  <si>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</si>
  <si>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</si>
  <si>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</si>
  <si>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</si>
  <si>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</si>
  <si>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</si>
  <si>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</si>
  <si>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</si>
  <si>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</si>
  <si>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</si>
  <si>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</si>
  <si>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</si>
  <si>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</si>
  <si>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</si>
  <si>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</si>
  <si>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</si>
  <si>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</si>
  <si>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</si>
  <si>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</si>
  <si>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</si>
  <si>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</si>
  <si>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</si>
  <si>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</si>
  <si>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</si>
  <si>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</si>
  <si>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</si>
  <si>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</si>
  <si>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</si>
  <si>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</si>
  <si>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</si>
  <si>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</si>
  <si>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</si>
  <si>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</si>
  <si>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</si>
  <si>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</si>
  <si>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</si>
  <si>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</si>
  <si>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</si>
  <si>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</si>
  <si>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</si>
  <si>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</si>
  <si>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</si>
  <si>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</si>
  <si>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</si>
  <si>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</si>
  <si>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</si>
  <si>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</si>
  <si>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</si>
  <si>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</si>
  <si>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</si>
  <si>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</si>
  <si>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</si>
  <si>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</si>
  <si>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</si>
  <si>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</si>
  <si>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</si>
  <si>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</si>
  <si>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</si>
  <si>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</si>
  <si>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</si>
  <si>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</si>
  <si>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</si>
  <si>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</si>
  <si>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</si>
  <si>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</si>
  <si>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</si>
  <si>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</si>
  <si>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</si>
  <si>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</si>
  <si>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</si>
  <si>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</si>
  <si>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</si>
  <si>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</si>
  <si>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</si>
  <si>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</si>
  <si>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</si>
  <si>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</si>
  <si>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</si>
  <si>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</si>
  <si>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</si>
  <si>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</si>
  <si>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</si>
  <si>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</si>
  <si>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</si>
  <si>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</si>
  <si>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</si>
  <si>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</si>
  <si>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</si>
  <si>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</si>
  <si>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</si>
  <si>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</si>
  <si>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</si>
  <si>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</si>
  <si>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</si>
  <si>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</si>
  <si>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</si>
  <si>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</si>
  <si>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</si>
  <si>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</si>
  <si>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</si>
  <si>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</si>
  <si>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</si>
  <si>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</si>
  <si>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</si>
  <si>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</si>
  <si>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</si>
  <si>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</si>
  <si>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</si>
  <si>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</si>
  <si>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</si>
  <si>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</si>
  <si>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</si>
  <si>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</si>
  <si>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</si>
  <si>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</si>
  <si>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</si>
  <si>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</si>
  <si>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</si>
  <si>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</si>
  <si>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</si>
  <si>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</si>
  <si>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</si>
  <si>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</si>
  <si>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</si>
  <si>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</si>
  <si>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</si>
  <si>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</si>
  <si>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</si>
  <si>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</si>
  <si>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</si>
  <si>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</si>
  <si>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</si>
  <si>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</si>
  <si>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</si>
  <si>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</si>
  <si>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</si>
  <si>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</si>
  <si>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</si>
  <si>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</si>
  <si>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</si>
  <si>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</si>
  <si>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</si>
  <si>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</si>
  <si>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</si>
  <si>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</si>
  <si>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</si>
  <si>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</si>
  <si>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</si>
  <si>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</si>
  <si>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</si>
  <si>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</si>
  <si>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</si>
  <si>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</si>
  <si>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</si>
  <si>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</si>
  <si>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</si>
  <si>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</si>
  <si>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</si>
  <si>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</si>
  <si>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</si>
  <si>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</si>
  <si>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</si>
  <si>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</si>
  <si>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</si>
  <si>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</si>
  <si>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</si>
  <si>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</si>
  <si>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</si>
  <si>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</si>
  <si>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</si>
  <si>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</si>
  <si>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</si>
  <si>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</si>
  <si>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</si>
  <si>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</si>
  <si>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</si>
  <si>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</si>
  <si>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</si>
  <si>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</si>
  <si>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</si>
  <si>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</si>
  <si>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</si>
  <si>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</si>
  <si>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</si>
  <si>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</si>
  <si>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</si>
  <si>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</si>
  <si>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</si>
  <si>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</si>
  <si>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</si>
  <si>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</si>
  <si>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</si>
  <si>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</si>
  <si>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</si>
  <si>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</si>
  <si>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</si>
  <si>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</si>
  <si>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</si>
  <si>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</si>
  <si>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</si>
  <si>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</si>
  <si>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</si>
  <si>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</si>
  <si>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</si>
  <si>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</si>
  <si>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</si>
  <si>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</si>
  <si>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</si>
  <si>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</si>
  <si>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</si>
  <si>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</si>
  <si>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</si>
  <si>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</si>
  <si>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</si>
  <si>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</si>
  <si>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</si>
  <si>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</si>
  <si>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</si>
  <si>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</si>
  <si>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</si>
  <si>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</si>
  <si>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</si>
  <si>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</si>
  <si>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</si>
  <si>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</si>
  <si>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</si>
  <si>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</si>
  <si>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</si>
  <si>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</si>
  <si>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</si>
  <si>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</si>
  <si>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</si>
  <si>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</si>
  <si>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</si>
  <si>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</si>
  <si>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</si>
  <si>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</si>
  <si>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</si>
  <si>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</si>
  <si>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</si>
  <si>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</si>
  <si>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</si>
  <si>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</si>
  <si>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</si>
  <si>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</si>
  <si>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</si>
  <si>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</si>
  <si>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</si>
  <si>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</si>
  <si>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</si>
  <si>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</si>
  <si>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</si>
  <si>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</si>
  <si>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</si>
  <si>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</si>
  <si>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</si>
  <si>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</si>
  <si>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</si>
  <si>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</si>
  <si>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</si>
  <si>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</si>
  <si>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</si>
  <si>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</si>
  <si>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</si>
  <si>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</si>
  <si>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</si>
  <si>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</si>
  <si>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</si>
  <si>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</si>
  <si>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</si>
  <si>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</si>
  <si>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</si>
  <si>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</si>
  <si>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</si>
  <si>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</si>
  <si>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</si>
  <si>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</si>
  <si>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</si>
  <si>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</si>
  <si>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</si>
  <si>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</si>
  <si>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</si>
  <si>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</si>
  <si>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</si>
  <si>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</si>
  <si>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</si>
  <si>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</si>
  <si>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</si>
  <si>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</si>
  <si>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</si>
  <si>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</si>
  <si>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</si>
  <si>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</si>
  <si>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</si>
  <si>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</si>
  <si>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</si>
  <si>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</si>
  <si>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</si>
  <si>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</si>
  <si>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</si>
  <si>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</si>
  <si>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</si>
  <si>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</si>
  <si>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</si>
  <si>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</si>
  <si>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</si>
  <si>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</si>
  <si>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</si>
  <si>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</si>
  <si>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</si>
  <si>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</si>
  <si>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</si>
  <si>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</si>
  <si>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</si>
  <si>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</si>
  <si>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</si>
  <si>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</si>
  <si>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</si>
  <si>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</si>
  <si>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</si>
  <si>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</si>
  <si>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</si>
  <si>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</si>
  <si>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</si>
  <si>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</si>
  <si>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</si>
  <si>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</si>
  <si>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</si>
  <si>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</si>
  <si>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</si>
  <si>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</si>
  <si>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</si>
  <si>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</si>
  <si>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</si>
  <si>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</si>
  <si>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</si>
  <si>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</si>
  <si>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</si>
  <si>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</si>
  <si>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</si>
  <si>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</si>
  <si>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</si>
  <si>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</si>
  <si>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</si>
  <si>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</si>
  <si>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</si>
  <si>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</si>
  <si>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</si>
  <si>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</si>
  <si>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</si>
  <si>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</si>
  <si>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</si>
  <si>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</si>
  <si>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</si>
  <si>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</si>
  <si>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</si>
  <si>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</si>
  <si>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</si>
  <si>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</si>
  <si>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</si>
  <si>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</si>
  <si>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</si>
  <si>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</si>
  <si>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</si>
  <si>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</si>
  <si>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</si>
  <si>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</si>
  <si>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</si>
  <si>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</si>
  <si>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</si>
  <si>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</si>
  <si>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</si>
  <si>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</si>
  <si>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</si>
  <si>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</si>
  <si>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</si>
  <si>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</si>
  <si>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</si>
  <si>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</si>
  <si>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</si>
  <si>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</si>
  <si>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</si>
  <si>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</si>
  <si>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</si>
  <si>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</si>
  <si>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</si>
  <si>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</si>
  <si>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</si>
  <si>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</si>
  <si>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</si>
  <si>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</si>
  <si>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</si>
  <si>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</si>
  <si>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</si>
  <si>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</si>
  <si>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</si>
  <si>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</si>
  <si>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</si>
  <si>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</si>
  <si>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</si>
  <si>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</si>
  <si>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</si>
  <si>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</si>
  <si>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</si>
  <si>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</si>
  <si>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</si>
  <si>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</si>
  <si>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</si>
  <si>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</si>
  <si>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</si>
  <si>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</si>
  <si>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</si>
  <si>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</si>
  <si>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</si>
  <si>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</si>
  <si>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</si>
  <si>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</si>
  <si>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</si>
  <si>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</si>
  <si>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</si>
  <si>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</si>
  <si>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</si>
  <si>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</si>
  <si>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</si>
  <si>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</si>
  <si>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</si>
  <si>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</si>
  <si>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</si>
  <si>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</si>
  <si>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</si>
  <si>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</si>
  <si>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</si>
  <si>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</si>
  <si>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</si>
  <si>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</si>
  <si>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</si>
  <si>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</si>
  <si>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</si>
  <si>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</si>
  <si>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</si>
  <si>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</si>
  <si>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</si>
  <si>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</si>
  <si>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</si>
  <si>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</si>
  <si>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</si>
  <si>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</si>
  <si>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</si>
  <si>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</si>
  <si>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</si>
  <si>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</si>
  <si>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</si>
  <si>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</si>
  <si>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</si>
  <si>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</si>
  <si>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</si>
  <si>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</si>
  <si>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</si>
  <si>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</si>
  <si>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</si>
  <si>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</si>
  <si>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</si>
  <si>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</si>
  <si>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</si>
  <si>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</si>
  <si>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</si>
  <si>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</si>
  <si>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</si>
  <si>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</si>
  <si>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</si>
  <si>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</si>
  <si>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</si>
  <si>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</si>
  <si>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</si>
  <si>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</si>
  <si>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</si>
  <si>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</si>
  <si>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</si>
  <si>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</si>
  <si>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</si>
  <si>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</si>
  <si>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</si>
  <si>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</si>
  <si>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</si>
  <si>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</si>
  <si>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</si>
  <si>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</si>
  <si>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</si>
  <si>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</si>
  <si>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</si>
  <si>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</si>
  <si>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</si>
  <si>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</si>
  <si>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</si>
  <si>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</si>
  <si>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</si>
  <si>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</si>
  <si>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</si>
  <si>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</si>
  <si>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</si>
  <si>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</si>
  <si>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</si>
  <si>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</si>
  <si>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</si>
  <si>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</si>
  <si>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</si>
  <si>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</si>
  <si>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</si>
  <si>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</si>
  <si>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</si>
  <si>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</si>
  <si>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</si>
  <si>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</si>
  <si>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</si>
  <si>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</si>
  <si>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</si>
  <si>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</si>
  <si>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</si>
  <si>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</si>
  <si>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</si>
  <si>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</si>
  <si>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</si>
  <si>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</si>
  <si>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</si>
  <si>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</si>
  <si>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</si>
  <si>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</si>
  <si>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</si>
  <si>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</si>
  <si>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</si>
  <si>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</si>
  <si>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</si>
  <si>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</si>
  <si>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</si>
  <si>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</si>
  <si>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</si>
  <si>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</si>
  <si>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</si>
  <si>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</si>
  <si>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</si>
  <si>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</si>
  <si>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</si>
  <si>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</si>
  <si>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</si>
  <si>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</si>
  <si>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</si>
  <si>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</si>
  <si>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</si>
  <si>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</si>
  <si>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</si>
  <si>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</si>
  <si>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</si>
  <si>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</si>
  <si>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</si>
  <si>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</si>
  <si>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</si>
  <si>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</si>
  <si>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</si>
  <si>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</si>
  <si>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</si>
  <si>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</si>
  <si>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</si>
  <si>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</si>
  <si>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</si>
  <si>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</si>
  <si>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</si>
  <si>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</si>
  <si>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</si>
  <si>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</si>
  <si>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</si>
  <si>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</si>
  <si>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</si>
  <si>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</si>
  <si>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</si>
  <si>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</si>
  <si>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</si>
  <si>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</si>
  <si>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</si>
  <si>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</si>
  <si>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</si>
  <si>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</si>
  <si>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</si>
  <si>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</si>
  <si>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</si>
  <si>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</si>
  <si>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</si>
  <si>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</si>
  <si>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</si>
  <si>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</si>
  <si>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</si>
  <si>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</si>
  <si>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</si>
  <si>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</si>
  <si>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</si>
  <si>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</si>
  <si>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</si>
  <si>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</si>
  <si>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</si>
  <si>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</si>
  <si>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</si>
  <si>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</si>
  <si>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</si>
  <si>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</si>
  <si>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</si>
  <si>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</si>
  <si>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</si>
  <si>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</si>
  <si>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</si>
  <si>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</si>
  <si>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</si>
  <si>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</si>
  <si>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</si>
  <si>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</si>
  <si>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</si>
  <si>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</si>
  <si>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</si>
  <si>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</si>
  <si>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</si>
  <si>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</si>
  <si>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</si>
  <si>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</si>
  <si>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</si>
  <si>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</si>
  <si>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</si>
  <si>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</si>
  <si>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</si>
  <si>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</si>
  <si>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</si>
  <si>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</si>
  <si>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</si>
  <si>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</si>
  <si>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</si>
  <si>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</si>
  <si>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</si>
  <si>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</si>
  <si>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</si>
  <si>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</si>
  <si>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</si>
  <si>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</si>
  <si>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</si>
  <si>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</si>
  <si>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</si>
  <si>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</si>
  <si>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</si>
  <si>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</si>
  <si>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</si>
  <si>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</si>
  <si>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</si>
  <si>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</si>
  <si>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</si>
  <si>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</si>
  <si>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</si>
  <si>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</si>
  <si>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</si>
  <si>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</si>
  <si>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</si>
  <si>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</si>
  <si>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</si>
  <si>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</si>
  <si>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</si>
  <si>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</si>
  <si>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</si>
  <si>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</si>
  <si>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</si>
  <si>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</si>
  <si>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</si>
  <si>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</si>
  <si>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</si>
  <si>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</si>
  <si>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</si>
  <si>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</si>
  <si>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</si>
  <si>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</si>
  <si>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</si>
  <si>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</si>
  <si>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</si>
  <si>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</si>
  <si>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</si>
  <si>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</si>
  <si>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</si>
  <si>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</si>
  <si>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</si>
  <si>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</si>
  <si>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</si>
  <si>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</si>
  <si>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</si>
  <si>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</si>
  <si>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</si>
  <si>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</si>
  <si>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</si>
  <si>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</si>
  <si>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</si>
  <si>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</si>
  <si>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</si>
  <si>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</si>
  <si>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</si>
  <si>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</si>
  <si>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</si>
  <si>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</si>
  <si>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</si>
  <si>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</si>
  <si>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</si>
  <si>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</si>
  <si>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</si>
  <si>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</si>
  <si>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</si>
  <si>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</si>
  <si>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</si>
  <si>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</si>
  <si>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</si>
  <si>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</si>
  <si>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</si>
  <si>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</si>
  <si>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</si>
  <si>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</si>
  <si>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</si>
  <si>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</si>
  <si>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</si>
  <si>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</si>
  <si>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</si>
  <si>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</si>
  <si>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</si>
  <si>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</si>
  <si>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</si>
  <si>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</si>
  <si>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</si>
  <si>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</si>
  <si>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</si>
  <si>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</si>
  <si>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</si>
  <si>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</si>
  <si>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</si>
  <si>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</si>
  <si>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</si>
  <si>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</si>
  <si>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</si>
  <si>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</si>
  <si>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</si>
  <si>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</si>
  <si>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</si>
  <si>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</si>
  <si>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</si>
  <si>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</si>
  <si>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</si>
  <si>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</si>
  <si>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</si>
  <si>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</si>
  <si>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</si>
  <si>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</si>
  <si>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</si>
  <si>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</si>
  <si>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</si>
  <si>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</si>
  <si>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</si>
  <si>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</si>
  <si>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</si>
  <si>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</si>
  <si>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</si>
  <si>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</si>
  <si>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</si>
  <si>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</si>
  <si>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</si>
  <si>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</si>
  <si>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</si>
  <si>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</si>
  <si>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</si>
  <si>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</si>
  <si>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</si>
  <si>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</si>
  <si>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</si>
  <si>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</si>
  <si>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</si>
  <si>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</si>
  <si>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</si>
  <si>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</si>
  <si>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</si>
  <si>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</si>
  <si>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</si>
  <si>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</si>
  <si>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</si>
  <si>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</si>
  <si>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</si>
  <si>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</si>
  <si>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</si>
  <si>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</si>
  <si>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</si>
  <si>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</si>
  <si>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</si>
  <si>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</si>
  <si>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</si>
  <si>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</si>
  <si>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</si>
  <si>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</si>
  <si>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</si>
  <si>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</si>
  <si>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</si>
  <si>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</si>
  <si>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</si>
  <si>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</si>
  <si>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</si>
  <si>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</si>
  <si>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</si>
  <si>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</si>
  <si>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</si>
  <si>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</si>
  <si>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</si>
  <si>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</si>
  <si>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</si>
  <si>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</si>
  <si>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</si>
  <si>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</si>
  <si>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</si>
  <si>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</si>
  <si>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</si>
  <si>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</si>
  <si>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</si>
  <si>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</si>
  <si>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</si>
  <si>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</si>
  <si>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</si>
  <si>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</si>
  <si>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</si>
  <si>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</si>
  <si>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</si>
  <si>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</si>
  <si>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</si>
  <si>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</si>
  <si>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</si>
  <si>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</si>
  <si>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</si>
  <si>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</si>
  <si>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</si>
  <si>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</si>
  <si>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</si>
  <si>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</si>
  <si>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</si>
  <si>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</si>
  <si>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</si>
  <si>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</si>
  <si>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</si>
  <si>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</si>
  <si>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</si>
  <si>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</si>
  <si>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</si>
  <si>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</si>
  <si>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</si>
  <si>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</si>
  <si>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</si>
  <si>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</si>
  <si>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</si>
  <si>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</si>
  <si>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</si>
  <si>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</si>
  <si>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</si>
  <si>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</si>
  <si>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</si>
  <si>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</si>
  <si>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</si>
  <si>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</si>
  <si>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</si>
  <si>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</si>
  <si>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</si>
  <si>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</si>
  <si>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</si>
  <si>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</si>
  <si>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</si>
  <si>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</si>
  <si>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</si>
  <si>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</si>
  <si>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</si>
  <si>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</si>
  <si>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</si>
  <si>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</si>
  <si>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</si>
  <si>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</si>
  <si>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</si>
  <si>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</si>
  <si>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</si>
  <si>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</si>
  <si>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</si>
  <si>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</si>
  <si>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</si>
  <si>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</si>
  <si>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</si>
  <si>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</si>
  <si>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</si>
  <si>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</si>
  <si>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</si>
  <si>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</si>
  <si>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</si>
  <si>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</si>
  <si>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</si>
  <si>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</si>
  <si>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</si>
  <si>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</si>
  <si>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</si>
  <si>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</si>
  <si>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</si>
  <si>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</si>
  <si>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</si>
  <si>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</si>
  <si>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</si>
  <si>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</si>
  <si>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</si>
  <si>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</si>
  <si>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</si>
  <si>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</si>
  <si>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</si>
  <si>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</si>
  <si>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</si>
  <si>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</si>
  <si>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</si>
  <si>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</si>
  <si>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</si>
  <si>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</si>
  <si>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</si>
  <si>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</si>
  <si>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</si>
  <si>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</si>
  <si>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</si>
  <si>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</si>
  <si>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</si>
  <si>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</si>
  <si>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</si>
  <si>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</si>
  <si>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</si>
  <si>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</si>
  <si>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</si>
  <si>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</si>
  <si>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</si>
  <si>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</si>
  <si>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</si>
  <si>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</si>
  <si>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</si>
  <si>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</si>
  <si>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</si>
  <si>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</si>
  <si>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</si>
  <si>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</si>
  <si>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</si>
  <si>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</si>
  <si>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</si>
  <si>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</si>
  <si>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</si>
  <si>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</si>
  <si>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</si>
  <si>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</si>
  <si>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</si>
  <si>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</si>
  <si>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</si>
  <si>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</si>
  <si>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</si>
  <si>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</si>
  <si>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</si>
  <si>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</si>
  <si>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</si>
  <si>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</si>
  <si>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</si>
  <si>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</si>
  <si>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</si>
  <si>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</si>
  <si>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</si>
  <si>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</si>
  <si>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</si>
  <si>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</si>
  <si>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</si>
  <si>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</si>
  <si>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</si>
  <si>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</si>
  <si>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</si>
  <si>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</si>
  <si>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</si>
  <si>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</si>
  <si>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</si>
  <si>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</si>
  <si>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</si>
  <si>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</si>
  <si>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</si>
  <si>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</si>
  <si>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</si>
  <si>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</si>
  <si>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</si>
  <si>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</si>
  <si>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</si>
  <si>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</si>
  <si>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</si>
  <si>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</si>
  <si>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</si>
  <si>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</si>
  <si>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</si>
  <si>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</si>
  <si>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</si>
  <si>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</si>
  <si>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</si>
  <si>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</si>
  <si>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</si>
  <si>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</si>
  <si>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</si>
  <si>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</si>
  <si>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</si>
  <si>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</si>
  <si>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</si>
  <si>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</si>
  <si>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</si>
  <si>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</si>
  <si>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</si>
  <si>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</si>
  <si>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</si>
  <si>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</si>
  <si>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</si>
  <si>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</si>
  <si>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</si>
  <si>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</si>
  <si>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</si>
  <si>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</si>
  <si>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</si>
  <si>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</si>
  <si>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</si>
  <si>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</si>
  <si>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</si>
  <si>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</si>
  <si>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</si>
  <si>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</si>
  <si>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</si>
  <si>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</si>
  <si>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</si>
  <si>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</si>
  <si>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</si>
  <si>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</si>
  <si>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</si>
  <si>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</si>
  <si>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</si>
  <si>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</si>
  <si>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</si>
  <si>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</si>
  <si>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</si>
  <si>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</si>
  <si>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</si>
  <si>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</si>
  <si>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</si>
  <si>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</si>
  <si>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</si>
  <si>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</si>
  <si>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</si>
  <si>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</si>
  <si>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</si>
  <si>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</si>
  <si>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</si>
  <si>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</si>
  <si>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</si>
  <si>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</si>
  <si>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</si>
  <si>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</si>
  <si>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</si>
  <si>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</si>
  <si>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</si>
  <si>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</si>
  <si>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</si>
  <si>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</si>
  <si>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</si>
  <si>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</si>
  <si>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</si>
  <si>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</si>
  <si>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</si>
  <si>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</si>
  <si>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</si>
  <si>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</si>
  <si>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</si>
  <si>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</si>
  <si>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</si>
  <si>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</si>
  <si>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</si>
  <si>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</si>
  <si>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</si>
  <si>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</si>
  <si>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</si>
  <si>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</si>
  <si>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</si>
  <si>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</si>
  <si>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</si>
  <si>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</si>
  <si>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</si>
  <si>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</si>
  <si>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</si>
  <si>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</si>
  <si>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</si>
  <si>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</si>
  <si>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</si>
  <si>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</si>
  <si>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</si>
  <si>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</si>
  <si>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</si>
  <si>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</si>
  <si>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</si>
  <si>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</si>
  <si>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</si>
  <si>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</si>
  <si>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</si>
  <si>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</si>
  <si>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</si>
  <si>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</si>
  <si>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</si>
  <si>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</si>
  <si>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</si>
  <si>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</si>
  <si>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</si>
  <si>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</si>
  <si>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</si>
  <si>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</si>
  <si>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</si>
  <si>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</si>
  <si>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</si>
  <si>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</si>
  <si>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</si>
  <si>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</si>
  <si>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</si>
  <si>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</si>
  <si>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</si>
  <si>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</si>
  <si>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</si>
  <si>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</si>
  <si>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</si>
  <si>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</si>
  <si>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</si>
  <si>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</si>
  <si>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</si>
  <si>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</si>
  <si>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</si>
  <si>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</si>
  <si>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</si>
  <si>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</si>
  <si>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</si>
  <si>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</si>
  <si>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</si>
  <si>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</si>
  <si>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</si>
  <si>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</si>
  <si>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</si>
  <si>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</si>
  <si>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</si>
  <si>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</si>
  <si>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</si>
  <si>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</si>
  <si>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</si>
  <si>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</si>
  <si>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</si>
  <si>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</si>
  <si>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</si>
  <si>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</si>
  <si>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</si>
  <si>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</si>
  <si>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</si>
  <si>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</si>
  <si>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</si>
  <si>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</si>
  <si>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</si>
  <si>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</si>
  <si>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</si>
  <si>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</si>
  <si>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</si>
  <si>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</si>
  <si>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</si>
  <si>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</si>
  <si>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</si>
  <si>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</si>
  <si>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</si>
  <si>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</si>
  <si>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</si>
  <si>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</si>
  <si>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</si>
  <si>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</si>
  <si>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</si>
  <si>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</si>
  <si>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</si>
  <si>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</si>
  <si>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</si>
  <si>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</si>
  <si>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</si>
  <si>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</si>
  <si>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</si>
  <si>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</si>
  <si>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</si>
  <si>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</si>
  <si>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</si>
  <si>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</si>
  <si>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</si>
  <si>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</si>
  <si>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</si>
  <si>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</si>
  <si>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</si>
  <si>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</si>
  <si>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</si>
  <si>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</si>
  <si>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</si>
  <si>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</si>
  <si>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</si>
  <si>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</si>
  <si>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</si>
  <si>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</si>
  <si>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</si>
  <si>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</si>
  <si>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</si>
  <si>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</si>
  <si>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</si>
  <si>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</si>
  <si>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</si>
  <si>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</si>
  <si>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</si>
  <si>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</si>
  <si>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</si>
  <si>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</si>
  <si>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</si>
  <si>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</si>
  <si>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</si>
  <si>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</si>
  <si>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</si>
  <si>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</si>
  <si>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</si>
  <si>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</si>
  <si>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</si>
  <si>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</si>
  <si>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</si>
  <si>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</si>
  <si>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</si>
  <si>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</si>
  <si>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</si>
  <si>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</si>
  <si>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</si>
  <si>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</si>
  <si>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</si>
  <si>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</si>
  <si>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</si>
  <si>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</si>
  <si>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</si>
  <si>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</si>
  <si>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</si>
  <si>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</si>
  <si>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</si>
  <si>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</si>
  <si>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</si>
  <si>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</si>
  <si>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</si>
  <si>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</si>
  <si>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</si>
  <si>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</si>
  <si>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</si>
  <si>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</si>
  <si>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</si>
  <si>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</si>
  <si>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</si>
  <si>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</si>
  <si>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</si>
  <si>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</si>
  <si>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</si>
  <si>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</si>
  <si>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</si>
  <si>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</si>
  <si>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</si>
  <si>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</si>
  <si>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</si>
  <si>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</si>
  <si>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</si>
  <si>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</si>
  <si>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</si>
  <si>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</si>
  <si>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</si>
  <si>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</si>
  <si>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</si>
  <si>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</si>
  <si>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</si>
  <si>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</si>
  <si>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</si>
  <si>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</si>
  <si>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</si>
  <si>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</si>
  <si>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</si>
  <si>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</si>
  <si>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</si>
  <si>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</si>
  <si>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</si>
  <si>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</si>
  <si>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</si>
  <si>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</si>
  <si>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</si>
  <si>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</si>
  <si>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</si>
  <si>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</si>
  <si>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</si>
  <si>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</si>
  <si>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</si>
  <si>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</si>
  <si>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</si>
  <si>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</si>
  <si>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</si>
  <si>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</si>
  <si>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</si>
  <si>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</si>
  <si>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</si>
  <si>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</si>
  <si>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</si>
  <si>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</si>
  <si>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</si>
  <si>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</si>
  <si>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</si>
  <si>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</si>
  <si>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</si>
  <si>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</si>
  <si>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</si>
  <si>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</si>
  <si>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</si>
  <si>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</si>
  <si>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</si>
  <si>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</si>
  <si>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</si>
  <si>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</si>
  <si>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</si>
  <si>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</si>
  <si>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</si>
  <si>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</si>
  <si>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</si>
  <si>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</si>
  <si>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</si>
  <si>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</si>
  <si>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</si>
  <si>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</si>
  <si>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</si>
  <si>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</si>
  <si>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</si>
  <si>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</si>
  <si>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</si>
  <si>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</si>
  <si>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</si>
  <si>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</si>
  <si>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</si>
  <si>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</si>
  <si>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</si>
  <si>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</si>
  <si>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</si>
  <si>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</si>
  <si>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</si>
  <si>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</si>
  <si>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</si>
  <si>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</si>
  <si>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</si>
  <si>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</si>
  <si>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</si>
  <si>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</si>
  <si>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</si>
  <si>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</si>
  <si>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</si>
  <si>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</si>
  <si>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</si>
  <si>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</si>
  <si>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</si>
  <si>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</si>
  <si>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</si>
  <si>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</si>
  <si>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</si>
  <si>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</si>
  <si>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</si>
  <si>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</si>
  <si>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</si>
  <si>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</si>
  <si>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</si>
  <si>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</si>
  <si>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</si>
  <si>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</si>
  <si>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</si>
  <si>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</si>
  <si>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</si>
  <si>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</si>
  <si>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</si>
  <si>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</si>
  <si>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</si>
  <si>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</si>
  <si>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</si>
  <si>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</si>
  <si>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</si>
  <si>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</si>
  <si>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</si>
  <si>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</si>
  <si>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</si>
  <si>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</si>
  <si>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</si>
  <si>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</si>
  <si>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</si>
  <si>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</si>
  <si>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</si>
  <si>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</si>
  <si>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</si>
  <si>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</si>
  <si>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</si>
  <si>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</si>
  <si>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</si>
  <si>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</si>
  <si>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</si>
  <si>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</si>
  <si>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</si>
  <si>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</si>
  <si>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</si>
  <si>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</si>
  <si>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</si>
  <si>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</si>
  <si>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</si>
  <si>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</si>
  <si>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</si>
  <si>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</si>
  <si>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</si>
  <si>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</si>
  <si>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</si>
  <si>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</si>
  <si>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</si>
  <si>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</si>
  <si>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</si>
  <si>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</si>
  <si>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</si>
  <si>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</si>
  <si>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</si>
  <si>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</si>
  <si>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</si>
  <si>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</si>
  <si>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</si>
  <si>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</si>
  <si>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</si>
  <si>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</si>
  <si>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</si>
  <si>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</si>
  <si>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</si>
  <si>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</si>
  <si>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</si>
  <si>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</si>
  <si>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</si>
  <si>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</si>
  <si>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</si>
  <si>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</si>
  <si>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</si>
  <si>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</si>
  <si>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</si>
  <si>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</si>
  <si>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</si>
  <si>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</si>
  <si>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</si>
  <si>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</si>
  <si>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</si>
  <si>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</si>
  <si>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</si>
  <si>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</si>
  <si>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</si>
  <si>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</si>
  <si>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</si>
  <si>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</si>
  <si>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</si>
  <si>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</si>
  <si>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</si>
  <si>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</si>
  <si>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</si>
  <si>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</si>
  <si>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</si>
  <si>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</si>
  <si>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</si>
  <si>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</si>
  <si>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</si>
  <si>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</si>
  <si>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</si>
  <si>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</si>
  <si>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</si>
  <si>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</si>
  <si>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</si>
  <si>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</si>
  <si>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</si>
  <si>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</si>
  <si>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</si>
  <si>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</si>
  <si>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</si>
  <si>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</si>
  <si>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</si>
  <si>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</si>
  <si>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</si>
  <si>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</si>
  <si>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</si>
  <si>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</si>
  <si>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</si>
  <si>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</si>
  <si>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</si>
  <si>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</si>
  <si>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</si>
  <si>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</si>
  <si>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</si>
  <si>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</si>
  <si>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</si>
  <si>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</si>
  <si>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</si>
  <si>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</si>
  <si>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</si>
  <si>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</si>
  <si>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</si>
  <si>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</si>
  <si>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</si>
  <si>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</si>
  <si>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</si>
  <si>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</si>
  <si>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</si>
  <si>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</si>
  <si>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</si>
  <si>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</si>
  <si>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</si>
  <si>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</si>
  <si>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</si>
  <si>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</si>
  <si>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</si>
  <si>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</si>
  <si>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</si>
  <si>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</si>
  <si>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</si>
  <si>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</si>
  <si>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</si>
  <si>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</si>
  <si>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</si>
  <si>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</si>
  <si>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</si>
  <si>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</si>
  <si>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</si>
  <si>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</si>
  <si>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</si>
  <si>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</si>
  <si>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</si>
  <si>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</si>
  <si>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</si>
  <si>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</si>
  <si>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</si>
  <si>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</si>
  <si>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</si>
  <si>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</si>
  <si>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</si>
  <si>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</si>
  <si>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</si>
  <si>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</si>
  <si>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</si>
  <si>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</si>
  <si>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</si>
  <si>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</si>
  <si>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</si>
  <si>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</si>
  <si>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</si>
  <si>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</si>
  <si>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</si>
  <si>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</si>
  <si>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</si>
  <si>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</si>
  <si>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</si>
  <si>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</si>
  <si>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</si>
  <si>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</si>
  <si>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</si>
  <si>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</si>
  <si>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</si>
  <si>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</si>
  <si>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</si>
  <si>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</si>
  <si>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</si>
  <si>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</si>
  <si>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</si>
  <si>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</si>
  <si>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</si>
  <si>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</si>
  <si>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</si>
  <si>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</si>
  <si>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</si>
  <si>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</si>
  <si>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</si>
  <si>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</si>
  <si>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</si>
  <si>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</si>
  <si>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</si>
  <si>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</si>
  <si>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</si>
  <si>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</si>
  <si>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</si>
  <si>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</si>
  <si>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</si>
  <si>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</si>
  <si>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</si>
  <si>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</si>
  <si>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</si>
  <si>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</si>
  <si>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</si>
  <si>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</si>
  <si>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</si>
  <si>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</si>
  <si>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</si>
  <si>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</si>
  <si>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</si>
  <si>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</si>
  <si>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</si>
  <si>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</si>
  <si>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</si>
  <si>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</si>
  <si>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</si>
  <si>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</si>
  <si>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</si>
  <si>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</si>
  <si>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</si>
  <si>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</si>
  <si>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</si>
  <si>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</si>
  <si>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</si>
  <si>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</si>
  <si>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</si>
  <si>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</si>
  <si>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</si>
  <si>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</si>
  <si>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</si>
  <si>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</si>
  <si>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</si>
  <si>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</si>
  <si>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</si>
  <si>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</si>
  <si>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</si>
  <si>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</si>
  <si>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</si>
  <si>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</si>
  <si>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</si>
  <si>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</si>
  <si>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</si>
  <si>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</si>
  <si>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</si>
  <si>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</si>
  <si>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</si>
  <si>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</si>
  <si>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</si>
  <si>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</si>
  <si>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</si>
  <si>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</si>
  <si>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</si>
  <si>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</si>
  <si>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</si>
  <si>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</si>
  <si>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</si>
  <si>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</si>
  <si>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</si>
  <si>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</si>
  <si>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</si>
  <si>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</si>
  <si>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</si>
  <si>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</si>
  <si>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</si>
  <si>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</si>
  <si>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</si>
  <si>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</si>
  <si>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</si>
  <si>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</si>
  <si>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</si>
  <si>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</si>
  <si>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</si>
  <si>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</si>
  <si>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</si>
  <si>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</si>
  <si>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</si>
  <si>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</si>
  <si>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</si>
  <si>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</si>
  <si>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</si>
  <si>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</si>
  <si>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</si>
  <si>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</si>
  <si>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</si>
  <si>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</si>
  <si>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</si>
  <si>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</si>
  <si>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</si>
  <si>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</si>
  <si>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</si>
  <si>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</si>
  <si>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</si>
  <si>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</si>
  <si>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</si>
  <si>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</si>
  <si>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</si>
  <si>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</si>
  <si>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</si>
  <si>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</si>
  <si>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</si>
  <si>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</si>
  <si>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</si>
  <si>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</si>
  <si>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</si>
  <si>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</si>
  <si>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</si>
  <si>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</si>
  <si>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</si>
  <si>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</si>
  <si>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</si>
  <si>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</si>
  <si>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</si>
  <si>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</si>
  <si>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</si>
  <si>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</si>
  <si>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</si>
  <si>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</si>
  <si>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</si>
  <si>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</si>
  <si>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</si>
  <si>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</si>
  <si>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</si>
  <si>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</si>
  <si>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</si>
  <si>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</si>
  <si>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</si>
  <si>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</si>
  <si>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</si>
  <si>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</si>
  <si>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</si>
  <si>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</si>
  <si>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</si>
  <si>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</si>
  <si>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</si>
  <si>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</si>
  <si>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</si>
  <si>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</si>
  <si>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</si>
  <si>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</si>
  <si>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</si>
  <si>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</si>
  <si>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</si>
  <si>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</si>
  <si>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</si>
  <si>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</si>
  <si>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</si>
  <si>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</si>
  <si>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</si>
  <si>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</si>
  <si>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</si>
  <si>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</si>
  <si>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</si>
  <si>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</si>
  <si>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</si>
  <si>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</si>
  <si>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</si>
  <si>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</si>
  <si>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</si>
  <si>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</si>
  <si>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</si>
  <si>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</si>
  <si>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</si>
  <si>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</si>
  <si>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</si>
  <si>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</si>
  <si>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</si>
  <si>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</si>
  <si>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</si>
  <si>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</si>
  <si>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</si>
  <si>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</si>
  <si>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</si>
  <si>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</si>
  <si>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</si>
  <si>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</si>
  <si>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</si>
  <si>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</si>
  <si>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</si>
  <si>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</si>
  <si>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</si>
  <si>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</si>
  <si>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</si>
  <si>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</si>
  <si>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</si>
  <si>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</si>
  <si>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</si>
  <si>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</si>
  <si>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</si>
  <si>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</si>
  <si>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</si>
  <si>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</si>
  <si>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</si>
  <si>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</si>
  <si>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</si>
  <si>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</si>
  <si>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</si>
  <si>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</si>
  <si>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</si>
  <si>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</si>
  <si>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</si>
  <si>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</si>
  <si>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</si>
  <si>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</si>
  <si>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</si>
  <si>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</si>
  <si>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</si>
  <si>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</si>
  <si>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</si>
  <si>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</si>
  <si>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</si>
  <si>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</si>
  <si>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</si>
  <si>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</si>
  <si>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</si>
  <si>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</si>
  <si>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</si>
  <si>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</si>
  <si>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</si>
  <si>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</si>
  <si>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</si>
  <si>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</si>
  <si>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</si>
  <si>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</si>
  <si>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</si>
  <si>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</si>
  <si>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</si>
  <si>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</si>
  <si>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</si>
  <si>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</si>
  <si>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</si>
  <si>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</si>
  <si>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</si>
  <si>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</si>
  <si>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</si>
  <si>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</si>
  <si>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</si>
  <si>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</si>
  <si>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</si>
  <si>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</si>
  <si>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</si>
  <si>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</si>
  <si>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</si>
  <si>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</si>
  <si>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</si>
  <si>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</si>
  <si>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</si>
  <si>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</si>
  <si>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</si>
  <si>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</si>
  <si>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</si>
  <si>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</si>
  <si>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</si>
  <si>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</si>
  <si>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</si>
  <si>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</si>
  <si>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</si>
  <si>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</si>
  <si>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</si>
  <si>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</si>
  <si>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</si>
  <si>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</si>
  <si>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</si>
  <si>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</si>
  <si>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</si>
  <si>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</si>
  <si>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</si>
  <si>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</si>
  <si>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</si>
  <si>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</si>
  <si>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</si>
  <si>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</si>
  <si>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</si>
  <si>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</si>
  <si>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</si>
  <si>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</si>
  <si>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</si>
  <si>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</si>
  <si>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</si>
  <si>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</si>
  <si>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</si>
  <si>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</si>
  <si>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</si>
  <si>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</si>
  <si>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</si>
  <si>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</si>
  <si>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</si>
  <si>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</si>
  <si>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</si>
  <si>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</si>
  <si>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</si>
  <si>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</si>
  <si>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</si>
  <si>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</si>
  <si>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</si>
  <si>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</si>
  <si>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</si>
  <si>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</si>
  <si>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</si>
  <si>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</si>
  <si>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</si>
  <si>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</si>
  <si>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</si>
  <si>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</si>
  <si>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</si>
  <si>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</si>
  <si>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</si>
  <si>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</si>
  <si>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</si>
  <si>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</si>
  <si>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</si>
  <si>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</si>
  <si>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</si>
  <si>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</si>
  <si>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</si>
  <si>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</si>
  <si>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</si>
  <si>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</si>
  <si>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</si>
  <si>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</si>
  <si>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</si>
  <si>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</si>
  <si>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</si>
  <si>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</si>
  <si>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</si>
  <si>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</si>
  <si>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</si>
  <si>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</si>
  <si>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</si>
  <si>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</si>
  <si>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</si>
  <si>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</si>
  <si>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</si>
  <si>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</si>
  <si>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</si>
  <si>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</si>
  <si>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</si>
  <si>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</si>
  <si>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</si>
  <si>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</si>
  <si>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</si>
  <si>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</si>
  <si>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</si>
  <si>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</si>
  <si>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</si>
  <si>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</si>
  <si>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</si>
  <si>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</si>
  <si>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</si>
  <si>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</si>
  <si>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</si>
  <si>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</si>
  <si>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</si>
  <si>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</si>
  <si>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</si>
  <si>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</si>
  <si>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</si>
  <si>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</si>
  <si>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</si>
  <si>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</si>
  <si>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</si>
  <si>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</si>
  <si>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</si>
  <si>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</si>
  <si>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</si>
  <si>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</si>
  <si>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</si>
  <si>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</si>
  <si>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</si>
  <si>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</si>
  <si>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</si>
  <si>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</si>
  <si>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</si>
  <si>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</si>
  <si>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</si>
  <si>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</si>
  <si>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</si>
  <si>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</si>
  <si>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</si>
  <si>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</si>
  <si>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</si>
  <si>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</si>
  <si>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</si>
  <si>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</si>
  <si>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</si>
  <si>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</si>
  <si>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</si>
  <si>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</si>
  <si>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</si>
  <si>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</si>
  <si>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</si>
  <si>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</si>
  <si>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</si>
  <si>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</si>
  <si>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</si>
  <si>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</si>
  <si>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</si>
  <si>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</si>
  <si>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</si>
  <si>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</si>
  <si>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</si>
  <si>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</si>
  <si>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</si>
  <si>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</si>
  <si>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</si>
  <si>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</si>
  <si>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</si>
  <si>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</si>
  <si>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</si>
  <si>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</si>
  <si>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</si>
  <si>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</si>
  <si>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</si>
  <si>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</si>
  <si>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</si>
  <si>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</si>
  <si>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</si>
  <si>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</si>
  <si>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</si>
  <si>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</si>
  <si>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</si>
  <si>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</si>
  <si>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</si>
  <si>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</si>
  <si>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</si>
  <si>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</si>
  <si>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</si>
  <si>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</si>
  <si>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</si>
  <si>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</si>
  <si>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</si>
  <si>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</si>
  <si>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</si>
  <si>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</si>
  <si>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</si>
  <si>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</si>
  <si>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</si>
  <si>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</si>
  <si>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</si>
  <si>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</si>
  <si>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</si>
  <si>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</si>
  <si>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</si>
  <si>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</si>
  <si>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</si>
  <si>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</si>
  <si>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</si>
  <si>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</si>
  <si>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</si>
  <si>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</si>
  <si>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</si>
  <si>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</si>
  <si>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</si>
  <si>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</si>
  <si>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</si>
  <si>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</si>
  <si>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</si>
  <si>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</si>
  <si>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</si>
  <si>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</si>
  <si>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</si>
  <si>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</si>
  <si>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</si>
  <si>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</si>
  <si>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</si>
  <si>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</si>
  <si>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</si>
  <si>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</si>
  <si>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</si>
  <si>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</si>
  <si>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</si>
  <si>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</si>
  <si>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</si>
  <si>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</si>
  <si>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</si>
  <si>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</si>
  <si>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</si>
  <si>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</si>
  <si>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</si>
  <si>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</si>
  <si>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</si>
  <si>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</si>
  <si>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</si>
  <si>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</si>
  <si>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</si>
  <si>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</si>
  <si>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</si>
  <si>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</si>
  <si>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</si>
  <si>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</si>
  <si>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</si>
  <si>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</si>
  <si>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</si>
  <si>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</si>
  <si>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</si>
  <si>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</si>
  <si>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</si>
  <si>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</si>
  <si>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</si>
  <si>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</si>
  <si>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</si>
  <si>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</si>
  <si>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</si>
  <si>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</si>
  <si>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</si>
  <si>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</si>
  <si>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</si>
  <si>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</si>
  <si>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</si>
  <si>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</si>
  <si>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</si>
  <si>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</si>
  <si>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</si>
  <si>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</si>
  <si>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</si>
  <si>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</si>
  <si>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</si>
  <si>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</si>
  <si>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</si>
  <si>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</si>
  <si>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</si>
  <si>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</si>
  <si>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</si>
  <si>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</si>
  <si>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</si>
  <si>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</si>
  <si>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</si>
  <si>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</si>
  <si>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</si>
  <si>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</si>
  <si>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</si>
  <si>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</si>
  <si>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</si>
  <si>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</si>
  <si>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</si>
  <si>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</si>
  <si>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</si>
  <si>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</si>
  <si>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</si>
  <si>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</si>
  <si>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</si>
  <si>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</si>
  <si>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</si>
  <si>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</si>
  <si>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</si>
  <si>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</si>
  <si>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</si>
  <si>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</si>
  <si>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</si>
  <si>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</si>
  <si>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</si>
  <si>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</si>
  <si>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</si>
  <si>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</si>
  <si>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</si>
  <si>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</si>
  <si>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</si>
  <si>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</si>
  <si>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</si>
  <si>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</si>
  <si>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</si>
  <si>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</si>
  <si>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</si>
  <si>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</si>
  <si>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</si>
  <si>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</si>
  <si>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</si>
  <si>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</si>
  <si>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</si>
  <si>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</si>
  <si>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</si>
  <si>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</si>
  <si>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</si>
  <si>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</si>
  <si>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</si>
  <si>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</si>
  <si>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</si>
  <si>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</si>
  <si>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</si>
  <si>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</si>
  <si>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</si>
  <si>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</si>
  <si>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</si>
  <si>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</si>
  <si>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</si>
  <si>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</si>
  <si>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</si>
  <si>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</si>
  <si>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</si>
  <si>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</si>
  <si>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</si>
  <si>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</si>
  <si>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</si>
  <si>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</si>
  <si>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</si>
  <si>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</si>
  <si>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</si>
  <si>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</si>
  <si>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</si>
  <si>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</si>
  <si>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</si>
  <si>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</si>
  <si>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</si>
  <si>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</si>
  <si>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</si>
  <si>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</si>
  <si>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</si>
  <si>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</si>
  <si>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</si>
  <si>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</si>
  <si>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</si>
  <si>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</si>
  <si>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</si>
  <si>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</si>
  <si>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</si>
  <si>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</si>
  <si>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</si>
  <si>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</si>
  <si>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</si>
  <si>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</si>
  <si>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</si>
  <si>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</si>
  <si>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</si>
  <si>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</si>
  <si>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</si>
  <si>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</si>
  <si>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</si>
  <si>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</si>
  <si>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</si>
  <si>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</si>
  <si>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</si>
  <si>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</si>
  <si>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</si>
  <si>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</si>
  <si>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</si>
  <si>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</si>
  <si>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</si>
  <si>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</si>
  <si>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</si>
  <si>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</si>
  <si>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</si>
  <si>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</si>
  <si>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</si>
  <si>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</si>
  <si>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</si>
  <si>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</si>
  <si>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</si>
  <si>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</si>
  <si>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</si>
  <si>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</si>
  <si>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</si>
  <si>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</si>
  <si>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</si>
  <si>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</si>
  <si>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</si>
  <si>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</si>
  <si>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</si>
  <si>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</si>
  <si>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</si>
  <si>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</si>
  <si>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</si>
  <si>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</si>
  <si>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</si>
  <si>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</si>
  <si>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</si>
  <si>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</si>
  <si>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</si>
  <si>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</si>
  <si>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</si>
  <si>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</si>
  <si>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</si>
  <si>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</si>
  <si>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</si>
  <si>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</si>
  <si>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</si>
  <si>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</si>
  <si>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</si>
  <si>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</si>
  <si>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</si>
  <si>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</si>
  <si>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</si>
  <si>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</si>
  <si>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</si>
  <si>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</si>
  <si>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</si>
  <si>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</si>
  <si>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</si>
  <si>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</si>
  <si>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</si>
  <si>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</si>
  <si>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</si>
  <si>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</si>
  <si>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</si>
  <si>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</si>
  <si>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</si>
  <si>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</si>
  <si>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</si>
  <si>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</si>
  <si>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</si>
  <si>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</si>
  <si>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</si>
  <si>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</si>
  <si>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</si>
  <si>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</si>
  <si>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</si>
  <si>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</si>
  <si>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</si>
  <si>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</si>
  <si>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</si>
  <si>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</si>
  <si>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</si>
  <si>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</si>
  <si>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</si>
  <si>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</si>
  <si>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</si>
  <si>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</si>
  <si>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</si>
  <si>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</si>
  <si>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</si>
  <si>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</si>
  <si>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</si>
  <si>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</si>
  <si>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</si>
  <si>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</si>
  <si>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</si>
  <si>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</si>
  <si>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</si>
  <si>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</si>
  <si>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</si>
  <si>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</si>
  <si>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</si>
  <si>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</si>
  <si>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</si>
  <si>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</si>
  <si>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</si>
  <si>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</si>
  <si>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</si>
  <si>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</si>
  <si>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</si>
  <si>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</si>
  <si>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</si>
  <si>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</si>
  <si>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</si>
  <si>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</si>
  <si>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</si>
  <si>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</si>
  <si>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</si>
  <si>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</si>
  <si>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</si>
  <si>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</si>
  <si>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</si>
  <si>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</si>
  <si>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</si>
  <si>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</si>
  <si>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</si>
  <si>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</si>
  <si>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</si>
  <si>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</si>
  <si>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</si>
  <si>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</si>
  <si>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</si>
  <si>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</si>
  <si>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</si>
  <si>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</si>
  <si>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</si>
  <si>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</si>
  <si>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</si>
  <si>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</si>
  <si>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</si>
  <si>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</si>
  <si>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</si>
  <si>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</si>
  <si>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</si>
  <si>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</si>
  <si>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</si>
  <si>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</si>
  <si>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</si>
  <si>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</si>
  <si>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</si>
  <si>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</si>
  <si>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</si>
  <si>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</si>
  <si>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</si>
  <si>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</si>
  <si>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</si>
  <si>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</si>
  <si>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</si>
  <si>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</si>
  <si>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</si>
  <si>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</si>
  <si>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</si>
  <si>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</si>
  <si>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</si>
  <si>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</si>
  <si>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</si>
  <si>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</si>
  <si>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</si>
  <si>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</si>
  <si>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</si>
  <si>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</si>
  <si>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</si>
  <si>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</si>
  <si>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</si>
  <si>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</si>
  <si>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</si>
  <si>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</si>
  <si>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</si>
  <si>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</si>
  <si>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</si>
  <si>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</si>
  <si>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</si>
  <si>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</si>
  <si>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</si>
  <si>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</si>
  <si>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</si>
  <si>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</si>
  <si>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</si>
  <si>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</si>
  <si>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</si>
  <si>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</si>
  <si>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</si>
  <si>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</si>
  <si>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</si>
  <si>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</si>
  <si>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</si>
  <si>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</si>
  <si>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</si>
  <si>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</si>
  <si>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</si>
  <si>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</si>
  <si>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</si>
  <si>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</si>
  <si>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</si>
  <si>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</si>
  <si>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</si>
  <si>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</si>
  <si>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</si>
  <si>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</si>
  <si>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</si>
  <si>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</si>
  <si>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</si>
  <si>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</si>
  <si>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</si>
  <si>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</si>
  <si>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</si>
  <si>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</si>
  <si>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</si>
  <si>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</si>
  <si>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</si>
  <si>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</si>
  <si>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</si>
  <si>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</si>
  <si>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</si>
  <si>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</si>
  <si>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</si>
  <si>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</si>
  <si>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</si>
  <si>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</si>
  <si>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</si>
  <si>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</si>
  <si>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</si>
  <si>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</si>
  <si>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</si>
  <si>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</si>
  <si>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</si>
  <si>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</si>
  <si>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</si>
  <si>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</si>
  <si>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</si>
  <si>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</si>
  <si>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</si>
  <si>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</si>
  <si>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</si>
  <si>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</si>
  <si>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</si>
  <si>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</si>
  <si>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</si>
  <si>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</si>
  <si>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</si>
  <si>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</si>
  <si>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</si>
  <si>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</si>
  <si>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</si>
  <si>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</si>
  <si>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</si>
  <si>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</si>
  <si>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</si>
  <si>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</si>
  <si>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</si>
  <si>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</si>
  <si>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</si>
  <si>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</si>
  <si>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</si>
  <si>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</si>
  <si>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</si>
  <si>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</si>
  <si>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</si>
  <si>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</si>
  <si>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</si>
  <si>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</si>
  <si>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</si>
  <si>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</si>
  <si>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</si>
  <si>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</si>
  <si>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</si>
  <si>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</si>
  <si>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</si>
  <si>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</si>
  <si>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</si>
  <si>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</si>
  <si>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</si>
  <si>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</si>
  <si>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</si>
  <si>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</si>
  <si>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</si>
  <si>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</si>
  <si>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</si>
  <si>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</si>
  <si>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</si>
  <si>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</si>
  <si>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</si>
  <si>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</si>
  <si>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</si>
  <si>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</si>
  <si>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</si>
  <si>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</si>
  <si>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</si>
  <si>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</si>
  <si>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</si>
  <si>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</si>
  <si>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</si>
  <si>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</si>
  <si>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</si>
  <si>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</si>
  <si>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</si>
  <si>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</si>
  <si>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</si>
  <si>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</si>
  <si>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</si>
  <si>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</si>
  <si>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</si>
  <si>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</si>
  <si>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</si>
  <si>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</si>
  <si>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</si>
  <si>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</si>
  <si>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</si>
  <si>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</si>
  <si>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</si>
  <si>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</si>
  <si>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</si>
  <si>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</si>
  <si>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</si>
  <si>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</si>
  <si>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</si>
  <si>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</si>
  <si>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</si>
  <si>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</si>
  <si>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</si>
  <si>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</si>
  <si>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</si>
  <si>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</si>
  <si>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</si>
  <si>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</si>
  <si>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</si>
  <si>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</si>
  <si>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</si>
  <si>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</si>
  <si>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</si>
  <si>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</si>
  <si>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</si>
  <si>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</si>
  <si>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</si>
  <si>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</si>
  <si>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</si>
  <si>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</si>
  <si>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</si>
  <si>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</si>
  <si>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</si>
  <si>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</si>
  <si>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</si>
  <si>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</si>
  <si>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</si>
  <si>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</si>
  <si>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</si>
  <si>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</si>
  <si>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</si>
  <si>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</si>
  <si>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</si>
  <si>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</si>
  <si>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</si>
  <si>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</si>
  <si>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</si>
  <si>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</si>
  <si>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</si>
  <si>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</si>
  <si>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</si>
  <si>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</si>
  <si>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</si>
  <si>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</si>
  <si>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</si>
  <si>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</si>
  <si>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</si>
  <si>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</si>
  <si>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</si>
  <si>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</si>
  <si>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</si>
  <si>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</si>
  <si>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</si>
  <si>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</si>
  <si>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</si>
  <si>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</si>
  <si>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</si>
  <si>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</si>
  <si>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</si>
  <si>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</si>
  <si>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</si>
  <si>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</si>
  <si>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</si>
  <si>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</si>
  <si>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</si>
  <si>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</si>
  <si>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</si>
  <si>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</si>
  <si>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</si>
  <si>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</si>
  <si>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</si>
  <si>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</si>
  <si>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</si>
  <si>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</si>
  <si>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</si>
  <si>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</si>
  <si>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</si>
  <si>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</si>
  <si>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</si>
  <si>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</si>
  <si>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</si>
  <si>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</si>
  <si>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</si>
  <si>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</si>
  <si>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</si>
  <si>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</si>
  <si>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</si>
  <si>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</si>
  <si>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</si>
  <si>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</si>
  <si>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</si>
  <si>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</si>
  <si>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</si>
  <si>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</si>
  <si>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</si>
  <si>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</si>
  <si>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</si>
  <si>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</si>
  <si>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</si>
  <si>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</si>
  <si>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</si>
  <si>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</si>
  <si>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</si>
  <si>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</si>
  <si>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</si>
  <si>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</si>
  <si>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</si>
  <si>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</si>
  <si>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</si>
  <si>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</si>
  <si>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</si>
  <si>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</si>
  <si>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</si>
  <si>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</si>
  <si>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</si>
  <si>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</si>
  <si>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</si>
  <si>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</si>
  <si>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</si>
  <si>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</si>
  <si>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</si>
  <si>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</si>
  <si>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</si>
  <si>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</si>
  <si>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</si>
  <si>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</si>
  <si>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</si>
  <si>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</si>
  <si>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</si>
  <si>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</si>
  <si>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</si>
  <si>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</si>
  <si>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</si>
  <si>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</si>
  <si>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</si>
  <si>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</si>
  <si>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</si>
  <si>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</si>
  <si>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</si>
  <si>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</si>
  <si>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</si>
  <si>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</si>
  <si>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</si>
  <si>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</si>
  <si>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</si>
  <si>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</si>
  <si>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</si>
  <si>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</si>
  <si>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</si>
  <si>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</si>
  <si>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</si>
  <si>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</si>
  <si>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</si>
  <si>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</si>
  <si>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</si>
  <si>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</si>
  <si>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</si>
  <si>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</si>
  <si>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</si>
  <si>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</si>
  <si>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</si>
  <si>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</si>
  <si>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</si>
  <si>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</si>
  <si>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</si>
  <si>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</si>
  <si>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</si>
  <si>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</si>
  <si>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</si>
  <si>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</si>
  <si>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</si>
  <si>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</si>
  <si>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</si>
  <si>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</si>
  <si>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</si>
  <si>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</si>
  <si>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</si>
  <si>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</si>
  <si>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</si>
  <si>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</si>
  <si>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</si>
  <si>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</si>
  <si>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</si>
  <si>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</si>
  <si>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</si>
  <si>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</si>
  <si>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</si>
  <si>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</si>
  <si>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</si>
  <si>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</si>
  <si>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</si>
  <si>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</si>
  <si>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</si>
  <si>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</si>
  <si>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</si>
  <si>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</si>
  <si>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</si>
  <si>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</si>
  <si>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</si>
  <si>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</si>
  <si>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</si>
  <si>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</si>
  <si>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</si>
  <si>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</si>
  <si>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</si>
  <si>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</si>
  <si>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</si>
  <si>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</si>
  <si>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</si>
  <si>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</si>
  <si>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</si>
  <si>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</si>
  <si>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</si>
  <si>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</si>
  <si>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</si>
  <si>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</si>
  <si>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</si>
  <si>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</si>
  <si>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</si>
  <si>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</si>
  <si>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</si>
  <si>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</si>
  <si>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</si>
  <si>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</si>
  <si>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</si>
  <si>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</si>
  <si>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</si>
  <si>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</si>
  <si>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</si>
  <si>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</si>
  <si>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</si>
  <si>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</si>
  <si>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</si>
  <si>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</si>
  <si>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</si>
  <si>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</si>
  <si>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</si>
  <si>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</si>
  <si>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</si>
  <si>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</si>
  <si>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</si>
  <si>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</si>
  <si>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</si>
  <si>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</si>
  <si>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</si>
  <si>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</si>
  <si>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</si>
  <si>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</si>
  <si>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</si>
  <si>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</si>
  <si>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</si>
  <si>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</si>
  <si>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</si>
  <si>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</si>
  <si>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</si>
  <si>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</si>
  <si>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</si>
  <si>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</si>
  <si>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</si>
  <si>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</si>
  <si>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</si>
  <si>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</si>
  <si>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</si>
  <si>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</si>
  <si>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</si>
  <si>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</si>
  <si>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</si>
  <si>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</si>
  <si>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</si>
  <si>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</si>
  <si>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</si>
  <si>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</si>
  <si>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</si>
  <si>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</si>
  <si>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</si>
  <si>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</si>
  <si>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</si>
  <si>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</si>
  <si>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</si>
  <si>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</si>
  <si>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</si>
  <si>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</si>
  <si>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</si>
  <si>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</si>
  <si>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</si>
  <si>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</si>
  <si>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</si>
  <si>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</si>
  <si>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</si>
  <si>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</si>
  <si>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</si>
  <si>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</si>
  <si>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</si>
  <si>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</si>
  <si>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</si>
  <si>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</si>
  <si>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</si>
  <si>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</si>
  <si>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</si>
  <si>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</si>
  <si>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</si>
  <si>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</si>
  <si>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</si>
  <si>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</si>
  <si>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</si>
  <si>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</si>
  <si>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</si>
  <si>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</si>
  <si>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</si>
  <si>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</si>
  <si>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</si>
  <si>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</si>
  <si>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</si>
  <si>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</si>
  <si>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</si>
  <si>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</si>
  <si>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</si>
  <si>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</si>
  <si>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</si>
  <si>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</si>
  <si>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</si>
  <si>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</si>
  <si>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</si>
  <si>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</si>
  <si>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</si>
  <si>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</si>
  <si>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</si>
  <si>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</si>
  <si>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</si>
  <si>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</si>
  <si>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</si>
  <si>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</si>
  <si>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</si>
  <si>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</si>
  <si>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</si>
  <si>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</si>
  <si>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</si>
  <si>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</si>
  <si>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</si>
  <si>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</si>
  <si>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</si>
  <si>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</si>
  <si>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</si>
  <si>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</si>
  <si>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</si>
  <si>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</si>
  <si>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</si>
  <si>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</si>
  <si>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</si>
  <si>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</si>
  <si>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</si>
  <si>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</si>
  <si>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</si>
  <si>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</si>
  <si>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</si>
  <si>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</si>
  <si>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</si>
  <si>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</si>
  <si>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</si>
  <si>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</si>
  <si>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</si>
  <si>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</si>
  <si>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</si>
  <si>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</si>
  <si>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</si>
  <si>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</si>
  <si>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</si>
  <si>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</si>
  <si>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</si>
  <si>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</si>
  <si>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</si>
  <si>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</si>
  <si>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</si>
  <si>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</si>
  <si>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</si>
  <si>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</si>
  <si>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</si>
  <si>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</si>
  <si>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</si>
  <si>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</si>
  <si>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</si>
  <si>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</si>
  <si>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</si>
  <si>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</si>
  <si>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</si>
  <si>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</si>
  <si>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</si>
  <si>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</si>
  <si>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</si>
  <si>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</si>
  <si>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</si>
  <si>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</si>
  <si>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</si>
  <si>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</si>
  <si>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</si>
  <si>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</si>
  <si>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</si>
  <si>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</si>
  <si>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</si>
  <si>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</si>
  <si>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</si>
  <si>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</si>
  <si>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</si>
  <si>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</si>
  <si>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</si>
  <si>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</si>
  <si>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</si>
  <si>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</si>
  <si>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</si>
  <si>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</si>
  <si>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</si>
  <si>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</si>
  <si>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</si>
  <si>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</si>
  <si>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</si>
  <si>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</si>
  <si>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</si>
  <si>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</si>
  <si>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</si>
  <si>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</si>
  <si>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</si>
  <si>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</si>
  <si>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</si>
  <si>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</si>
  <si>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</si>
  <si>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</si>
  <si>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</si>
  <si>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</si>
  <si>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</si>
  <si>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</si>
  <si>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</si>
  <si>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</si>
  <si>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</si>
  <si>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</si>
  <si>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</si>
  <si>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</si>
  <si>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</si>
  <si>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</si>
  <si>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</si>
  <si>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</si>
  <si>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</si>
  <si>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</si>
  <si>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</si>
  <si>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</si>
  <si>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</si>
  <si>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</si>
  <si>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</si>
  <si>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</si>
  <si>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</si>
  <si>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</si>
  <si>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</si>
  <si>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</si>
  <si>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</si>
  <si>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</si>
  <si>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</si>
  <si>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</si>
  <si>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</si>
  <si>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</si>
  <si>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</si>
  <si>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</si>
  <si>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</si>
  <si>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</si>
  <si>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</si>
  <si>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</si>
  <si>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</si>
  <si>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</si>
  <si>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</si>
  <si>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</si>
  <si>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</si>
  <si>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</si>
  <si>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</si>
  <si>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</si>
  <si>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</si>
  <si>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</si>
  <si>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</si>
  <si>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</si>
  <si>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</si>
  <si>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</si>
  <si>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</si>
  <si>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</si>
  <si>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</si>
  <si>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</si>
  <si>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</si>
  <si>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</si>
  <si>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</si>
  <si>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</si>
  <si>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</si>
  <si>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</si>
  <si>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</si>
  <si>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</si>
  <si>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</si>
  <si>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</si>
  <si>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</si>
  <si>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</si>
  <si>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</si>
  <si>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</si>
  <si>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</si>
  <si>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</si>
  <si>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</si>
  <si>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</si>
  <si>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</si>
  <si>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</si>
  <si>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</si>
  <si>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</si>
  <si>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</si>
  <si>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</si>
  <si>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</si>
  <si>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</si>
  <si>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</si>
  <si>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</si>
  <si>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</si>
  <si>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</si>
  <si>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</si>
  <si>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</si>
  <si>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</si>
  <si>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</si>
  <si>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</si>
  <si>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</si>
  <si>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</si>
  <si>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</si>
  <si>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</si>
  <si>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</si>
  <si>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</si>
  <si>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</si>
  <si>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</si>
  <si>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</si>
  <si>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</si>
  <si>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</si>
  <si>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</si>
  <si>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</si>
  <si>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</si>
  <si>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</si>
  <si>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</si>
  <si>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</si>
  <si>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</si>
  <si>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</si>
  <si>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</si>
  <si>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</si>
  <si>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</si>
  <si>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</si>
  <si>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</si>
  <si>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</si>
  <si>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</si>
  <si>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</si>
  <si>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</si>
  <si>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</si>
  <si>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</si>
  <si>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</si>
  <si>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</si>
  <si>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</si>
  <si>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</si>
  <si>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</si>
  <si>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</si>
  <si>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</si>
  <si>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</si>
  <si>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</si>
  <si>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</si>
  <si>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</si>
  <si>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</si>
  <si>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</si>
  <si>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</si>
  <si>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</si>
  <si>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</si>
  <si>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</si>
  <si>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</si>
  <si>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</si>
  <si>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</si>
  <si>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</si>
  <si>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</si>
  <si>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</si>
  <si>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</si>
  <si>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</si>
  <si>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</si>
  <si>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</si>
  <si>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</si>
  <si>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</si>
  <si>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</si>
  <si>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</si>
  <si>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</si>
  <si>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</si>
  <si>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</si>
  <si>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</si>
  <si>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</si>
  <si>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</si>
  <si>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</si>
  <si>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</si>
  <si>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</si>
  <si>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</si>
  <si>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</si>
  <si>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</si>
  <si>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</si>
  <si>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</si>
  <si>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</si>
  <si>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</si>
  <si>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</si>
  <si>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</si>
  <si>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</si>
  <si>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</si>
  <si>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</si>
  <si>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</si>
  <si>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</si>
  <si>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</si>
  <si>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</si>
  <si>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</si>
  <si>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</si>
  <si>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</si>
  <si>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</si>
  <si>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</si>
  <si>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</si>
  <si>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</si>
  <si>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</si>
  <si>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</si>
  <si>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</si>
  <si>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</si>
  <si>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</si>
  <si>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</si>
  <si>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</si>
  <si>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</si>
  <si>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</si>
  <si>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</si>
  <si>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</si>
  <si>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</si>
  <si>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</si>
  <si>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</si>
  <si>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</si>
  <si>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</si>
  <si>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</si>
  <si>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</si>
  <si>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</si>
  <si>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</si>
  <si>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</si>
  <si>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</si>
  <si>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</si>
  <si>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</si>
  <si>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</si>
  <si>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</si>
  <si>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</si>
  <si>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</si>
  <si>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</si>
  <si>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</si>
  <si>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</si>
  <si>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</si>
  <si>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</si>
  <si>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</si>
  <si>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</si>
  <si>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</si>
  <si>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</si>
  <si>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</si>
  <si>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</si>
  <si>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</si>
  <si>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</si>
  <si>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</si>
  <si>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</si>
  <si>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</si>
  <si>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</si>
  <si>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</si>
  <si>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</si>
  <si>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</si>
  <si>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</si>
  <si>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</si>
  <si>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</si>
  <si>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</si>
  <si>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</si>
  <si>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</si>
  <si>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</si>
  <si>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</si>
  <si>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</si>
  <si>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</si>
  <si>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</si>
  <si>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</si>
  <si>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</si>
  <si>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</si>
  <si>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</si>
  <si>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</si>
  <si>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</si>
  <si>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</si>
  <si>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</si>
  <si>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</si>
  <si>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</si>
  <si>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</si>
  <si>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</si>
  <si>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</si>
  <si>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</si>
  <si>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</si>
  <si>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</si>
  <si>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</si>
  <si>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</si>
  <si>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</si>
  <si>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</si>
  <si>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</si>
  <si>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</si>
  <si>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</si>
  <si>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</si>
  <si>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</si>
  <si>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</si>
  <si>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</si>
  <si>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</si>
  <si>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</si>
  <si>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</si>
  <si>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</si>
  <si>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</si>
  <si>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</si>
  <si>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</si>
  <si>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</si>
  <si>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</si>
  <si>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</si>
  <si>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</si>
  <si>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</si>
  <si>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</si>
  <si>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</si>
  <si>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</si>
  <si>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</si>
  <si>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</si>
  <si>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</si>
  <si>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</si>
  <si>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</si>
  <si>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</si>
  <si>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</si>
  <si>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</si>
  <si>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</si>
  <si>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</si>
  <si>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</si>
  <si>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</si>
  <si>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</si>
  <si>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</si>
  <si>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</si>
  <si>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</si>
  <si>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</si>
  <si>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</si>
  <si>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</si>
  <si>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</si>
  <si>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</si>
  <si>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</si>
  <si>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</si>
  <si>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</si>
  <si>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</si>
  <si>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</si>
  <si>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</si>
  <si>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</si>
  <si>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</si>
  <si>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</si>
  <si>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</si>
  <si>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</si>
  <si>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</si>
  <si>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</si>
  <si>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</si>
  <si>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</si>
  <si>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</si>
  <si>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</si>
  <si>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</si>
  <si>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</si>
  <si>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</si>
  <si>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</si>
  <si>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</si>
  <si>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</si>
  <si>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</si>
  <si>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</si>
  <si>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</si>
  <si>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</si>
  <si>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</si>
  <si>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</si>
  <si>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</si>
  <si>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</si>
  <si>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</si>
  <si>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</si>
  <si>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</si>
  <si>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航港发展有限公司</t>
    <phoneticPr fontId="6" type="noConversion"/>
  </si>
  <si>
    <t>BGS</t>
    <phoneticPr fontId="3" type="noConversion"/>
  </si>
  <si>
    <t>快件中心</t>
    <phoneticPr fontId="3" type="noConversion"/>
  </si>
  <si>
    <r>
      <t>A103</t>
    </r>
    <r>
      <rPr>
        <sz val="10"/>
        <color indexed="8"/>
        <rFont val="宋体"/>
        <family val="3"/>
        <charset val="134"/>
      </rPr>
      <t>、</t>
    </r>
    <r>
      <rPr>
        <sz val="10"/>
        <color indexed="8"/>
        <rFont val="Arial"/>
        <family val="2"/>
      </rPr>
      <t>A104</t>
    </r>
    <r>
      <rPr>
        <sz val="10"/>
        <color indexed="8"/>
        <rFont val="宋体"/>
        <family val="3"/>
        <charset val="134"/>
      </rPr>
      <t>、办公楼</t>
    </r>
    <phoneticPr fontId="3" type="noConversion"/>
  </si>
  <si>
    <t>是</t>
  </si>
  <si>
    <t>地上</t>
  </si>
  <si>
    <t>租金</t>
    <phoneticPr fontId="134" type="noConversion"/>
  </si>
  <si>
    <t>租期</t>
    <phoneticPr fontId="134" type="noConversion"/>
  </si>
  <si>
    <t>地块信息</t>
    <phoneticPr fontId="247" type="noConversion"/>
  </si>
  <si>
    <t>土地证面积</t>
    <phoneticPr fontId="247" type="noConversion"/>
  </si>
  <si>
    <t>功能区</t>
    <phoneticPr fontId="247" type="noConversion"/>
  </si>
  <si>
    <t>建筑物名称</t>
    <phoneticPr fontId="247" type="noConversion"/>
  </si>
  <si>
    <t>分摊土地面积</t>
    <phoneticPr fontId="247" type="noConversion"/>
  </si>
  <si>
    <t>转固面积</t>
    <phoneticPr fontId="247" type="noConversion"/>
  </si>
  <si>
    <t>权证面积</t>
    <phoneticPr fontId="247" type="noConversion"/>
  </si>
  <si>
    <t>房产证</t>
    <phoneticPr fontId="247" type="noConversion"/>
  </si>
  <si>
    <t>场内地
京顺国用（2009出）字第00091号</t>
    <phoneticPr fontId="247" type="noConversion"/>
  </si>
  <si>
    <t>BGS</t>
    <phoneticPr fontId="134" type="noConversion"/>
  </si>
  <si>
    <t>A103</t>
  </si>
  <si>
    <t>X京房产证顺字第277215号</t>
  </si>
  <si>
    <r>
      <t>2</t>
    </r>
    <r>
      <rPr>
        <sz val="11"/>
        <color theme="1"/>
        <rFont val="宋体"/>
        <family val="3"/>
        <charset val="134"/>
        <scheme val="minor"/>
      </rPr>
      <t>022年到期</t>
    </r>
    <phoneticPr fontId="134" type="noConversion"/>
  </si>
  <si>
    <t>A104</t>
  </si>
  <si>
    <t>办公楼</t>
  </si>
  <si>
    <t>A105</t>
  </si>
  <si>
    <t>快件中心</t>
  </si>
  <si>
    <t>1#快件中心（A203）</t>
  </si>
  <si>
    <t>X京房产证顺字第295007号</t>
  </si>
  <si>
    <t>2#快件中心及综合办公楼（A204）</t>
    <phoneticPr fontId="3" type="noConversion"/>
  </si>
  <si>
    <r>
      <t>办公6</t>
    </r>
    <r>
      <rPr>
        <sz val="11"/>
        <color theme="1"/>
        <rFont val="宋体"/>
        <family val="3"/>
        <charset val="134"/>
        <scheme val="minor"/>
      </rPr>
      <t>.2</t>
    </r>
    <phoneticPr fontId="134" type="noConversion"/>
  </si>
  <si>
    <r>
      <t>办公大概6</t>
    </r>
    <r>
      <rPr>
        <sz val="11"/>
        <color theme="1"/>
        <rFont val="宋体"/>
        <family val="3"/>
        <charset val="134"/>
        <scheme val="minor"/>
      </rPr>
      <t>000平米</t>
    </r>
    <phoneticPr fontId="134" type="noConversion"/>
  </si>
  <si>
    <t>地块一
京（2018）顺不动产权第0000081号</t>
    <phoneticPr fontId="247" type="noConversion"/>
  </si>
  <si>
    <t>保税B型</t>
    <phoneticPr fontId="247" type="noConversion"/>
  </si>
  <si>
    <t>F01(办公楼)</t>
  </si>
  <si>
    <t>X京房产证顺字第278737号</t>
  </si>
  <si>
    <t>F02(D01)</t>
  </si>
  <si>
    <t>库房2</t>
    <phoneticPr fontId="134" type="noConversion"/>
  </si>
  <si>
    <t>F03(D02)</t>
  </si>
  <si>
    <t>办公4</t>
    <phoneticPr fontId="134" type="noConversion"/>
  </si>
  <si>
    <r>
      <t>3</t>
    </r>
    <r>
      <rPr>
        <sz val="11"/>
        <color theme="1"/>
        <rFont val="宋体"/>
        <family val="3"/>
        <charset val="134"/>
        <scheme val="minor"/>
      </rPr>
      <t>800平米</t>
    </r>
    <phoneticPr fontId="134" type="noConversion"/>
  </si>
  <si>
    <t>F04/F06(D03)</t>
  </si>
  <si>
    <t>F05/F07(D04)</t>
  </si>
  <si>
    <t>D08</t>
    <phoneticPr fontId="3" type="noConversion"/>
  </si>
  <si>
    <t>X京房产顺字第339100号</t>
  </si>
  <si>
    <t>地块三
京顺国用（2015出）字第00093号</t>
    <phoneticPr fontId="247" type="noConversion"/>
  </si>
  <si>
    <t>航港物流园</t>
    <phoneticPr fontId="247" type="noConversion"/>
  </si>
  <si>
    <t>A1库</t>
  </si>
  <si>
    <t>X京房产证顺字第297114号</t>
  </si>
  <si>
    <t>库房1.7-1.8</t>
    <phoneticPr fontId="134" type="noConversion"/>
  </si>
  <si>
    <r>
      <t>8</t>
    </r>
    <r>
      <rPr>
        <sz val="11"/>
        <color theme="1"/>
        <rFont val="宋体"/>
        <family val="3"/>
        <charset val="134"/>
        <scheme val="minor"/>
      </rPr>
      <t>000平米办公</t>
    </r>
    <phoneticPr fontId="134" type="noConversion"/>
  </si>
  <si>
    <t>A2库</t>
  </si>
  <si>
    <r>
      <t>办公1</t>
    </r>
    <r>
      <rPr>
        <sz val="11"/>
        <color theme="1"/>
        <rFont val="宋体"/>
        <family val="3"/>
        <charset val="134"/>
        <scheme val="minor"/>
      </rPr>
      <t>.8-2</t>
    </r>
    <phoneticPr fontId="134" type="noConversion"/>
  </si>
  <si>
    <t>B1库</t>
  </si>
  <si>
    <t>X京房产证顺字第307852号</t>
  </si>
  <si>
    <t>B2库</t>
  </si>
  <si>
    <t>B3库</t>
  </si>
  <si>
    <t>物业服务用房</t>
  </si>
  <si>
    <t>值班室</t>
  </si>
  <si>
    <t>仓储</t>
    <phoneticPr fontId="7" type="noConversion"/>
  </si>
  <si>
    <t>利息：取LPR加浮动点数</t>
  </si>
  <si>
    <t>成新度</t>
  </si>
  <si>
    <t>收益法</t>
  </si>
  <si>
    <t>成本法</t>
  </si>
  <si>
    <t>现房</t>
  </si>
  <si>
    <t>项目全部</t>
  </si>
  <si>
    <t>押一</t>
  </si>
  <si>
    <t>钢混</t>
  </si>
  <si>
    <t>非生产用房</t>
  </si>
  <si>
    <t>否</t>
  </si>
  <si>
    <t>Ⅵ-天竺保税区北Ⅱ</t>
  </si>
  <si>
    <t>自定义容积率</t>
  </si>
  <si>
    <t>通路</t>
  </si>
  <si>
    <t>通电</t>
  </si>
  <si>
    <t>通讯</t>
  </si>
  <si>
    <t>通上水</t>
  </si>
  <si>
    <t>通下水</t>
  </si>
  <si>
    <t>平整</t>
  </si>
  <si>
    <t>与级别开发程度不一致</t>
  </si>
  <si>
    <t>较好</t>
  </si>
  <si>
    <t>一般</t>
  </si>
  <si>
    <t>较差</t>
  </si>
  <si>
    <t>好</t>
  </si>
  <si>
    <t>未包含在土地购买价格中</t>
  </si>
  <si>
    <t>全部缴纳</t>
  </si>
  <si>
    <t>已包含在土地取得成本中</t>
  </si>
  <si>
    <t>总价</t>
  </si>
  <si>
    <t>自定义</t>
  </si>
  <si>
    <t>估价对象1（场内地）</t>
    <phoneticPr fontId="134" type="noConversion"/>
  </si>
  <si>
    <t>序号</t>
  </si>
  <si>
    <t>房屋坐落</t>
  </si>
  <si>
    <t>分摊土地面积</t>
  </si>
  <si>
    <t>建筑面积</t>
  </si>
  <si>
    <t>房地产总价值</t>
  </si>
  <si>
    <t>不动产权证号</t>
  </si>
  <si>
    <r>
      <t>北京市顺义区保汇五街</t>
    </r>
    <r>
      <rPr>
        <sz val="9"/>
        <color rgb="FF000000"/>
        <rFont val="Arial"/>
        <family val="2"/>
      </rPr>
      <t>76</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</si>
  <si>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277215</t>
    </r>
    <r>
      <rPr>
        <sz val="9"/>
        <color rgb="FF000000"/>
        <rFont val="华文细黑"/>
        <family val="3"/>
        <charset val="134"/>
      </rPr>
      <t>号</t>
    </r>
  </si>
  <si>
    <r>
      <t>北京市顺义区金岸西路</t>
    </r>
    <r>
      <rPr>
        <sz val="9"/>
        <color rgb="FF000000"/>
        <rFont val="Arial"/>
        <family val="2"/>
      </rPr>
      <t>8</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</si>
  <si>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295007</t>
    </r>
    <r>
      <rPr>
        <sz val="9"/>
        <color rgb="FF000000"/>
        <rFont val="华文细黑"/>
        <family val="3"/>
        <charset val="134"/>
      </rPr>
      <t>号</t>
    </r>
  </si>
  <si>
    <r>
      <t>北京市顺义区保汇一街</t>
    </r>
    <r>
      <rPr>
        <sz val="9"/>
        <color rgb="FF000000"/>
        <rFont val="Arial"/>
        <family val="2"/>
      </rPr>
      <t>11</t>
    </r>
    <r>
      <rPr>
        <sz val="9"/>
        <color rgb="FF000000"/>
        <rFont val="华文细黑"/>
        <family val="3"/>
        <charset val="134"/>
      </rPr>
      <t>幢等</t>
    </r>
    <r>
      <rPr>
        <sz val="9"/>
        <color rgb="FF000000"/>
        <rFont val="Arial"/>
        <family val="2"/>
      </rPr>
      <t>5</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</si>
  <si>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278737</t>
    </r>
    <r>
      <rPr>
        <sz val="9"/>
        <color rgb="FF000000"/>
        <rFont val="华文细黑"/>
        <family val="3"/>
        <charset val="134"/>
      </rPr>
      <t>号</t>
    </r>
  </si>
  <si>
    <r>
      <t>北京市顺义区保汇一街</t>
    </r>
    <r>
      <rPr>
        <sz val="9"/>
        <color rgb="FF000000"/>
        <rFont val="Arial"/>
        <family val="2"/>
      </rPr>
      <t>2</t>
    </r>
    <r>
      <rPr>
        <sz val="9"/>
        <color rgb="FF000000"/>
        <rFont val="华文细黑"/>
        <family val="3"/>
        <charset val="134"/>
      </rPr>
      <t>号院</t>
    </r>
    <r>
      <rPr>
        <sz val="9"/>
        <color rgb="FF000000"/>
        <rFont val="Arial"/>
        <family val="2"/>
      </rPr>
      <t>1</t>
    </r>
    <r>
      <rPr>
        <sz val="9"/>
        <color rgb="FF000000"/>
        <rFont val="华文细黑"/>
        <family val="3"/>
        <charset val="134"/>
      </rPr>
      <t>号</t>
    </r>
  </si>
  <si>
    <r>
      <t>X</t>
    </r>
    <r>
      <rPr>
        <sz val="9"/>
        <color rgb="FF000000"/>
        <rFont val="华文细黑"/>
        <family val="3"/>
        <charset val="134"/>
      </rPr>
      <t>京房权证顺字第</t>
    </r>
    <r>
      <rPr>
        <sz val="9"/>
        <color rgb="FF000000"/>
        <rFont val="Arial"/>
        <family val="2"/>
      </rPr>
      <t>339100</t>
    </r>
    <r>
      <rPr>
        <sz val="9"/>
        <color rgb="FF000000"/>
        <rFont val="华文细黑"/>
        <family val="3"/>
        <charset val="134"/>
      </rPr>
      <t>号</t>
    </r>
  </si>
  <si>
    <r>
      <t>北京市顺义区机场北街</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</si>
  <si>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297114</t>
    </r>
    <r>
      <rPr>
        <sz val="9"/>
        <color rgb="FF000000"/>
        <rFont val="华文细黑"/>
        <family val="3"/>
        <charset val="134"/>
      </rPr>
      <t>号</t>
    </r>
  </si>
  <si>
    <r>
      <t>北京市顺义区机场北街</t>
    </r>
    <r>
      <rPr>
        <sz val="9"/>
        <color rgb="FF000000"/>
        <rFont val="Arial"/>
        <family val="2"/>
      </rPr>
      <t>10</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5</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</si>
  <si>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307852</t>
    </r>
    <r>
      <rPr>
        <sz val="9"/>
        <color rgb="FF000000"/>
        <rFont val="华文细黑"/>
        <family val="3"/>
        <charset val="134"/>
      </rPr>
      <t>号</t>
    </r>
  </si>
  <si>
    <t>合计</t>
  </si>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</sst>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9"/>
      <color rgb="FF000000"/>
      <name val="华文细黑"/>
      <family val="3"/>
      <charset val="134"/>
    </font>
    <font>
      <b/>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indexed="64"/>
      </right>
      <top style="medium">
        <color rgb="FF404040"/>
      </top>
      <bottom style="medium">
        <color rgb="FF404040"/>
      </bottom>
      <diagonal/>
    </border>
    <border>
      <left/>
      <right style="medium">
        <color indexed="64"/>
      </right>
      <top style="medium">
        <color indexed="64"/>
      </top>
      <bottom style="medium">
        <color rgb="FF00000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indexed="64"/>
      </right>
      <top/>
      <bottom style="medium">
        <color rgb="FF404040"/>
      </bottom>
      <diagonal/>
    </border>
    <border>
      <left style="medium">
        <color rgb="FF404040"/>
      </left>
      <right/>
      <top style="medium">
        <color rgb="FF404040"/>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3" fontId="95" fillId="0" borderId="0">
      <alignment vertical="center"/>
    </xf>
    <xf numFmtId="176" fontId="269" fillId="0" borderId="0" applyFont="0" applyFill="0" applyBorder="0" applyAlignment="0" applyProtection="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80" fontId="47" fillId="0" borderId="1" xfId="0" applyNumberFormat="1" applyFont="1" applyBorder="1" applyAlignment="1" applyProtection="1">
      <alignment horizontal="center" vertical="center" wrapText="1"/>
      <protection locked="0"/>
    </xf>
    <xf numFmtId="180"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7"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7" fontId="47" fillId="6" borderId="9" xfId="0" applyNumberFormat="1" applyFont="1" applyFill="1" applyBorder="1" applyAlignment="1" applyProtection="1">
      <alignment horizontal="center" vertical="center" wrapText="1"/>
    </xf>
    <xf numFmtId="177" fontId="47" fillId="6" borderId="10"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6" borderId="23" xfId="0" applyNumberFormat="1"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7" fontId="44" fillId="6" borderId="1" xfId="0" applyNumberFormat="1" applyFont="1" applyFill="1" applyBorder="1" applyAlignment="1" applyProtection="1">
      <alignment horizontal="center" vertical="center" wrapText="1"/>
    </xf>
    <xf numFmtId="177" fontId="44" fillId="0" borderId="2" xfId="0" applyNumberFormat="1" applyFont="1" applyFill="1" applyBorder="1" applyAlignment="1" applyProtection="1">
      <alignment horizontal="center" vertical="center" wrapText="1"/>
      <protection locked="0"/>
    </xf>
    <xf numFmtId="177" fontId="44" fillId="6" borderId="2" xfId="0" applyNumberFormat="1" applyFont="1" applyFill="1" applyBorder="1" applyAlignment="1" applyProtection="1">
      <alignment horizontal="center" vertical="center" wrapText="1"/>
    </xf>
    <xf numFmtId="177" fontId="44" fillId="6" borderId="13" xfId="0" applyNumberFormat="1" applyFont="1" applyFill="1" applyBorder="1" applyAlignment="1" applyProtection="1">
      <alignment horizontal="center" vertical="center" wrapText="1"/>
    </xf>
    <xf numFmtId="177" fontId="44" fillId="0" borderId="1" xfId="0" applyNumberFormat="1" applyFont="1" applyBorder="1" applyAlignment="1" applyProtection="1">
      <alignment vertical="center" wrapText="1"/>
      <protection locked="0"/>
    </xf>
    <xf numFmtId="177" fontId="44" fillId="0" borderId="1" xfId="0" applyNumberFormat="1" applyFont="1" applyBorder="1" applyAlignment="1" applyProtection="1">
      <alignment horizontal="center" vertical="center" wrapText="1"/>
      <protection locked="0"/>
    </xf>
    <xf numFmtId="177"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7" fontId="44" fillId="6" borderId="24" xfId="0" applyNumberFormat="1" applyFont="1" applyFill="1" applyBorder="1" applyAlignment="1" applyProtection="1">
      <alignment horizontal="center" vertical="center" wrapText="1"/>
    </xf>
    <xf numFmtId="177"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7"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80"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7"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8"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0"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82"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80" fontId="44" fillId="6" borderId="23" xfId="1" applyNumberFormat="1" applyFont="1" applyFill="1" applyBorder="1" applyAlignment="1" applyProtection="1">
      <alignment horizontal="center" vertical="center"/>
    </xf>
    <xf numFmtId="182" fontId="44" fillId="0" borderId="1" xfId="0" applyNumberFormat="1" applyFont="1" applyBorder="1" applyAlignment="1" applyProtection="1">
      <alignment vertical="center"/>
      <protection locked="0"/>
    </xf>
    <xf numFmtId="182"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2"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3" fontId="44" fillId="0" borderId="1" xfId="0" applyNumberFormat="1" applyFont="1" applyBorder="1" applyAlignment="1" applyProtection="1">
      <alignment horizontal="center" vertical="center"/>
      <protection locked="0"/>
    </xf>
    <xf numFmtId="182"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8"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3" fontId="44" fillId="0" borderId="1" xfId="0" applyNumberFormat="1" applyFont="1" applyFill="1" applyBorder="1" applyAlignment="1" applyProtection="1">
      <alignment horizontal="center" vertical="center"/>
      <protection locked="0"/>
    </xf>
    <xf numFmtId="182"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2"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7"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8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7" fontId="51" fillId="0" borderId="10" xfId="1" applyNumberFormat="1" applyFont="1" applyFill="1" applyBorder="1" applyAlignment="1" applyProtection="1">
      <alignment horizontal="center" vertical="center"/>
      <protection locked="0"/>
    </xf>
    <xf numFmtId="177" fontId="44" fillId="0" borderId="24" xfId="1" applyNumberFormat="1" applyFont="1" applyFill="1" applyBorder="1" applyAlignment="1" applyProtection="1">
      <alignment horizontal="center" vertical="center"/>
      <protection locked="0"/>
    </xf>
    <xf numFmtId="177" fontId="51" fillId="6" borderId="24" xfId="1" applyNumberFormat="1" applyFont="1" applyFill="1" applyBorder="1" applyAlignment="1" applyProtection="1">
      <alignment horizontal="center" vertical="center"/>
    </xf>
    <xf numFmtId="177"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182" fontId="47" fillId="0" borderId="49" xfId="0" applyNumberFormat="1" applyFont="1" applyFill="1" applyBorder="1" applyAlignment="1" applyProtection="1">
      <alignment horizontal="center" vertical="center"/>
      <protection locked="0"/>
    </xf>
    <xf numFmtId="182"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3"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9"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80"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8"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8"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8" fontId="53" fillId="0" borderId="1" xfId="1" applyNumberFormat="1" applyFont="1" applyFill="1" applyBorder="1" applyAlignment="1" applyProtection="1">
      <alignment horizontal="center"/>
      <protection locked="0"/>
    </xf>
    <xf numFmtId="180"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8"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8"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8"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80"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80"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8"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8"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8" fontId="54" fillId="6" borderId="1" xfId="0"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8"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2" fontId="53" fillId="6" borderId="1" xfId="0" applyNumberFormat="1" applyFont="1" applyFill="1" applyBorder="1" applyAlignment="1" applyProtection="1">
      <alignment horizontal="center"/>
    </xf>
    <xf numFmtId="182"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7" fontId="99" fillId="6" borderId="1" xfId="0" applyNumberFormat="1" applyFont="1" applyFill="1" applyBorder="1" applyAlignment="1" applyProtection="1">
      <alignment horizontal="center" vertical="center"/>
    </xf>
    <xf numFmtId="177" fontId="99" fillId="6" borderId="24" xfId="0" applyNumberFormat="1" applyFont="1" applyFill="1" applyBorder="1" applyAlignment="1" applyProtection="1">
      <alignment horizontal="center" vertical="center"/>
    </xf>
    <xf numFmtId="178"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8" fontId="46" fillId="6" borderId="1" xfId="1" applyNumberFormat="1" applyFont="1" applyFill="1" applyBorder="1" applyAlignment="1" applyProtection="1">
      <alignment vertical="center"/>
    </xf>
    <xf numFmtId="178"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78"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8"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8"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2"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2"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80"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2" fontId="47" fillId="6" borderId="8"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80"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80"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6"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2"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4"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4"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6" fontId="50" fillId="6" borderId="38" xfId="0" applyNumberFormat="1" applyFont="1" applyFill="1" applyBorder="1" applyAlignment="1" applyProtection="1">
      <alignment vertical="center" wrapText="1"/>
    </xf>
    <xf numFmtId="186"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6" fontId="50" fillId="6" borderId="47" xfId="0" applyNumberFormat="1" applyFont="1" applyFill="1" applyBorder="1" applyAlignment="1" applyProtection="1">
      <alignment vertical="center" wrapText="1"/>
    </xf>
    <xf numFmtId="189"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2" fontId="51" fillId="6" borderId="5" xfId="0" applyNumberFormat="1" applyFont="1" applyFill="1" applyBorder="1" applyAlignment="1" applyProtection="1">
      <alignment horizontal="center" vertical="center"/>
    </xf>
    <xf numFmtId="182"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6" fontId="57" fillId="6" borderId="13" xfId="0" applyNumberFormat="1" applyFont="1" applyFill="1" applyBorder="1" applyAlignment="1" applyProtection="1">
      <alignment horizontal="right" vertical="center"/>
    </xf>
    <xf numFmtId="189"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9" fontId="51" fillId="3" borderId="3" xfId="0" applyNumberFormat="1" applyFont="1" applyFill="1" applyBorder="1" applyAlignment="1" applyProtection="1">
      <alignment horizontal="center" vertical="center"/>
      <protection locked="0"/>
    </xf>
    <xf numFmtId="189"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8"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7"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6"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8"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80"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8"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2"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80" fontId="46" fillId="6" borderId="66" xfId="0" applyNumberFormat="1" applyFont="1" applyFill="1" applyBorder="1" applyAlignment="1" applyProtection="1">
      <alignment vertical="center"/>
    </xf>
    <xf numFmtId="180" fontId="46" fillId="6" borderId="32" xfId="0" applyNumberFormat="1" applyFont="1" applyFill="1" applyBorder="1" applyAlignment="1" applyProtection="1">
      <alignment vertical="center"/>
    </xf>
    <xf numFmtId="180"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9" fontId="62" fillId="6" borderId="36" xfId="0" applyNumberFormat="1" applyFont="1" applyFill="1" applyBorder="1" applyAlignment="1" applyProtection="1">
      <alignment horizontal="center" vertical="center"/>
    </xf>
    <xf numFmtId="182"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7"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9" fontId="51" fillId="6" borderId="0" xfId="0" applyNumberFormat="1" applyFont="1" applyFill="1" applyBorder="1" applyAlignment="1" applyProtection="1">
      <alignment horizontal="center"/>
    </xf>
    <xf numFmtId="182"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8"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9" fontId="51" fillId="6" borderId="3" xfId="0" applyNumberFormat="1" applyFont="1" applyFill="1" applyBorder="1" applyAlignment="1" applyProtection="1">
      <alignment horizontal="center" vertical="center"/>
    </xf>
    <xf numFmtId="189"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2" fontId="105" fillId="6" borderId="65" xfId="0" applyNumberFormat="1" applyFont="1" applyFill="1" applyBorder="1" applyAlignment="1" applyProtection="1">
      <alignment horizontal="center" vertical="center"/>
    </xf>
    <xf numFmtId="180"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2" fontId="99" fillId="0" borderId="1"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2"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80"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7"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7"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2"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8"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6" fontId="47" fillId="0" borderId="1" xfId="0" applyNumberFormat="1" applyFont="1" applyFill="1" applyBorder="1" applyAlignment="1" applyProtection="1">
      <alignment horizontal="center" vertical="center"/>
      <protection locked="0"/>
    </xf>
    <xf numFmtId="186"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6"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80"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8"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8"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6" fontId="47" fillId="3" borderId="0" xfId="0" applyNumberFormat="1" applyFont="1" applyFill="1" applyAlignment="1" applyProtection="1">
      <alignment horizontal="center" vertical="center"/>
      <protection locked="0"/>
    </xf>
    <xf numFmtId="186" fontId="46" fillId="6" borderId="28" xfId="0" applyNumberFormat="1" applyFont="1" applyFill="1" applyBorder="1" applyAlignment="1" applyProtection="1">
      <alignment horizontal="center" vertical="center"/>
    </xf>
    <xf numFmtId="186" fontId="99" fillId="0" borderId="13" xfId="0" applyNumberFormat="1" applyFont="1" applyFill="1" applyBorder="1" applyAlignment="1" applyProtection="1">
      <alignment horizontal="center" vertical="center"/>
      <protection locked="0"/>
    </xf>
    <xf numFmtId="186" fontId="47" fillId="0" borderId="13" xfId="0" applyNumberFormat="1" applyFont="1" applyFill="1" applyBorder="1" applyAlignment="1" applyProtection="1">
      <alignment horizontal="center" vertical="center"/>
      <protection locked="0"/>
    </xf>
    <xf numFmtId="186"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6"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8"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8"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8" fontId="46" fillId="6" borderId="33" xfId="0" applyNumberFormat="1" applyFont="1" applyFill="1" applyBorder="1" applyAlignment="1" applyProtection="1">
      <alignment vertical="center"/>
    </xf>
    <xf numFmtId="178" fontId="46" fillId="6" borderId="52" xfId="0" applyNumberFormat="1" applyFont="1" applyFill="1" applyBorder="1" applyAlignment="1" applyProtection="1">
      <alignment vertical="center"/>
    </xf>
    <xf numFmtId="178"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4" fontId="47" fillId="0" borderId="1" xfId="0" applyNumberFormat="1" applyFont="1" applyFill="1" applyBorder="1" applyAlignment="1" applyProtection="1">
      <alignment horizontal="center" vertical="center" shrinkToFit="1"/>
      <protection locked="0"/>
    </xf>
    <xf numFmtId="184" fontId="47" fillId="6" borderId="1" xfId="0" applyNumberFormat="1" applyFont="1" applyFill="1" applyBorder="1" applyAlignment="1" applyProtection="1">
      <alignment horizontal="center" vertical="center"/>
    </xf>
    <xf numFmtId="178"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2" fontId="44" fillId="6" borderId="8" xfId="0" applyNumberFormat="1" applyFont="1" applyFill="1" applyBorder="1" applyProtection="1">
      <alignment vertical="center"/>
    </xf>
    <xf numFmtId="182"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7"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9" fontId="58" fillId="6" borderId="24" xfId="0" applyNumberFormat="1" applyFont="1" applyFill="1" applyBorder="1" applyAlignment="1" applyProtection="1">
      <alignment horizontal="center" vertical="center"/>
    </xf>
    <xf numFmtId="179"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9" fontId="58" fillId="6" borderId="49" xfId="0" applyNumberFormat="1" applyFont="1" applyFill="1" applyBorder="1" applyAlignment="1" applyProtection="1">
      <alignment horizontal="center" vertical="center"/>
    </xf>
    <xf numFmtId="178"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9" fontId="51" fillId="6" borderId="0" xfId="0" applyNumberFormat="1" applyFont="1" applyFill="1" applyAlignment="1" applyProtection="1">
      <alignment horizontal="center" vertical="center"/>
      <protection locked="0"/>
    </xf>
    <xf numFmtId="182"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2"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2"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2"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2"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2" fontId="68" fillId="6" borderId="0" xfId="0" applyNumberFormat="1" applyFont="1" applyFill="1" applyAlignment="1" applyProtection="1">
      <alignment horizontal="center" vertical="center"/>
      <protection locked="0"/>
    </xf>
    <xf numFmtId="177"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9"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9" fontId="51" fillId="6" borderId="0" xfId="0" applyNumberFormat="1" applyFont="1" applyFill="1" applyBorder="1" applyAlignment="1" applyProtection="1">
      <alignment horizontal="center"/>
      <protection locked="0"/>
    </xf>
    <xf numFmtId="182"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7"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2" fontId="49" fillId="6" borderId="1" xfId="0" applyNumberFormat="1" applyFont="1" applyFill="1" applyBorder="1" applyAlignment="1" applyProtection="1">
      <alignment horizontal="center" vertical="center"/>
      <protection locked="0"/>
    </xf>
    <xf numFmtId="180" fontId="47" fillId="6" borderId="23" xfId="1" applyNumberFormat="1" applyFont="1" applyFill="1" applyBorder="1" applyAlignment="1" applyProtection="1">
      <alignment horizontal="center" vertical="center"/>
    </xf>
    <xf numFmtId="178"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80" fontId="44" fillId="6" borderId="25" xfId="1" applyNumberFormat="1" applyFont="1" applyFill="1" applyBorder="1" applyAlignment="1" applyProtection="1">
      <alignment horizontal="center" vertical="center"/>
    </xf>
    <xf numFmtId="182" fontId="44" fillId="6" borderId="1" xfId="0" applyNumberFormat="1" applyFont="1" applyFill="1" applyBorder="1" applyAlignment="1" applyProtection="1">
      <alignment vertical="center"/>
    </xf>
    <xf numFmtId="182" fontId="44" fillId="6" borderId="5" xfId="0" applyNumberFormat="1" applyFont="1" applyFill="1" applyBorder="1" applyAlignment="1" applyProtection="1">
      <alignment vertical="center"/>
    </xf>
    <xf numFmtId="182"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2" fontId="44" fillId="6" borderId="1" xfId="0" applyNumberFormat="1" applyFont="1" applyFill="1" applyBorder="1" applyAlignment="1" applyProtection="1">
      <alignment horizontal="center" vertical="center"/>
    </xf>
    <xf numFmtId="182"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2"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7" fontId="47" fillId="0" borderId="1" xfId="0" applyNumberFormat="1" applyFont="1" applyFill="1" applyBorder="1" applyAlignment="1" applyProtection="1">
      <alignment horizontal="center" vertical="center" wrapText="1"/>
      <protection locked="0"/>
    </xf>
    <xf numFmtId="180" fontId="44" fillId="6" borderId="2" xfId="0" applyNumberFormat="1" applyFont="1" applyFill="1" applyBorder="1" applyProtection="1">
      <alignment vertical="center"/>
    </xf>
    <xf numFmtId="182"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2"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2"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2"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2"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9" fontId="54" fillId="6" borderId="1" xfId="0" applyNumberFormat="1" applyFont="1" applyFill="1" applyBorder="1" applyAlignment="1" applyProtection="1">
      <alignment horizontal="center" vertical="center"/>
    </xf>
    <xf numFmtId="179" fontId="53" fillId="6" borderId="1" xfId="0" applyNumberFormat="1" applyFont="1" applyFill="1" applyBorder="1" applyAlignment="1" applyProtection="1">
      <alignment horizontal="center" vertical="center"/>
    </xf>
    <xf numFmtId="178" fontId="46" fillId="6" borderId="0" xfId="0" applyNumberFormat="1" applyFont="1" applyFill="1" applyBorder="1" applyAlignment="1" applyProtection="1">
      <alignment horizontal="center" vertical="center"/>
    </xf>
    <xf numFmtId="187" fontId="47" fillId="6" borderId="3" xfId="0" applyNumberFormat="1" applyFont="1" applyFill="1" applyBorder="1" applyAlignment="1" applyProtection="1">
      <alignment horizontal="center" vertical="center"/>
    </xf>
    <xf numFmtId="178"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2"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7" fontId="46" fillId="6" borderId="1" xfId="0" applyNumberFormat="1" applyFont="1" applyFill="1" applyBorder="1" applyAlignment="1" applyProtection="1">
      <alignment vertical="center"/>
    </xf>
    <xf numFmtId="177" fontId="46" fillId="6" borderId="1" xfId="0" applyNumberFormat="1" applyFont="1" applyFill="1" applyBorder="1" applyAlignment="1" applyProtection="1">
      <alignment horizontal="center" vertical="center"/>
    </xf>
    <xf numFmtId="177" fontId="46" fillId="6" borderId="24" xfId="0" applyNumberFormat="1" applyFont="1" applyFill="1" applyBorder="1" applyAlignment="1" applyProtection="1">
      <alignment vertical="center"/>
    </xf>
    <xf numFmtId="177" fontId="46" fillId="6" borderId="25" xfId="0" applyNumberFormat="1" applyFont="1" applyFill="1" applyBorder="1" applyAlignment="1" applyProtection="1">
      <alignment vertical="center"/>
    </xf>
    <xf numFmtId="177"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2"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3"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80"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9" fontId="62" fillId="6" borderId="88" xfId="0" applyNumberFormat="1" applyFont="1" applyFill="1" applyBorder="1" applyAlignment="1" applyProtection="1">
      <alignment horizontal="center" vertical="center"/>
      <protection locked="0"/>
    </xf>
    <xf numFmtId="182"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9" fontId="62" fillId="6" borderId="88" xfId="0" applyNumberFormat="1" applyFont="1" applyFill="1" applyBorder="1" applyAlignment="1" applyProtection="1">
      <alignment horizontal="center" vertical="center"/>
    </xf>
    <xf numFmtId="182"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8"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8"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4"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2"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2"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4"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4"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7"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80" fontId="47" fillId="6" borderId="0" xfId="0" applyNumberFormat="1" applyFont="1" applyFill="1" applyBorder="1" applyAlignment="1" applyProtection="1">
      <alignment horizontal="center" vertical="center" wrapText="1"/>
    </xf>
    <xf numFmtId="180" fontId="48" fillId="6" borderId="0" xfId="0" applyNumberFormat="1" applyFont="1" applyFill="1" applyBorder="1" applyAlignment="1" applyProtection="1">
      <alignment horizontal="center" vertical="center" wrapText="1"/>
    </xf>
    <xf numFmtId="177"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7" fontId="47" fillId="6" borderId="54" xfId="0" applyNumberFormat="1" applyFont="1" applyFill="1" applyBorder="1" applyAlignment="1" applyProtection="1">
      <alignment horizontal="center" vertical="center" wrapText="1"/>
    </xf>
    <xf numFmtId="177" fontId="47" fillId="6" borderId="3" xfId="0" applyNumberFormat="1" applyFont="1" applyFill="1" applyBorder="1" applyAlignment="1" applyProtection="1">
      <alignment horizontal="center" vertical="center" wrapText="1"/>
    </xf>
    <xf numFmtId="177" fontId="47" fillId="6" borderId="5" xfId="0" applyNumberFormat="1" applyFont="1" applyFill="1" applyBorder="1" applyAlignment="1" applyProtection="1">
      <alignment horizontal="center" vertical="center" wrapText="1"/>
    </xf>
    <xf numFmtId="177"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80"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80" fontId="47" fillId="6" borderId="54" xfId="0" applyNumberFormat="1" applyFont="1" applyFill="1" applyBorder="1" applyAlignment="1" applyProtection="1">
      <alignment horizontal="center" vertical="center"/>
    </xf>
    <xf numFmtId="180"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80"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80"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80"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80"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80" fontId="47" fillId="6" borderId="7" xfId="0" applyNumberFormat="1" applyFont="1" applyFill="1" applyBorder="1" applyAlignment="1" applyProtection="1">
      <alignment horizontal="center" vertical="center" wrapText="1"/>
    </xf>
    <xf numFmtId="180" fontId="47" fillId="6" borderId="2" xfId="0" applyNumberFormat="1" applyFont="1" applyFill="1" applyBorder="1" applyAlignment="1" applyProtection="1">
      <alignment horizontal="center" vertical="center" wrapText="1"/>
    </xf>
    <xf numFmtId="180"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80"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7"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7"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7"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7"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7" fontId="50" fillId="6" borderId="29" xfId="1" applyNumberFormat="1" applyFont="1" applyFill="1" applyBorder="1" applyAlignment="1" applyProtection="1">
      <alignment horizontal="center" vertical="center"/>
    </xf>
    <xf numFmtId="177" fontId="50" fillId="6" borderId="20" xfId="1" applyNumberFormat="1" applyFont="1" applyFill="1" applyBorder="1" applyAlignment="1" applyProtection="1">
      <alignment horizontal="center" vertical="center"/>
    </xf>
    <xf numFmtId="177"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80"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7"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80"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7"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80"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80"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1" fontId="51" fillId="6" borderId="6" xfId="1" applyNumberFormat="1" applyFont="1" applyFill="1" applyBorder="1" applyAlignment="1" applyProtection="1">
      <alignment horizontal="center" vertical="center" wrapText="1"/>
    </xf>
    <xf numFmtId="180"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8"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80"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8" fontId="47" fillId="6" borderId="23" xfId="1" applyNumberFormat="1" applyFont="1" applyFill="1" applyBorder="1" applyAlignment="1" applyProtection="1">
      <alignment horizontal="left" vertical="center"/>
    </xf>
    <xf numFmtId="178" fontId="44" fillId="6" borderId="1" xfId="1" applyNumberFormat="1" applyFont="1" applyFill="1" applyBorder="1" applyAlignment="1" applyProtection="1">
      <alignment vertical="center"/>
    </xf>
    <xf numFmtId="178"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8" fontId="44" fillId="6" borderId="23" xfId="1" applyNumberFormat="1" applyFont="1" applyFill="1" applyBorder="1" applyAlignment="1" applyProtection="1">
      <alignment horizontal="left" vertical="center" wrapText="1"/>
      <protection locked="0"/>
    </xf>
    <xf numFmtId="178"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7" fontId="51" fillId="6" borderId="6" xfId="1" applyNumberFormat="1" applyFont="1" applyFill="1" applyBorder="1" applyAlignment="1" applyProtection="1">
      <alignment vertical="center" wrapText="1"/>
    </xf>
    <xf numFmtId="177" fontId="51" fillId="6" borderId="23" xfId="1" applyNumberFormat="1" applyFont="1" applyFill="1" applyBorder="1" applyAlignment="1" applyProtection="1">
      <alignment vertical="center" wrapText="1"/>
    </xf>
    <xf numFmtId="177" fontId="44" fillId="6" borderId="23" xfId="1" applyNumberFormat="1" applyFont="1" applyFill="1" applyBorder="1" applyAlignment="1" applyProtection="1">
      <alignment vertical="center" wrapText="1"/>
    </xf>
    <xf numFmtId="177"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80"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80"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80"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8"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6"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9"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9" fontId="44" fillId="6" borderId="21" xfId="0" applyNumberFormat="1" applyFont="1" applyFill="1" applyBorder="1" applyAlignment="1" applyProtection="1">
      <alignment horizontal="center" vertical="center" wrapText="1"/>
    </xf>
    <xf numFmtId="189"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9" fontId="51" fillId="6" borderId="48" xfId="0" applyNumberFormat="1" applyFont="1" applyFill="1" applyBorder="1" applyAlignment="1" applyProtection="1">
      <alignment horizontal="center" vertical="center"/>
    </xf>
    <xf numFmtId="189"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4"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7" fontId="53" fillId="6" borderId="15" xfId="0" applyNumberFormat="1" applyFont="1" applyFill="1" applyBorder="1" applyAlignment="1" applyProtection="1">
      <alignment horizontal="center" vertical="center" wrapText="1"/>
    </xf>
    <xf numFmtId="187"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7"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7"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2"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6"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6"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8"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6" fontId="102" fillId="11" borderId="123" xfId="9" applyNumberFormat="1" applyFont="1" applyFill="1" applyBorder="1" applyAlignment="1" applyProtection="1">
      <alignment horizontal="left" vertical="center" wrapText="1"/>
    </xf>
    <xf numFmtId="186"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6" fontId="102" fillId="11" borderId="123" xfId="9" applyNumberFormat="1" applyFont="1" applyFill="1" applyBorder="1" applyAlignment="1">
      <alignment horizontal="left" vertical="center" wrapText="1"/>
    </xf>
    <xf numFmtId="186" fontId="102" fillId="11" borderId="129" xfId="9" applyNumberFormat="1" applyFont="1" applyFill="1" applyBorder="1" applyAlignment="1">
      <alignment horizontal="left" vertical="center" wrapText="1"/>
    </xf>
    <xf numFmtId="182" fontId="99" fillId="0" borderId="121" xfId="9" applyNumberFormat="1" applyFont="1" applyBorder="1" applyAlignment="1">
      <alignment horizontal="left" vertical="center"/>
    </xf>
    <xf numFmtId="182"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6" fontId="102" fillId="11" borderId="126" xfId="9" applyNumberFormat="1" applyFont="1" applyFill="1" applyBorder="1" applyAlignment="1">
      <alignment horizontal="left" vertical="center" wrapText="1"/>
    </xf>
    <xf numFmtId="186"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6"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8"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6" fontId="102" fillId="11" borderId="132" xfId="9" applyNumberFormat="1" applyFont="1" applyFill="1" applyBorder="1" applyAlignment="1">
      <alignment horizontal="left" vertical="center" wrapText="1"/>
    </xf>
    <xf numFmtId="186" fontId="102" fillId="11" borderId="136" xfId="9" applyNumberFormat="1" applyFont="1" applyFill="1" applyBorder="1" applyAlignment="1">
      <alignment horizontal="left" vertical="center" wrapText="1"/>
    </xf>
    <xf numFmtId="186" fontId="99" fillId="13" borderId="0" xfId="9" applyNumberFormat="1" applyFont="1" applyFill="1" applyAlignment="1">
      <alignment horizontal="left" vertical="center"/>
    </xf>
    <xf numFmtId="186"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8"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9"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9"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1" fontId="99" fillId="0" borderId="0" xfId="9" applyNumberFormat="1" applyFont="1" applyAlignment="1">
      <alignment horizontal="left" vertical="center"/>
    </xf>
    <xf numFmtId="181" fontId="99" fillId="0" borderId="121" xfId="9" applyNumberFormat="1" applyFont="1" applyBorder="1" applyAlignment="1">
      <alignment horizontal="left" vertical="center"/>
    </xf>
    <xf numFmtId="178"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1"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9"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1" fontId="113" fillId="0" borderId="0" xfId="9" applyNumberFormat="1" applyFont="1" applyAlignment="1">
      <alignment horizontal="left" vertical="center"/>
    </xf>
    <xf numFmtId="181"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2"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2" fontId="50" fillId="18" borderId="68" xfId="0" applyNumberFormat="1" applyFont="1" applyFill="1" applyBorder="1" applyAlignment="1" applyProtection="1">
      <alignment horizontal="left" vertical="center" wrapText="1"/>
      <protection locked="0"/>
    </xf>
    <xf numFmtId="177" fontId="51" fillId="18" borderId="48" xfId="0" applyNumberFormat="1" applyFont="1" applyFill="1" applyBorder="1" applyAlignment="1" applyProtection="1">
      <alignment horizontal="left" vertical="center" wrapText="1"/>
    </xf>
    <xf numFmtId="177"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4"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4"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4"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8"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8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2"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8" fontId="54" fillId="6" borderId="2" xfId="0" applyNumberFormat="1" applyFont="1" applyFill="1" applyBorder="1" applyAlignment="1" applyProtection="1">
      <alignment horizontal="left" vertical="center" wrapText="1"/>
    </xf>
    <xf numFmtId="178" fontId="53" fillId="6" borderId="1" xfId="0" applyNumberFormat="1" applyFont="1" applyFill="1" applyBorder="1" applyAlignment="1" applyProtection="1">
      <alignment horizontal="left" vertical="center" wrapText="1"/>
    </xf>
    <xf numFmtId="178"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8" fontId="54" fillId="6" borderId="1" xfId="0" applyNumberFormat="1" applyFont="1" applyFill="1" applyBorder="1" applyAlignment="1" applyProtection="1">
      <alignment horizontal="left" vertical="center" wrapText="1"/>
    </xf>
    <xf numFmtId="178"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8"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2"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1"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4"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4"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80" fontId="47" fillId="12" borderId="0" xfId="0" applyNumberFormat="1" applyFont="1" applyFill="1" applyAlignment="1" applyProtection="1">
      <alignment vertical="center"/>
      <protection locked="0"/>
    </xf>
    <xf numFmtId="180"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80"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2" fontId="98" fillId="12" borderId="0" xfId="0" applyNumberFormat="1" applyFont="1" applyFill="1" applyAlignment="1" applyProtection="1">
      <alignment horizontal="center" vertical="center"/>
    </xf>
    <xf numFmtId="180"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2"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80"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8"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2"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2" fontId="49" fillId="12" borderId="0" xfId="0" applyNumberFormat="1" applyFont="1" applyFill="1" applyBorder="1" applyAlignment="1" applyProtection="1">
      <alignment horizontal="center" vertical="center" wrapText="1"/>
      <protection locked="0"/>
    </xf>
    <xf numFmtId="182"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2" fontId="51" fillId="12" borderId="0" xfId="0" applyNumberFormat="1" applyFont="1" applyFill="1" applyAlignment="1" applyProtection="1">
      <alignment horizontal="center" vertical="center"/>
      <protection locked="0"/>
    </xf>
    <xf numFmtId="182"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9"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7" fontId="51" fillId="12" borderId="0" xfId="0" applyNumberFormat="1" applyFont="1" applyFill="1" applyAlignment="1" applyProtection="1">
      <alignment horizontal="center" vertical="center"/>
      <protection locked="0"/>
    </xf>
    <xf numFmtId="189" fontId="68" fillId="12" borderId="0" xfId="0" applyNumberFormat="1" applyFont="1" applyFill="1" applyAlignment="1" applyProtection="1">
      <alignment horizontal="center" vertical="center"/>
      <protection locked="0"/>
    </xf>
    <xf numFmtId="182"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5"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80"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6"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8" fontId="99" fillId="0" borderId="1" xfId="1" applyNumberFormat="1" applyFont="1" applyBorder="1" applyAlignment="1" applyProtection="1">
      <alignment horizontal="left" vertical="center"/>
      <protection locked="0" hidden="1"/>
    </xf>
    <xf numFmtId="178" fontId="99" fillId="0" borderId="24" xfId="1" applyNumberFormat="1" applyFont="1" applyBorder="1" applyAlignment="1" applyProtection="1">
      <alignment horizontal="left" vertical="center"/>
      <protection locked="0" hidden="1"/>
    </xf>
    <xf numFmtId="178"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6"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6" fontId="54" fillId="6" borderId="71" xfId="4" applyNumberFormat="1" applyFont="1" applyFill="1" applyBorder="1" applyAlignment="1">
      <alignment horizontal="left" vertical="center"/>
    </xf>
    <xf numFmtId="186"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8"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6"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2"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6" fontId="53" fillId="6" borderId="1" xfId="4" applyNumberFormat="1" applyFont="1" applyFill="1" applyBorder="1" applyAlignment="1">
      <alignment horizontal="left" vertical="center"/>
    </xf>
    <xf numFmtId="182"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3" fillId="0" borderId="1" xfId="4" applyNumberFormat="1" applyFont="1" applyFill="1" applyBorder="1" applyAlignment="1" applyProtection="1">
      <alignment horizontal="left" vertical="center"/>
      <protection locked="0"/>
    </xf>
    <xf numFmtId="182"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8" fontId="54" fillId="6" borderId="1" xfId="4" applyNumberFormat="1" applyFont="1" applyFill="1" applyBorder="1" applyAlignment="1" applyProtection="1">
      <alignment horizontal="left" vertical="center"/>
      <protection locked="0"/>
    </xf>
    <xf numFmtId="178" fontId="53" fillId="0" borderId="24" xfId="4" applyNumberFormat="1" applyFont="1" applyFill="1" applyBorder="1" applyAlignment="1" applyProtection="1">
      <alignment horizontal="left" vertical="center"/>
      <protection locked="0"/>
    </xf>
    <xf numFmtId="186" fontId="53" fillId="0" borderId="1" xfId="4" applyNumberFormat="1" applyFont="1" applyFill="1" applyBorder="1" applyAlignment="1" applyProtection="1">
      <alignment horizontal="left" vertical="center"/>
      <protection locked="0"/>
    </xf>
    <xf numFmtId="182"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6" fontId="54" fillId="6" borderId="32" xfId="4" applyNumberFormat="1" applyFont="1" applyFill="1" applyBorder="1" applyAlignment="1">
      <alignment horizontal="left" vertical="center"/>
    </xf>
    <xf numFmtId="182"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6" fontId="54" fillId="6" borderId="60" xfId="4" applyNumberFormat="1" applyFont="1" applyFill="1" applyBorder="1" applyAlignment="1">
      <alignment horizontal="left" vertical="center"/>
    </xf>
    <xf numFmtId="182"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8"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6" fontId="53" fillId="6" borderId="5" xfId="4" applyNumberFormat="1" applyFont="1" applyFill="1" applyBorder="1" applyAlignment="1">
      <alignment horizontal="left" vertical="center"/>
    </xf>
    <xf numFmtId="186" fontId="53" fillId="6" borderId="158" xfId="4" applyNumberFormat="1" applyFont="1" applyFill="1" applyBorder="1" applyAlignment="1">
      <alignment horizontal="left" vertical="center"/>
    </xf>
    <xf numFmtId="186"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6" fontId="53" fillId="6" borderId="5" xfId="4" applyNumberFormat="1" applyFont="1" applyFill="1" applyBorder="1" applyAlignment="1">
      <alignment horizontal="right" vertical="center"/>
    </xf>
    <xf numFmtId="182" fontId="53" fillId="0" borderId="158" xfId="4" applyNumberFormat="1" applyFont="1" applyFill="1" applyBorder="1" applyAlignment="1" applyProtection="1">
      <alignment horizontal="right" vertical="center"/>
      <protection locked="0"/>
    </xf>
    <xf numFmtId="182"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2"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2"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2" fontId="53" fillId="6" borderId="158" xfId="4" applyNumberFormat="1" applyFont="1" applyFill="1" applyBorder="1" applyAlignment="1">
      <alignment horizontal="right" vertical="center"/>
    </xf>
    <xf numFmtId="182"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8"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2" fontId="53" fillId="0" borderId="5" xfId="4" applyNumberFormat="1" applyFont="1" applyFill="1" applyBorder="1" applyAlignment="1" applyProtection="1">
      <alignment horizontal="left" vertical="center"/>
      <protection locked="0"/>
    </xf>
    <xf numFmtId="182" fontId="53" fillId="0" borderId="158" xfId="4" applyNumberFormat="1" applyFont="1" applyFill="1" applyBorder="1" applyAlignment="1" applyProtection="1">
      <alignment horizontal="left" vertical="center"/>
      <protection locked="0"/>
    </xf>
    <xf numFmtId="182" fontId="53" fillId="0" borderId="3" xfId="4" applyNumberFormat="1" applyFont="1" applyFill="1" applyBorder="1" applyAlignment="1" applyProtection="1">
      <alignment horizontal="left" vertical="center"/>
      <protection locked="0"/>
    </xf>
    <xf numFmtId="177"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7" fontId="53" fillId="0" borderId="33" xfId="4" applyNumberFormat="1" applyFont="1" applyFill="1" applyBorder="1" applyAlignment="1" applyProtection="1">
      <alignment horizontal="left" vertical="center"/>
      <protection locked="0"/>
    </xf>
    <xf numFmtId="177" fontId="53" fillId="0" borderId="159" xfId="4" applyNumberFormat="1" applyFont="1" applyFill="1" applyBorder="1" applyAlignment="1" applyProtection="1">
      <alignment horizontal="left" vertical="center"/>
      <protection locked="0"/>
    </xf>
    <xf numFmtId="177" fontId="53" fillId="0" borderId="66" xfId="4" applyNumberFormat="1" applyFont="1" applyFill="1" applyBorder="1" applyAlignment="1" applyProtection="1">
      <alignment horizontal="left" vertical="center"/>
      <protection locked="0"/>
    </xf>
    <xf numFmtId="177"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6"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6"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6"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8" fontId="47" fillId="6" borderId="15" xfId="0" applyNumberFormat="1" applyFont="1" applyFill="1" applyBorder="1" applyAlignment="1" applyProtection="1">
      <alignment horizontal="center" vertical="center" wrapText="1"/>
      <protection locked="0"/>
    </xf>
    <xf numFmtId="180"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7" fontId="249" fillId="0" borderId="0" xfId="3" applyNumberFormat="1" applyFont="1" applyBorder="1" applyAlignment="1" applyProtection="1">
      <alignment horizontal="left" vertical="center"/>
    </xf>
    <xf numFmtId="177" fontId="250" fillId="6" borderId="6"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wrapText="1"/>
    </xf>
    <xf numFmtId="177" fontId="250" fillId="6" borderId="17" xfId="3" applyNumberFormat="1" applyFont="1" applyFill="1" applyBorder="1" applyAlignment="1" applyProtection="1">
      <alignment horizontal="left" vertical="center"/>
    </xf>
    <xf numFmtId="177" fontId="250" fillId="6" borderId="62"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xf>
    <xf numFmtId="177" fontId="251" fillId="6" borderId="1" xfId="3" applyNumberFormat="1" applyFont="1" applyFill="1" applyBorder="1" applyAlignment="1" applyProtection="1">
      <alignment horizontal="left" vertical="center"/>
    </xf>
    <xf numFmtId="177" fontId="251" fillId="6" borderId="24"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wrapText="1"/>
    </xf>
    <xf numFmtId="177" fontId="250" fillId="6" borderId="25" xfId="3" applyNumberFormat="1" applyFont="1" applyFill="1" applyBorder="1" applyAlignment="1" applyProtection="1">
      <alignment horizontal="left" vertical="center" wrapText="1"/>
    </xf>
    <xf numFmtId="177" fontId="251" fillId="6" borderId="32" xfId="3" applyNumberFormat="1" applyFont="1" applyFill="1" applyBorder="1" applyAlignment="1" applyProtection="1">
      <alignment horizontal="left" vertical="center"/>
    </xf>
    <xf numFmtId="177" fontId="251" fillId="6" borderId="49" xfId="3" applyNumberFormat="1" applyFont="1" applyFill="1" applyBorder="1" applyAlignment="1" applyProtection="1">
      <alignment horizontal="left" vertical="center"/>
    </xf>
    <xf numFmtId="177" fontId="248" fillId="0" borderId="0" xfId="0" applyNumberFormat="1" applyFont="1" applyAlignment="1" applyProtection="1">
      <alignment horizontal="left" vertical="center"/>
    </xf>
    <xf numFmtId="177" fontId="246" fillId="0" borderId="0" xfId="0" applyNumberFormat="1" applyFont="1" applyAlignment="1" applyProtection="1">
      <alignment horizontal="left" vertical="center"/>
    </xf>
    <xf numFmtId="177"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3"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80" fontId="113" fillId="6" borderId="15" xfId="0" applyNumberFormat="1" applyFont="1" applyFill="1" applyBorder="1" applyAlignment="1" applyProtection="1">
      <alignment horizontal="left" vertical="center" wrapText="1"/>
    </xf>
    <xf numFmtId="178" fontId="77" fillId="0" borderId="1" xfId="1" applyNumberFormat="1" applyFont="1" applyFill="1" applyBorder="1" applyAlignment="1" applyProtection="1">
      <alignment vertical="center"/>
      <protection locked="0" hidden="1"/>
    </xf>
    <xf numFmtId="178"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7" fontId="57" fillId="6" borderId="1" xfId="1" applyNumberFormat="1" applyFont="1" applyFill="1" applyBorder="1" applyAlignment="1" applyProtection="1">
      <alignment horizontal="right" vertical="center"/>
    </xf>
    <xf numFmtId="187"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7" fontId="57" fillId="6" borderId="2" xfId="0" applyNumberFormat="1" applyFont="1" applyFill="1" applyBorder="1" applyAlignment="1" applyProtection="1">
      <alignment horizontal="right" vertical="center"/>
    </xf>
    <xf numFmtId="180" fontId="44" fillId="0" borderId="23" xfId="0" applyNumberFormat="1" applyFont="1" applyBorder="1" applyAlignment="1" applyProtection="1">
      <alignment horizontal="center" vertical="center"/>
      <protection locked="0"/>
    </xf>
    <xf numFmtId="180" fontId="47" fillId="0" borderId="23" xfId="0" applyNumberFormat="1" applyFont="1" applyBorder="1" applyAlignment="1" applyProtection="1">
      <alignment horizontal="center" vertical="center"/>
      <protection locked="0"/>
    </xf>
    <xf numFmtId="180"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7" fontId="44" fillId="0" borderId="23" xfId="0" applyNumberFormat="1" applyFont="1" applyFill="1" applyBorder="1" applyAlignment="1" applyProtection="1">
      <alignment horizontal="center" vertical="center" wrapText="1"/>
      <protection locked="0"/>
    </xf>
    <xf numFmtId="177"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7"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95" fillId="0" borderId="0" xfId="0" applyFont="1">
      <alignment vertical="center"/>
    </xf>
    <xf numFmtId="0" fontId="0" fillId="0" borderId="1" xfId="0" applyBorder="1">
      <alignment vertical="center"/>
    </xf>
    <xf numFmtId="0" fontId="0" fillId="5" borderId="1" xfId="0" applyFill="1" applyBorder="1">
      <alignment vertical="center"/>
    </xf>
    <xf numFmtId="0" fontId="107" fillId="0" borderId="1" xfId="0" applyFont="1" applyFill="1" applyBorder="1">
      <alignment vertical="center"/>
    </xf>
    <xf numFmtId="176" fontId="107" fillId="0" borderId="1" xfId="19" applyFont="1" applyFill="1" applyBorder="1">
      <alignment vertical="center"/>
    </xf>
    <xf numFmtId="176" fontId="107" fillId="5" borderId="1" xfId="19" applyFont="1" applyFill="1" applyBorder="1">
      <alignment vertical="center"/>
    </xf>
    <xf numFmtId="176" fontId="0" fillId="0" borderId="0" xfId="0" applyNumberFormat="1">
      <alignment vertical="center"/>
    </xf>
    <xf numFmtId="176" fontId="107" fillId="0" borderId="0" xfId="19" applyFont="1" applyFill="1" applyBorder="1">
      <alignment vertical="center"/>
    </xf>
    <xf numFmtId="176" fontId="107" fillId="0" borderId="1" xfId="19" applyFont="1" applyFill="1" applyBorder="1" applyAlignment="1">
      <alignment horizontal="center" vertical="center" wrapText="1"/>
    </xf>
    <xf numFmtId="0" fontId="270" fillId="0" borderId="176" xfId="0" applyFont="1" applyBorder="1" applyAlignment="1">
      <alignment horizontal="justify" vertical="center" wrapText="1"/>
    </xf>
    <xf numFmtId="0" fontId="270" fillId="0" borderId="177" xfId="0" applyFont="1" applyBorder="1" applyAlignment="1">
      <alignment vertical="center" wrapText="1"/>
    </xf>
    <xf numFmtId="0" fontId="270" fillId="0" borderId="178" xfId="0" applyFont="1" applyBorder="1" applyAlignment="1">
      <alignment vertical="center" wrapText="1"/>
    </xf>
    <xf numFmtId="0" fontId="270" fillId="0" borderId="65" xfId="0" applyFont="1" applyBorder="1" applyAlignment="1">
      <alignment vertical="center" wrapText="1"/>
    </xf>
    <xf numFmtId="0" fontId="270" fillId="0" borderId="179" xfId="0" applyFont="1" applyBorder="1" applyAlignment="1">
      <alignment vertical="center" wrapText="1"/>
    </xf>
    <xf numFmtId="0" fontId="266" fillId="0" borderId="180" xfId="0" applyFont="1" applyBorder="1" applyAlignment="1">
      <alignment horizontal="justify" vertical="center" wrapText="1"/>
    </xf>
    <xf numFmtId="0" fontId="264" fillId="0" borderId="181" xfId="0" applyFont="1" applyBorder="1" applyAlignment="1">
      <alignment vertical="center" wrapText="1"/>
    </xf>
    <xf numFmtId="0" fontId="266" fillId="0" borderId="181" xfId="0" applyFont="1" applyBorder="1" applyAlignment="1">
      <alignment vertical="center" wrapText="1"/>
    </xf>
    <xf numFmtId="0" fontId="266" fillId="0" borderId="182" xfId="0" applyFont="1" applyBorder="1" applyAlignment="1">
      <alignment vertical="center" wrapText="1"/>
    </xf>
    <xf numFmtId="0" fontId="266" fillId="0" borderId="43" xfId="0" applyFont="1" applyBorder="1" applyAlignment="1">
      <alignment horizontal="justify" vertical="center" wrapText="1"/>
    </xf>
    <xf numFmtId="0" fontId="271" fillId="0" borderId="181" xfId="0" applyFont="1" applyBorder="1" applyAlignment="1">
      <alignment vertical="center" wrapText="1"/>
    </xf>
    <xf numFmtId="0" fontId="271" fillId="0" borderId="181" xfId="0" applyFont="1" applyBorder="1" applyAlignment="1">
      <alignment horizontal="justify" vertical="center" wrapText="1"/>
    </xf>
    <xf numFmtId="0" fontId="271" fillId="0" borderId="43" xfId="0" applyFont="1" applyBorder="1" applyAlignment="1">
      <alignment vertical="center" wrapText="1"/>
    </xf>
    <xf numFmtId="0" fontId="270" fillId="0" borderId="0" xfId="0" applyFont="1" applyFill="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3"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0" fillId="0" borderId="183" xfId="0" applyFont="1" applyBorder="1" applyAlignment="1">
      <alignment vertical="center" wrapText="1"/>
    </xf>
    <xf numFmtId="0" fontId="270" fillId="0" borderId="177" xfId="0" applyFont="1"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0" fontId="107" fillId="0" borderId="1" xfId="0" applyFont="1" applyFill="1" applyBorder="1" applyAlignment="1">
      <alignment horizontal="center" vertical="center"/>
    </xf>
    <xf numFmtId="176" fontId="107" fillId="5" borderId="1" xfId="19" applyFont="1" applyFill="1" applyBorder="1" applyAlignment="1">
      <alignment horizontal="center" vertical="center"/>
    </xf>
    <xf numFmtId="176" fontId="107" fillId="0" borderId="1" xfId="19" applyFont="1" applyFill="1" applyBorder="1" applyAlignment="1">
      <alignment horizontal="center" vertical="center" wrapText="1"/>
    </xf>
    <xf numFmtId="0" fontId="107" fillId="0" borderId="1" xfId="0" applyFont="1" applyFill="1" applyBorder="1" applyAlignment="1">
      <alignment horizontal="left" vertical="center" wrapText="1"/>
    </xf>
    <xf numFmtId="0" fontId="0" fillId="0" borderId="1" xfId="0" applyFill="1" applyBorder="1" applyAlignment="1">
      <alignment vertical="center" wrapText="1"/>
    </xf>
    <xf numFmtId="0" fontId="0" fillId="0" borderId="1" xfId="0" applyFill="1" applyBorder="1" applyAlignment="1">
      <alignmen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86"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7026;&#36722;\2021&#24180;\2021-1-0098&#33322;&#28207;&#38598;&#22242;&#39318;&#37117;&#26426;&#22330;&#20179;&#20648;&#39033;&#30446;\F02DYGJ1\&#26368;&#32456;\&#20027;&#34920;-&#39034;&#20041;&#26426;&#22330;&#20179;&#20648;&#39033;&#30446;&#65288;&#22330;&#20869;&#22320;&#65289;2022.4.2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3322;&#28207;&#39033;&#30446;-&#20445;&#31246;&#213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3322;&#28207;&#39033;&#30446;-&#33322;&#28207;&#29289;&#27969;&#22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D6" t="str">
            <v>A105</v>
          </cell>
        </row>
        <row r="7">
          <cell r="D7" t="str">
            <v>1#快件中心（A203）</v>
          </cell>
        </row>
        <row r="8">
          <cell r="D8" t="str">
            <v>2#快件中心及综合办公楼（A204）</v>
          </cell>
        </row>
      </sheetData>
      <sheetData sheetId="14" refreshError="1"/>
      <sheetData sheetId="15" refreshError="1"/>
      <sheetData sheetId="16" refreshError="1"/>
      <sheetData sheetId="17" refreshError="1"/>
      <sheetData sheetId="18">
        <row r="19">
          <cell r="G19">
            <v>215650</v>
          </cell>
        </row>
      </sheetData>
      <sheetData sheetId="19">
        <row r="59">
          <cell r="N59">
            <v>67957</v>
          </cell>
        </row>
      </sheetData>
      <sheetData sheetId="20">
        <row r="59">
          <cell r="N59">
            <v>60500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76920.23</v>
          </cell>
          <cell r="C14">
            <v>140254.93</v>
          </cell>
          <cell r="D14">
            <v>89166</v>
          </cell>
          <cell r="G14">
            <v>89166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cell r="C14">
            <v>167318.6</v>
          </cell>
          <cell r="D14">
            <v>116698</v>
          </cell>
          <cell r="G14">
            <v>116698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估价对象为北京市房地产，为航港发展有限公司所有。根据《国有土地使用证》[]，估价对象（分摊）出让国有建设用地使用权面积为236852.67平方米，建筑面积为114107.98平方米。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估价对象为北京市房地产,为航港发展有限公司开发建设的，该项目尚在开发建设中。根据《国有土地使用证》[]，估价对象（分摊）出让国有建设用地使用权面积为236852.67平方米，规划建筑面积为114107.98平方米。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2023年3月17日</v>
      </c>
    </row>
    <row r="13" spans="1:2" s="1203" customFormat="1">
      <c r="A13" s="1201" t="s">
        <v>529</v>
      </c>
      <c r="B13" s="1202" t="str">
        <f>'预评函-1'!A18</f>
        <v>本次估价的“房地产价值”是指在正常市场情况下，在价值时点2023年3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215092</v>
      </c>
    </row>
    <row r="21" spans="1:2" s="1203" customFormat="1">
      <c r="A21" s="1201" t="s">
        <v>537</v>
      </c>
      <c r="B21" s="1202">
        <f ca="1">'预评函-2'!D7</f>
        <v>18850</v>
      </c>
    </row>
    <row r="22" spans="1:2" s="1203" customFormat="1">
      <c r="A22" s="1201" t="s">
        <v>538</v>
      </c>
      <c r="B22" s="1202" t="str">
        <f ca="1">'预评函-2'!D6</f>
        <v>贰拾壹亿伍仟零玖拾贰万元整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215092</v>
      </c>
    </row>
    <row r="31" spans="1:2" s="1203" customFormat="1">
      <c r="A31" s="1201" t="s">
        <v>576</v>
      </c>
      <c r="B31" s="1202">
        <f ca="1">'预评函-2'!D15</f>
        <v>18850</v>
      </c>
    </row>
    <row r="32" spans="1:2" s="1203" customFormat="1">
      <c r="A32" s="1201" t="s">
        <v>543</v>
      </c>
      <c r="B32" s="1202" t="str">
        <f ca="1">'预评函-2'!D14</f>
        <v>贰拾壹亿伍仟零玖拾贰万元整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114107.98000000001</v>
      </c>
    </row>
    <row r="44" spans="1:2" s="1203" customFormat="1">
      <c r="A44" s="1201" t="s">
        <v>575</v>
      </c>
      <c r="B44" s="1202" t="str">
        <f>'预评函-3'!C2</f>
        <v>(分摊)土地面积</v>
      </c>
    </row>
    <row r="45" spans="1:2" s="1203" customFormat="1">
      <c r="A45" s="1201" t="s">
        <v>547</v>
      </c>
      <c r="B45" s="1202">
        <f>'预评函-3'!C4</f>
        <v>236852.67</v>
      </c>
    </row>
    <row r="46" spans="1:2" s="1203" customFormat="1">
      <c r="A46" s="1201" t="s">
        <v>573</v>
      </c>
      <c r="B46" s="1202" t="str">
        <f>'预评函-3'!D2</f>
        <v>出让国有建设用地使用权价值</v>
      </c>
    </row>
    <row r="47" spans="1:2" s="1203" customFormat="1">
      <c r="A47" s="1201" t="s">
        <v>548</v>
      </c>
      <c r="B47" s="1202">
        <f ca="1">'预评函-3'!D4</f>
        <v>177729</v>
      </c>
    </row>
    <row r="48" spans="1:2" s="1203" customFormat="1">
      <c r="A48" s="1201" t="s">
        <v>549</v>
      </c>
      <c r="B48" s="1202">
        <f ca="1">'预评函-3'!E4</f>
        <v>15576</v>
      </c>
    </row>
    <row r="49" spans="1:2" s="1203" customFormat="1">
      <c r="A49" s="1201" t="s">
        <v>550</v>
      </c>
      <c r="B49" s="1202" t="str">
        <f ca="1">'预评函-3'!D5</f>
        <v>壹拾柒亿柒仟柒佰贰拾玖万元整</v>
      </c>
    </row>
    <row r="50" spans="1:2" s="1203" customFormat="1">
      <c r="A50" s="1201" t="s">
        <v>574</v>
      </c>
      <c r="B50" s="1202" t="str">
        <f>'预评函-3'!F2</f>
        <v>在建建筑物价值</v>
      </c>
    </row>
    <row r="51" spans="1:2" s="1203" customFormat="1">
      <c r="A51" s="1201" t="s">
        <v>551</v>
      </c>
      <c r="B51" s="1202">
        <f ca="1">'预评函-3'!F4</f>
        <v>37363</v>
      </c>
    </row>
    <row r="52" spans="1:2" s="1203" customFormat="1">
      <c r="A52" s="1201" t="s">
        <v>552</v>
      </c>
      <c r="B52" s="1202">
        <f ca="1">'预评函-3'!G4</f>
        <v>3274</v>
      </c>
    </row>
    <row r="53" spans="1:2" s="1203" customFormat="1">
      <c r="A53" s="1201" t="s">
        <v>580</v>
      </c>
      <c r="B53" s="1202" t="str">
        <f ca="1">'预评函-3'!F5</f>
        <v>叁亿柒仟叁佰陆拾叁万元整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976</v>
      </c>
      <c r="C1" s="1541" t="s">
        <v>314</v>
      </c>
      <c r="D1" s="1543" t="s">
        <v>3357</v>
      </c>
      <c r="E1" s="1542" t="s">
        <v>977</v>
      </c>
      <c r="F1" s="1542" t="s">
        <v>978</v>
      </c>
      <c r="G1" s="1542" t="s">
        <v>979</v>
      </c>
      <c r="H1" s="1542" t="s">
        <v>980</v>
      </c>
      <c r="I1" s="1542" t="s">
        <v>981</v>
      </c>
      <c r="J1" s="1542" t="s">
        <v>982</v>
      </c>
      <c r="K1" s="1542" t="s">
        <v>983</v>
      </c>
      <c r="L1" s="1542" t="s">
        <v>984</v>
      </c>
      <c r="M1" s="1542" t="s">
        <v>985</v>
      </c>
      <c r="N1" s="1542" t="s">
        <v>986</v>
      </c>
      <c r="O1" s="1542" t="s">
        <v>987</v>
      </c>
      <c r="P1" s="1543" t="s">
        <v>309</v>
      </c>
      <c r="Q1" s="1543" t="s">
        <v>447</v>
      </c>
      <c r="R1" s="1542" t="s">
        <v>441</v>
      </c>
      <c r="S1" s="1542" t="s">
        <v>988</v>
      </c>
      <c r="T1" s="1544" t="s">
        <v>989</v>
      </c>
      <c r="U1" s="1542" t="s">
        <v>990</v>
      </c>
      <c r="V1" s="1542" t="s">
        <v>991</v>
      </c>
      <c r="W1" s="1542" t="s">
        <v>311</v>
      </c>
    </row>
    <row r="2" spans="1:23">
      <c r="A2" s="1546" t="s">
        <v>19</v>
      </c>
      <c r="B2" s="1546" t="s">
        <v>992</v>
      </c>
      <c r="C2" s="1547" t="s">
        <v>315</v>
      </c>
      <c r="D2" s="1548" t="s">
        <v>993</v>
      </c>
      <c r="E2" s="1548" t="s">
        <v>994</v>
      </c>
      <c r="F2" s="1548" t="s">
        <v>995</v>
      </c>
      <c r="G2" s="1548">
        <v>20</v>
      </c>
      <c r="H2" s="1548" t="s">
        <v>995</v>
      </c>
      <c r="I2" s="1548" t="s">
        <v>3343</v>
      </c>
      <c r="J2" s="1548" t="s">
        <v>996</v>
      </c>
      <c r="K2" s="1548" t="s">
        <v>997</v>
      </c>
      <c r="L2" s="1548" t="s">
        <v>997</v>
      </c>
      <c r="M2" s="1548" t="s">
        <v>997</v>
      </c>
      <c r="N2" s="1548" t="s">
        <v>997</v>
      </c>
      <c r="O2" s="1548" t="s">
        <v>997</v>
      </c>
      <c r="P2" s="1548" t="s">
        <v>997</v>
      </c>
      <c r="Q2" s="1548" t="s">
        <v>997</v>
      </c>
      <c r="R2" s="1548" t="s">
        <v>443</v>
      </c>
      <c r="S2" s="1548" t="s">
        <v>997</v>
      </c>
      <c r="T2" s="1548" t="s">
        <v>998</v>
      </c>
      <c r="U2" s="1548" t="s">
        <v>997</v>
      </c>
      <c r="V2" s="1548" t="s">
        <v>999</v>
      </c>
      <c r="W2" s="1548" t="s">
        <v>997</v>
      </c>
    </row>
    <row r="3" spans="1:23">
      <c r="A3" s="1546" t="s">
        <v>1000</v>
      </c>
      <c r="B3" s="1549" t="s">
        <v>448</v>
      </c>
      <c r="C3" s="1550" t="s">
        <v>316</v>
      </c>
      <c r="D3" s="1548" t="s">
        <v>1001</v>
      </c>
      <c r="E3" s="1548" t="s">
        <v>13</v>
      </c>
      <c r="F3" s="1548" t="s">
        <v>1002</v>
      </c>
      <c r="G3" s="1548">
        <v>40</v>
      </c>
      <c r="H3" s="1548" t="s">
        <v>1002</v>
      </c>
      <c r="I3" s="1548" t="s">
        <v>3344</v>
      </c>
      <c r="J3" s="1548" t="s">
        <v>1003</v>
      </c>
      <c r="K3" s="1548" t="s">
        <v>1004</v>
      </c>
      <c r="L3" s="1548" t="s">
        <v>1004</v>
      </c>
      <c r="M3" s="1548" t="s">
        <v>1004</v>
      </c>
      <c r="N3" s="1548" t="s">
        <v>1004</v>
      </c>
      <c r="O3" s="1548" t="s">
        <v>1004</v>
      </c>
      <c r="P3" s="1548" t="s">
        <v>1004</v>
      </c>
      <c r="Q3" s="1548" t="s">
        <v>1004</v>
      </c>
      <c r="R3" s="1548" t="s">
        <v>442</v>
      </c>
      <c r="S3" s="1548" t="s">
        <v>1004</v>
      </c>
      <c r="T3" s="1548" t="s">
        <v>1005</v>
      </c>
      <c r="U3" s="1548" t="s">
        <v>1004</v>
      </c>
      <c r="V3" s="1548" t="s">
        <v>1006</v>
      </c>
      <c r="W3" s="1548" t="s">
        <v>1004</v>
      </c>
    </row>
    <row r="4" spans="1:23">
      <c r="A4" s="1546" t="s">
        <v>1007</v>
      </c>
      <c r="B4" s="1546" t="s">
        <v>1008</v>
      </c>
      <c r="C4" s="1547" t="s">
        <v>317</v>
      </c>
      <c r="D4" s="1548" t="s">
        <v>389</v>
      </c>
      <c r="E4" s="1548" t="s">
        <v>1009</v>
      </c>
      <c r="F4" s="1548" t="s">
        <v>1010</v>
      </c>
      <c r="G4" s="1548">
        <v>50</v>
      </c>
      <c r="H4" s="1548" t="s">
        <v>1010</v>
      </c>
      <c r="I4" s="1548" t="s">
        <v>3345</v>
      </c>
      <c r="K4" s="1548" t="s">
        <v>1011</v>
      </c>
      <c r="L4" s="1548" t="s">
        <v>1011</v>
      </c>
      <c r="M4" s="1548" t="s">
        <v>1011</v>
      </c>
      <c r="N4" s="1548" t="s">
        <v>1011</v>
      </c>
      <c r="O4" s="1548" t="s">
        <v>1011</v>
      </c>
      <c r="P4" s="1548" t="s">
        <v>1011</v>
      </c>
      <c r="Q4" s="1548" t="s">
        <v>1011</v>
      </c>
      <c r="R4" s="1548" t="s">
        <v>444</v>
      </c>
      <c r="S4" s="1548" t="s">
        <v>1011</v>
      </c>
      <c r="T4" s="1548" t="s">
        <v>1012</v>
      </c>
      <c r="U4" s="1548" t="s">
        <v>1011</v>
      </c>
      <c r="W4" s="1548" t="s">
        <v>1011</v>
      </c>
    </row>
    <row r="5" spans="1:23">
      <c r="A5" s="1546" t="s">
        <v>1013</v>
      </c>
      <c r="B5" s="1546" t="s">
        <v>1014</v>
      </c>
      <c r="C5" s="1547" t="s">
        <v>318</v>
      </c>
      <c r="F5" s="1548" t="s">
        <v>1015</v>
      </c>
      <c r="G5" s="1548">
        <v>70</v>
      </c>
      <c r="H5" s="1548" t="s">
        <v>1016</v>
      </c>
      <c r="I5" s="1548" t="s">
        <v>3346</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3347</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3348</v>
      </c>
    </row>
    <row r="8" spans="1:23">
      <c r="A8" s="1546" t="s">
        <v>1025</v>
      </c>
      <c r="B8" s="1546" t="s">
        <v>1026</v>
      </c>
      <c r="C8" s="1547" t="s">
        <v>319</v>
      </c>
      <c r="F8" s="1548" t="s">
        <v>1027</v>
      </c>
      <c r="H8" s="1548" t="s">
        <v>2579</v>
      </c>
      <c r="I8" s="1548" t="s">
        <v>3349</v>
      </c>
    </row>
    <row r="9" spans="1:23">
      <c r="A9" s="1546" t="s">
        <v>1028</v>
      </c>
      <c r="B9" s="1546" t="s">
        <v>1029</v>
      </c>
      <c r="C9" s="1547" t="s">
        <v>320</v>
      </c>
      <c r="F9" s="1548" t="s">
        <v>1030</v>
      </c>
      <c r="H9" s="1548"/>
      <c r="I9" s="1551" t="s">
        <v>3350</v>
      </c>
    </row>
    <row r="10" spans="1:23">
      <c r="A10" s="1546" t="s">
        <v>1031</v>
      </c>
      <c r="B10" s="1546" t="s">
        <v>1032</v>
      </c>
      <c r="C10" s="1547" t="s">
        <v>321</v>
      </c>
      <c r="F10" s="1548" t="s">
        <v>2580</v>
      </c>
      <c r="I10" s="1551" t="s">
        <v>3351</v>
      </c>
    </row>
    <row r="11" spans="1:23">
      <c r="A11" s="1546" t="s">
        <v>1033</v>
      </c>
      <c r="B11" s="1546" t="s">
        <v>1034</v>
      </c>
      <c r="C11" s="1547" t="s">
        <v>322</v>
      </c>
      <c r="F11" s="1548" t="s">
        <v>13</v>
      </c>
      <c r="I11" s="1551" t="s">
        <v>3352</v>
      </c>
    </row>
    <row r="12" spans="1:23">
      <c r="A12" s="1546" t="s">
        <v>1035</v>
      </c>
      <c r="B12" s="1546" t="s">
        <v>1036</v>
      </c>
      <c r="C12" s="1547" t="s">
        <v>323</v>
      </c>
      <c r="I12" s="1551" t="s">
        <v>3353</v>
      </c>
    </row>
    <row r="13" spans="1:23">
      <c r="A13" s="1546" t="s">
        <v>1037</v>
      </c>
      <c r="B13" s="1546" t="s">
        <v>1038</v>
      </c>
      <c r="C13" s="1547" t="s">
        <v>324</v>
      </c>
      <c r="I13" s="1551" t="s">
        <v>3354</v>
      </c>
    </row>
    <row r="14" spans="1:23">
      <c r="A14" s="1546" t="s">
        <v>1039</v>
      </c>
      <c r="B14" s="1546" t="s">
        <v>1040</v>
      </c>
      <c r="C14" s="1548" t="s">
        <v>13</v>
      </c>
      <c r="I14" s="1551" t="s">
        <v>3355</v>
      </c>
    </row>
    <row r="15" spans="1:23">
      <c r="A15" s="1546" t="s">
        <v>1041</v>
      </c>
      <c r="B15" s="1546" t="s">
        <v>1042</v>
      </c>
      <c r="C15" s="1547"/>
      <c r="I15" s="1551" t="s">
        <v>3356</v>
      </c>
    </row>
    <row r="16" spans="1:23">
      <c r="A16" s="1546" t="s">
        <v>1043</v>
      </c>
      <c r="B16" s="1546" t="s">
        <v>312</v>
      </c>
      <c r="C16" s="1547"/>
    </row>
    <row r="17" spans="1:3">
      <c r="A17" s="1546" t="s">
        <v>1044</v>
      </c>
      <c r="B17" s="1546" t="s">
        <v>2292</v>
      </c>
      <c r="C17" s="1547"/>
    </row>
    <row r="18" spans="1:3">
      <c r="A18" s="1546" t="s">
        <v>1045</v>
      </c>
      <c r="B18" s="1546" t="s">
        <v>2435</v>
      </c>
      <c r="C18" s="1547"/>
    </row>
    <row r="19" spans="1:3">
      <c r="A19" s="1546" t="s">
        <v>1046</v>
      </c>
      <c r="B19" s="1546" t="s">
        <v>313</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15" t="s">
        <v>2582</v>
      </c>
      <c r="J2" s="3515"/>
      <c r="K2" s="3515"/>
      <c r="L2" s="3515"/>
      <c r="M2" s="3515"/>
      <c r="N2" s="3515"/>
      <c r="O2" s="3515"/>
      <c r="P2" s="3515"/>
      <c r="Q2" s="3515"/>
      <c r="R2" s="3515"/>
    </row>
    <row r="3" spans="1:18">
      <c r="A3" s="3019" t="s">
        <v>2503</v>
      </c>
      <c r="B3" s="3020">
        <f>项目基本情况!D3</f>
        <v>45002</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3.76</v>
      </c>
      <c r="D5" s="3024">
        <f>IF(ISERROR(ROUND(POWER(1+E5,A5-C5)*(POWER(1+E5,C5)-1)/(POWER(1+E5,A5)-1),3)),0,ROUND(POWER(1+E5,A5-C5)*(POWER(1+E5,C5)-1)/(POWER(1+E5,A5)-1),4))</f>
        <v>0.17319999999999999</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13.76</v>
      </c>
      <c r="D6" s="3024">
        <f>IF(ISERROR(ROUND(POWER(1+E6,A6-C6)*(POWER(1+E6,C6)-1)/(POWER(1+E6,A6)-1),3)),0,ROUND(POWER(1+E6,A6-C6)*(POWER(1+E6,C6)-1)/(POWER(1+E6,A6)-1),4))</f>
        <v>0.4854</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33.78</v>
      </c>
      <c r="D7" s="3024">
        <f>IF(ISERROR(ROUND(POWER(1+E7,A7-C7)*(POWER(1+E7,C7)-1)/(POWER(1+E7,A7)-1),3)),0,ROUND(POWER(1+E7,A7-C7)*(POWER(1+E7,C7)-1)/(POWER(1+E7,A7)-1),4))</f>
        <v>0.78449999999999998</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45002</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ht="24">
      <c r="A7" s="2383" t="s">
        <v>2174</v>
      </c>
      <c r="B7" s="3449" t="s">
        <v>3382</v>
      </c>
      <c r="C7" s="2385"/>
      <c r="D7" s="2386"/>
      <c r="E7" s="2661"/>
      <c r="F7" s="2663"/>
      <c r="G7" s="2663"/>
      <c r="H7" s="2663"/>
      <c r="I7" s="2663"/>
      <c r="J7" s="2438"/>
      <c r="K7" s="2615"/>
      <c r="L7" s="2612"/>
      <c r="M7" s="2612"/>
      <c r="N7" s="2438"/>
      <c r="O7" s="2449"/>
      <c r="P7" s="2438"/>
      <c r="Q7" s="2438"/>
      <c r="R7" s="2438"/>
    </row>
    <row r="8" spans="1:30">
      <c r="A8" s="2387" t="s">
        <v>2175</v>
      </c>
      <c r="B8" s="2388" t="s">
        <v>3378</v>
      </c>
      <c r="C8" s="2389"/>
      <c r="D8" s="3519" t="s">
        <v>2176</v>
      </c>
      <c r="E8" s="2390" t="s">
        <v>3379</v>
      </c>
      <c r="F8" s="2391"/>
      <c r="G8" s="2662"/>
      <c r="H8" s="2662"/>
      <c r="I8" s="2662"/>
      <c r="J8" s="2438"/>
      <c r="K8" s="2613"/>
      <c r="L8" s="2612"/>
      <c r="M8" s="2612"/>
      <c r="N8" s="2438"/>
      <c r="O8" s="2449"/>
      <c r="P8" s="2438"/>
      <c r="Q8" s="2438"/>
      <c r="R8" s="2438"/>
    </row>
    <row r="9" spans="1:30" ht="13.5" thickBot="1">
      <c r="A9" s="2392" t="s">
        <v>2177</v>
      </c>
      <c r="B9" s="2393" t="s">
        <v>3379</v>
      </c>
      <c r="C9" s="2394"/>
      <c r="D9" s="3520"/>
      <c r="E9" s="2393" t="s">
        <v>43</v>
      </c>
      <c r="F9" s="2395"/>
      <c r="G9" s="2664"/>
      <c r="H9" s="2664"/>
      <c r="I9" s="2664"/>
      <c r="J9" s="2438"/>
      <c r="K9" s="2615"/>
      <c r="L9" s="2612"/>
      <c r="M9" s="2612"/>
      <c r="N9" s="2438"/>
      <c r="O9" s="2449"/>
      <c r="P9" s="2438"/>
      <c r="Q9" s="2438"/>
      <c r="R9" s="2438"/>
    </row>
    <row r="10" spans="1:30" ht="13.5" thickTop="1">
      <c r="A10" s="2396" t="s">
        <v>2178</v>
      </c>
      <c r="B10" s="2397" t="s">
        <v>3380</v>
      </c>
      <c r="C10" s="2398"/>
      <c r="D10" s="2382"/>
      <c r="E10" s="2399" t="s">
        <v>2179</v>
      </c>
      <c r="F10" s="2665"/>
      <c r="G10" s="2666"/>
      <c r="H10" s="2667"/>
      <c r="I10" s="2668"/>
      <c r="J10" s="2438"/>
      <c r="K10" s="2615"/>
      <c r="L10" s="2612"/>
      <c r="M10" s="2612"/>
      <c r="N10" s="2438"/>
      <c r="O10" s="2449"/>
      <c r="P10" s="2438"/>
      <c r="Q10" s="2438"/>
      <c r="R10" s="2438"/>
    </row>
    <row r="11" spans="1:30" ht="25.5">
      <c r="A11" s="2400" t="s">
        <v>2180</v>
      </c>
      <c r="B11" s="2401" t="s">
        <v>3381</v>
      </c>
      <c r="C11" s="2402" t="str">
        <f>B7</f>
        <v>航港发展有限公司</v>
      </c>
      <c r="D11" s="2403"/>
      <c r="E11" s="2370"/>
      <c r="F11" s="2370"/>
      <c r="G11" s="2370"/>
      <c r="H11" s="2370"/>
      <c r="I11" s="2370"/>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3338</v>
      </c>
      <c r="B13" s="2406" t="s">
        <v>2189</v>
      </c>
      <c r="C13" s="856"/>
      <c r="D13" s="856"/>
      <c r="E13" s="856"/>
      <c r="F13" s="856"/>
      <c r="G13" s="856"/>
      <c r="H13" s="856">
        <v>57180</v>
      </c>
      <c r="I13" s="856"/>
      <c r="J13" s="3061"/>
      <c r="K13" s="2612"/>
      <c r="L13" s="2612"/>
      <c r="M13" s="2438"/>
      <c r="N13" s="2449"/>
      <c r="O13" s="2438"/>
      <c r="P13" s="2438"/>
      <c r="Q13" s="2438"/>
      <c r="AD13" s="1745"/>
    </row>
    <row r="14" spans="1:30">
      <c r="A14" s="1081"/>
      <c r="B14" s="2406" t="s">
        <v>2190</v>
      </c>
      <c r="C14" s="2407"/>
      <c r="D14" s="2407"/>
      <c r="E14" s="2407"/>
      <c r="F14" s="2407"/>
      <c r="G14" s="2407"/>
      <c r="H14" s="2407">
        <v>50</v>
      </c>
      <c r="I14" s="2407"/>
      <c r="J14" s="3062"/>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33.36</v>
      </c>
      <c r="I15" s="2409" t="str">
        <f>IF(A13="出让",IF(I13="","",ROUNDDOWN(MIN((I13-$D$3)/365,I14),2)),I14)</f>
        <v/>
      </c>
      <c r="J15" s="3063"/>
      <c r="K15" s="2450"/>
      <c r="L15" s="2450"/>
      <c r="M15" s="2508"/>
      <c r="N15" s="2450"/>
      <c r="O15" s="2508"/>
      <c r="P15" s="2438"/>
      <c r="Q15" s="2438"/>
      <c r="AD15" s="1745"/>
    </row>
    <row r="16" spans="1:30">
      <c r="A16" s="2399" t="s">
        <v>2192</v>
      </c>
      <c r="B16" s="3526"/>
      <c r="C16" s="3527"/>
      <c r="D16" s="3528"/>
      <c r="E16" s="2412" t="s">
        <v>2193</v>
      </c>
      <c r="F16" s="3529"/>
      <c r="G16" s="3530"/>
      <c r="H16" s="3530"/>
      <c r="I16" s="3531"/>
      <c r="J16" s="2438"/>
      <c r="K16" s="2616"/>
      <c r="L16" s="2450"/>
      <c r="M16" s="2450"/>
      <c r="N16" s="2508"/>
      <c r="O16" s="2450"/>
      <c r="P16" s="2508"/>
      <c r="Q16" s="2438"/>
      <c r="R16" s="2438"/>
    </row>
    <row r="17" spans="1:28">
      <c r="A17" s="313" t="s">
        <v>2194</v>
      </c>
      <c r="B17" s="302" t="s">
        <v>2195</v>
      </c>
      <c r="C17" s="8">
        <f>'数据-汇总表'!E3</f>
        <v>114107.98000000001</v>
      </c>
      <c r="D17" s="2322" t="s">
        <v>2196</v>
      </c>
      <c r="E17" s="3532" t="s">
        <v>2197</v>
      </c>
      <c r="F17" s="3533"/>
      <c r="G17" s="3533"/>
      <c r="H17" s="3533"/>
      <c r="I17" s="3534"/>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236852.67</v>
      </c>
      <c r="D18" s="1092" t="s">
        <v>2200</v>
      </c>
      <c r="E18" s="3535" t="s">
        <v>2201</v>
      </c>
      <c r="F18" s="3536"/>
      <c r="G18" s="3536"/>
      <c r="H18" s="3536"/>
      <c r="I18" s="3537"/>
      <c r="J18" s="2438"/>
      <c r="K18" s="2617"/>
      <c r="L18" s="2450"/>
      <c r="M18" s="2450"/>
      <c r="N18" s="2508"/>
      <c r="O18" s="2450"/>
      <c r="P18" s="2508"/>
      <c r="Q18" s="2438"/>
      <c r="R18" s="2438"/>
      <c r="S18" s="2438"/>
      <c r="T18" s="2438"/>
      <c r="U18" s="2438"/>
      <c r="V18" s="2438"/>
    </row>
    <row r="19" spans="1:28" ht="37.5" thickTop="1" thickBot="1">
      <c r="A19" s="327" t="s">
        <v>1054</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22" t="s">
        <v>2205</v>
      </c>
      <c r="C20" s="3523"/>
      <c r="D20" s="3524" t="s">
        <v>2206</v>
      </c>
      <c r="E20" s="3525"/>
      <c r="F20" s="2646" t="s">
        <v>1055</v>
      </c>
      <c r="G20" s="2663"/>
      <c r="H20" s="2663"/>
      <c r="I20" s="2663"/>
      <c r="J20" s="2438"/>
      <c r="K20" s="352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1056</v>
      </c>
      <c r="D21" s="1568" t="s">
        <v>2209</v>
      </c>
      <c r="E21" s="2634" t="s">
        <v>1056</v>
      </c>
      <c r="F21" s="2647"/>
      <c r="G21" s="2663"/>
      <c r="H21" s="2663"/>
      <c r="I21" s="2663"/>
      <c r="J21" s="2438"/>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1057</v>
      </c>
      <c r="D22" s="2662"/>
      <c r="E22" s="2662"/>
      <c r="F22" s="2662"/>
      <c r="G22" s="2663"/>
      <c r="H22" s="2663"/>
      <c r="I22" s="2663"/>
      <c r="J22" s="2438"/>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9"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9"/>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9"/>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0"/>
      <c r="B30" s="302" t="s">
        <v>2217</v>
      </c>
      <c r="C30" s="3541"/>
      <c r="D30" s="3542"/>
      <c r="E30" s="2663"/>
      <c r="F30" s="2663"/>
      <c r="G30" s="2663"/>
      <c r="H30" s="2663"/>
      <c r="I30" s="2663"/>
      <c r="J30" s="2438"/>
      <c r="K30" s="2615"/>
      <c r="L30" s="2612"/>
      <c r="M30" s="2612"/>
      <c r="N30" s="2438"/>
      <c r="O30" s="2449"/>
      <c r="P30" s="2438"/>
      <c r="Q30" s="2438"/>
      <c r="R30" s="2438"/>
      <c r="S30" s="2438"/>
      <c r="T30" s="2438"/>
      <c r="U30" s="2438"/>
      <c r="V30" s="2438"/>
    </row>
    <row r="31" spans="1:28">
      <c r="A31" s="3543" t="s">
        <v>2218</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4"/>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4"/>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38" t="s">
        <v>2227</v>
      </c>
      <c r="T34" s="2427" t="str">
        <f>NUMBERSTRING(7-K34,1)&amp;"通"</f>
        <v>七通</v>
      </c>
      <c r="U34" s="2438"/>
      <c r="V34" s="2438"/>
    </row>
    <row r="35" spans="1:30">
      <c r="A35" s="2428"/>
      <c r="B35" s="3545" t="s">
        <v>2228</v>
      </c>
      <c r="C35" s="3545"/>
      <c r="D35" s="3545"/>
      <c r="E35" s="354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26.25" thickBot="1">
      <c r="A38" s="2630" t="s">
        <v>2230</v>
      </c>
      <c r="B38" s="2431"/>
      <c r="C38" s="2431"/>
      <c r="D38" s="2431"/>
      <c r="E38" s="2431" t="s">
        <v>3450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111551.34+125301.33</f>
        <v>236852.66999999998</v>
      </c>
      <c r="B3" s="11">
        <f>IF(C3="否",G5-AT5,G5)</f>
        <v>114107.98000000001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114107.98000000001</v>
      </c>
      <c r="H5" s="13">
        <f t="shared" ref="H5:AT5" si="0">SUM(H13:H656)</f>
        <v>114107.98000000001</v>
      </c>
      <c r="I5" s="13">
        <f t="shared" si="0"/>
        <v>114107.98000000001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114107.98000000001</v>
      </c>
      <c r="BA5" s="15">
        <f t="shared" si="1"/>
        <v>114107.98000000001</v>
      </c>
      <c r="BB5" s="15">
        <f t="shared" si="1"/>
        <v>114107.98000000001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236852.67</v>
      </c>
      <c r="F6" s="13" t="s">
        <v>0</v>
      </c>
      <c r="G6" s="13" t="s">
        <v>1</v>
      </c>
      <c r="H6" s="17">
        <f>SUMIF(I$12:AB$12,"总值",I6:AB6)</f>
        <v>236852.67</v>
      </c>
      <c r="I6" s="13">
        <f t="shared" ref="I6:AB6" si="2">ROUND($A$3*I5/$B$3,2)</f>
        <v>236852.67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236852.67</v>
      </c>
      <c r="AZ6" s="13" t="s">
        <v>2</v>
      </c>
      <c r="BA6" s="13">
        <f>ROUND($AY$6*BA5/$AZ$5,2)</f>
        <v>236852.67</v>
      </c>
      <c r="BB6" s="13">
        <f>ROUND($AY$6*BB5/$AZ$5,2)</f>
        <v>236852.67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3340</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t="s">
        <v>3383</v>
      </c>
      <c r="C13" s="1051" t="s">
        <v>3385</v>
      </c>
      <c r="D13" s="1625" t="s">
        <v>3386</v>
      </c>
      <c r="E13" s="13">
        <f>IF($C$3="是",ROUND($A$3*G13/$B$3,2),ROUND($A$3*(G13-AT13)/$B$3,2))</f>
        <v>123966.83</v>
      </c>
      <c r="F13" s="29"/>
      <c r="G13" s="30">
        <f>H13+AC13+AT13</f>
        <v>59723.22</v>
      </c>
      <c r="H13" s="17">
        <f>SUMIF(I$12:AB$12,"总值",I13:AB13)</f>
        <v>59723.22</v>
      </c>
      <c r="I13" s="1626">
        <f>面积表!G3</f>
        <v>59723.22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BGS</v>
      </c>
      <c r="AX13" s="8" t="str">
        <f t="shared" si="6"/>
        <v>A103、A104、办公楼</v>
      </c>
      <c r="AY13" s="1349">
        <f>ROUND($AY$6*AZ13/$AZ$5,2)</f>
        <v>123966.83</v>
      </c>
      <c r="AZ13" s="13">
        <f>BA13+BL13</f>
        <v>59723.22</v>
      </c>
      <c r="BA13" s="13">
        <f>SUM(BB13:BK13)</f>
        <v>59723.22</v>
      </c>
      <c r="BB13" s="13">
        <f>IF($D13="是",I13-J13,0)</f>
        <v>59723.22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3383</v>
      </c>
      <c r="C14" s="1051" t="str">
        <f>[2]面积表!D6</f>
        <v>A105</v>
      </c>
      <c r="D14" s="1625" t="s">
        <v>3386</v>
      </c>
      <c r="E14" s="13">
        <f>IF($C$3="是",ROUND($A$3*G14/$B$3,2),ROUND($A$3*(G14-AT14)/$B$3,2))</f>
        <v>1334.5</v>
      </c>
      <c r="F14" s="29"/>
      <c r="G14" s="30">
        <f>H14+AC14+AT14</f>
        <v>642.91999999999996</v>
      </c>
      <c r="H14" s="17">
        <f>SUMIF(I$12:AB$12,"总值",I14:AB14)</f>
        <v>642.91999999999996</v>
      </c>
      <c r="I14" s="1626">
        <f>面积表!G6</f>
        <v>642.91999999999996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BGS</v>
      </c>
      <c r="AX14" s="8" t="str">
        <f t="shared" si="6"/>
        <v>A105</v>
      </c>
      <c r="AY14" s="1349">
        <f>ROUND($AY$6*AZ14/$AZ$5,2)</f>
        <v>1334.5</v>
      </c>
      <c r="AZ14" s="13">
        <f>BA14+BL14</f>
        <v>642.91999999999996</v>
      </c>
      <c r="BA14" s="13">
        <f>SUM(BB14:BK14)</f>
        <v>642.91999999999996</v>
      </c>
      <c r="BB14" s="13">
        <f>IF($D14="是",I14-J14,0)</f>
        <v>642.91999999999996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3450" t="s">
        <v>3384</v>
      </c>
      <c r="C15" s="1051" t="str">
        <f>[2]面积表!D7</f>
        <v>1#快件中心（A203）</v>
      </c>
      <c r="D15" s="1625" t="s">
        <v>3386</v>
      </c>
      <c r="E15" s="13">
        <f>IF($C$3="是",ROUND($A$3*G15/$B$3,2),ROUND($A$3*(G15-AT15)/$B$3,2))</f>
        <v>56652.69</v>
      </c>
      <c r="F15" s="29"/>
      <c r="G15" s="30">
        <f>H15+AC15+AT15</f>
        <v>27293.439999999999</v>
      </c>
      <c r="H15" s="17">
        <f>SUMIF(I$12:AB$12,"总值",I15:AB15)</f>
        <v>27293.439999999999</v>
      </c>
      <c r="I15" s="1626">
        <f>面积表!G7</f>
        <v>27293.439999999999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快件中心</v>
      </c>
      <c r="AX15" s="8" t="str">
        <f t="shared" si="6"/>
        <v>1#快件中心（A203）</v>
      </c>
      <c r="AY15" s="1349">
        <f>ROUND($AY$6*AZ15/$AZ$5,2)</f>
        <v>56652.69</v>
      </c>
      <c r="AZ15" s="13">
        <f>BA15+BL15</f>
        <v>27293.439999999999</v>
      </c>
      <c r="BA15" s="13">
        <f>SUM(BB15:BK15)</f>
        <v>27293.439999999999</v>
      </c>
      <c r="BB15" s="13">
        <f>IF($D15="是",I15-J15,0)</f>
        <v>27293.439999999999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38.25">
      <c r="A16" s="1051"/>
      <c r="B16" s="3450" t="s">
        <v>3384</v>
      </c>
      <c r="C16" s="1051" t="str">
        <f>[2]面积表!D8</f>
        <v>2#快件中心及综合办公楼（A204）</v>
      </c>
      <c r="D16" s="1625" t="s">
        <v>3386</v>
      </c>
      <c r="E16" s="13">
        <f>IF($C$3="是",ROUND($A$3*G16/$B$3,2),ROUND($A$3*(G16-AT16)/$B$3,2))</f>
        <v>54898.65</v>
      </c>
      <c r="F16" s="29"/>
      <c r="G16" s="30">
        <f>H16+AC16+AT16</f>
        <v>26448.400000000001</v>
      </c>
      <c r="H16" s="17">
        <f>SUMIF(I$12:AB$12,"总值",I16:AB16)</f>
        <v>26448.400000000001</v>
      </c>
      <c r="I16" s="1626">
        <f>面积表!G8</f>
        <v>26448.400000000001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快件中心</v>
      </c>
      <c r="AX16" s="8" t="str">
        <f t="shared" si="6"/>
        <v>2#快件中心及综合办公楼（A204）</v>
      </c>
      <c r="AY16" s="1349">
        <f>ROUND($AY$6*AZ16/$AZ$5,2)</f>
        <v>54898.65</v>
      </c>
      <c r="AZ16" s="13">
        <f>BA16+BL16</f>
        <v>26448.400000000001</v>
      </c>
      <c r="BA16" s="13">
        <f>SUM(BB16:BK16)</f>
        <v>26448.400000000001</v>
      </c>
      <c r="BB16" s="13">
        <f>IF($D16="是",I16-J16,0)</f>
        <v>26448.400000000001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4"/>
  <sheetViews>
    <sheetView topLeftCell="A19" workbookViewId="0">
      <selection activeCell="F43" sqref="F43"/>
    </sheetView>
  </sheetViews>
  <sheetFormatPr defaultRowHeight="13.5"/>
  <cols>
    <col min="1" max="1" width="17" customWidth="1"/>
    <col min="2" max="2" width="10.875" customWidth="1"/>
    <col min="3" max="3" width="11.625" customWidth="1"/>
    <col min="4" max="4" width="24.875" customWidth="1"/>
    <col min="5" max="5" width="14" customWidth="1"/>
    <col min="6" max="6" width="13.375" customWidth="1"/>
    <col min="7" max="7" width="14" customWidth="1"/>
    <col min="8" max="8" width="21.25" customWidth="1"/>
    <col min="9" max="9" width="13.875" bestFit="1" customWidth="1"/>
    <col min="10" max="10" width="12.75" bestFit="1" customWidth="1"/>
    <col min="11" max="11" width="10.5" bestFit="1" customWidth="1"/>
    <col min="12" max="12" width="13.875" bestFit="1" customWidth="1"/>
  </cols>
  <sheetData>
    <row r="1" spans="1:12">
      <c r="I1" s="3451" t="s">
        <v>3388</v>
      </c>
      <c r="J1" s="3451" t="s">
        <v>3389</v>
      </c>
    </row>
    <row r="2" spans="1:12">
      <c r="A2" s="3452" t="s">
        <v>3390</v>
      </c>
      <c r="B2" s="3452" t="s">
        <v>3391</v>
      </c>
      <c r="C2" s="3452" t="s">
        <v>3392</v>
      </c>
      <c r="D2" s="3452" t="s">
        <v>3393</v>
      </c>
      <c r="E2" s="3452" t="s">
        <v>3394</v>
      </c>
      <c r="F2" s="3453" t="s">
        <v>3395</v>
      </c>
      <c r="G2" s="3452" t="s">
        <v>3396</v>
      </c>
      <c r="H2" s="3452" t="s">
        <v>3397</v>
      </c>
    </row>
    <row r="3" spans="1:12">
      <c r="A3" s="3548" t="s">
        <v>3398</v>
      </c>
      <c r="B3" s="3549">
        <v>1056185.3999999999</v>
      </c>
      <c r="C3" s="3550" t="s">
        <v>3399</v>
      </c>
      <c r="D3" s="3454" t="s">
        <v>3400</v>
      </c>
      <c r="E3" s="3455">
        <v>80008.929999999993</v>
      </c>
      <c r="F3" s="3456">
        <v>23255.32</v>
      </c>
      <c r="G3" s="3551">
        <v>59723.22</v>
      </c>
      <c r="H3" s="3552" t="s">
        <v>3401</v>
      </c>
      <c r="I3">
        <v>4.758</v>
      </c>
      <c r="J3" s="3451" t="s">
        <v>3402</v>
      </c>
    </row>
    <row r="4" spans="1:12">
      <c r="A4" s="3549"/>
      <c r="B4" s="3549"/>
      <c r="C4" s="3550"/>
      <c r="D4" s="3454" t="s">
        <v>3403</v>
      </c>
      <c r="E4" s="3455">
        <v>80008.929999999993</v>
      </c>
      <c r="F4" s="3456">
        <v>23254.07</v>
      </c>
      <c r="G4" s="3551"/>
      <c r="H4" s="3552"/>
      <c r="I4">
        <v>4.758</v>
      </c>
      <c r="J4" s="3451" t="s">
        <v>3402</v>
      </c>
      <c r="L4" s="3457">
        <f>4.7*(G3+G6)+6.2*6000+5.1*(G7+G8-6000)</f>
        <v>564404.24199999997</v>
      </c>
    </row>
    <row r="5" spans="1:12">
      <c r="A5" s="3549"/>
      <c r="B5" s="3549"/>
      <c r="C5" s="3550"/>
      <c r="D5" s="3454" t="s">
        <v>3404</v>
      </c>
      <c r="E5" s="3455">
        <v>12992.66</v>
      </c>
      <c r="F5" s="3456">
        <v>12673.96</v>
      </c>
      <c r="G5" s="3551"/>
      <c r="H5" s="3552"/>
      <c r="I5">
        <v>4.758</v>
      </c>
      <c r="J5" s="3451" t="s">
        <v>3402</v>
      </c>
      <c r="L5" s="3457">
        <f>L4/(G3+G6+G7+G8)</f>
        <v>4.9462293697601156</v>
      </c>
    </row>
    <row r="6" spans="1:12">
      <c r="A6" s="3549"/>
      <c r="B6" s="3549"/>
      <c r="C6" s="3550"/>
      <c r="D6" s="3454" t="s">
        <v>3405</v>
      </c>
      <c r="E6" s="3455">
        <v>2473.4499999999998</v>
      </c>
      <c r="F6" s="3455">
        <v>642.91999999999996</v>
      </c>
      <c r="G6" s="3455">
        <v>642.91999999999996</v>
      </c>
      <c r="H6" s="3552"/>
      <c r="I6">
        <v>4.758</v>
      </c>
      <c r="J6" s="3451" t="s">
        <v>3402</v>
      </c>
    </row>
    <row r="7" spans="1:12">
      <c r="A7" s="3549"/>
      <c r="B7" s="3549"/>
      <c r="C7" s="3550" t="s">
        <v>3406</v>
      </c>
      <c r="D7" s="3454" t="s">
        <v>3407</v>
      </c>
      <c r="E7" s="3455">
        <v>53610.84</v>
      </c>
      <c r="F7" s="3456">
        <v>26448.400000000001</v>
      </c>
      <c r="G7" s="3456">
        <v>27293.439999999999</v>
      </c>
      <c r="H7" s="3552" t="s">
        <v>3408</v>
      </c>
      <c r="I7">
        <v>5.0999999999999996</v>
      </c>
    </row>
    <row r="8" spans="1:12">
      <c r="A8" s="3549"/>
      <c r="B8" s="3549"/>
      <c r="C8" s="3550"/>
      <c r="D8" s="3553" t="s">
        <v>3409</v>
      </c>
      <c r="E8" s="3455">
        <v>40066.28</v>
      </c>
      <c r="F8" s="3456">
        <v>19345.399999999998</v>
      </c>
      <c r="G8" s="3551">
        <v>26448.400000000001</v>
      </c>
      <c r="H8" s="3552"/>
      <c r="I8" s="3451" t="s">
        <v>3410</v>
      </c>
      <c r="J8" s="3451" t="s">
        <v>3411</v>
      </c>
    </row>
    <row r="9" spans="1:12">
      <c r="A9" s="3549"/>
      <c r="B9" s="3549"/>
      <c r="C9" s="3550"/>
      <c r="D9" s="3553"/>
      <c r="E9" s="3455">
        <v>13544.56</v>
      </c>
      <c r="F9" s="3456">
        <v>7948.0400000000009</v>
      </c>
      <c r="G9" s="3551"/>
      <c r="H9" s="3552"/>
    </row>
    <row r="10" spans="1:12" ht="13.5" customHeight="1">
      <c r="A10" s="3554" t="s">
        <v>3412</v>
      </c>
      <c r="B10" s="3555">
        <v>356119.31</v>
      </c>
      <c r="C10" s="3555" t="s">
        <v>3413</v>
      </c>
      <c r="D10" s="3454" t="s">
        <v>3414</v>
      </c>
      <c r="E10" s="3455">
        <v>4228.22</v>
      </c>
      <c r="F10" s="3455">
        <v>5378.09</v>
      </c>
      <c r="G10" s="3455">
        <v>5378.09</v>
      </c>
      <c r="H10" s="3552" t="s">
        <v>3415</v>
      </c>
      <c r="I10" s="3458"/>
    </row>
    <row r="11" spans="1:12">
      <c r="A11" s="3555"/>
      <c r="B11" s="3555"/>
      <c r="C11" s="3555"/>
      <c r="D11" s="3454" t="s">
        <v>3416</v>
      </c>
      <c r="E11" s="3455">
        <v>38013.03</v>
      </c>
      <c r="F11" s="3455">
        <v>16157.68</v>
      </c>
      <c r="G11" s="3455">
        <v>16157.68</v>
      </c>
      <c r="H11" s="3552"/>
      <c r="I11" s="3451" t="s">
        <v>3417</v>
      </c>
    </row>
    <row r="12" spans="1:12">
      <c r="A12" s="3555"/>
      <c r="B12" s="3555"/>
      <c r="C12" s="3555"/>
      <c r="D12" s="3454" t="s">
        <v>3418</v>
      </c>
      <c r="E12" s="3455">
        <v>24162.3</v>
      </c>
      <c r="F12" s="3455">
        <v>10304.969999999999</v>
      </c>
      <c r="G12" s="3455">
        <v>10304.969999999999</v>
      </c>
      <c r="H12" s="3552"/>
      <c r="I12" s="3451" t="s">
        <v>3419</v>
      </c>
      <c r="J12" s="3451" t="s">
        <v>3420</v>
      </c>
    </row>
    <row r="13" spans="1:12">
      <c r="A13" s="3555"/>
      <c r="B13" s="3555"/>
      <c r="C13" s="3555"/>
      <c r="D13" s="3454" t="s">
        <v>3421</v>
      </c>
      <c r="E13" s="3455">
        <v>38844.22</v>
      </c>
      <c r="F13" s="3455">
        <v>16491.53</v>
      </c>
      <c r="G13" s="3455">
        <v>16491.53</v>
      </c>
      <c r="H13" s="3552"/>
    </row>
    <row r="14" spans="1:12">
      <c r="A14" s="3555"/>
      <c r="B14" s="3555"/>
      <c r="C14" s="3555"/>
      <c r="D14" s="3454" t="s">
        <v>3422</v>
      </c>
      <c r="E14" s="3455">
        <v>33040.35</v>
      </c>
      <c r="F14" s="3455">
        <v>14111.27</v>
      </c>
      <c r="G14" s="3455">
        <v>14111.27</v>
      </c>
      <c r="H14" s="3552"/>
    </row>
    <row r="15" spans="1:12">
      <c r="A15" s="3555"/>
      <c r="B15" s="3555"/>
      <c r="C15" s="3555"/>
      <c r="D15" s="3454" t="s">
        <v>3423</v>
      </c>
      <c r="E15" s="3455">
        <v>49650.47</v>
      </c>
      <c r="F15" s="3455">
        <v>14476.69</v>
      </c>
      <c r="G15" s="3455">
        <v>14476.69</v>
      </c>
      <c r="H15" s="3459" t="s">
        <v>3424</v>
      </c>
    </row>
    <row r="16" spans="1:12">
      <c r="A16" s="3554" t="s">
        <v>3425</v>
      </c>
      <c r="B16" s="3555">
        <v>167318.6</v>
      </c>
      <c r="C16" s="3555" t="s">
        <v>3426</v>
      </c>
      <c r="D16" s="3454" t="s">
        <v>3427</v>
      </c>
      <c r="E16" s="3455">
        <v>38023.910000000003</v>
      </c>
      <c r="F16" s="3455">
        <v>21151.99</v>
      </c>
      <c r="G16" s="3455">
        <v>21151.99</v>
      </c>
      <c r="H16" s="3552" t="s">
        <v>3428</v>
      </c>
      <c r="I16" s="3451" t="s">
        <v>3429</v>
      </c>
      <c r="J16" s="3451" t="s">
        <v>3430</v>
      </c>
    </row>
    <row r="17" spans="1:13">
      <c r="A17" s="3555"/>
      <c r="B17" s="3555"/>
      <c r="C17" s="3555"/>
      <c r="D17" s="3454" t="s">
        <v>3431</v>
      </c>
      <c r="E17" s="3455">
        <v>40375.760000000002</v>
      </c>
      <c r="F17" s="3455">
        <v>19965.59</v>
      </c>
      <c r="G17" s="3455">
        <v>19965.59</v>
      </c>
      <c r="H17" s="3552"/>
      <c r="I17" s="3451" t="s">
        <v>3432</v>
      </c>
    </row>
    <row r="18" spans="1:13">
      <c r="A18" s="3555"/>
      <c r="B18" s="3555"/>
      <c r="C18" s="3555"/>
      <c r="D18" s="3454" t="s">
        <v>3433</v>
      </c>
      <c r="E18" s="3455">
        <v>22250.93</v>
      </c>
      <c r="F18" s="3455">
        <v>20130.16</v>
      </c>
      <c r="G18" s="3455">
        <v>20130.16</v>
      </c>
      <c r="H18" s="3552" t="s">
        <v>3434</v>
      </c>
    </row>
    <row r="19" spans="1:13">
      <c r="A19" s="3555"/>
      <c r="B19" s="3555"/>
      <c r="C19" s="3555"/>
      <c r="D19" s="3454" t="s">
        <v>3435</v>
      </c>
      <c r="E19" s="3455">
        <v>33334</v>
      </c>
      <c r="F19" s="3455">
        <v>29901.88</v>
      </c>
      <c r="G19" s="3455">
        <v>29901.88</v>
      </c>
      <c r="H19" s="3552"/>
    </row>
    <row r="20" spans="1:13">
      <c r="A20" s="3555"/>
      <c r="B20" s="3555"/>
      <c r="C20" s="3555"/>
      <c r="D20" s="3454" t="s">
        <v>3436</v>
      </c>
      <c r="E20" s="3455">
        <v>33334</v>
      </c>
      <c r="F20" s="3455">
        <v>29901.88</v>
      </c>
      <c r="G20" s="3455">
        <v>29901.88</v>
      </c>
      <c r="H20" s="3552"/>
    </row>
    <row r="21" spans="1:13">
      <c r="A21" s="3555"/>
      <c r="B21" s="3555"/>
      <c r="C21" s="3555"/>
      <c r="D21" s="3454" t="s">
        <v>3437</v>
      </c>
      <c r="E21" s="3455"/>
      <c r="F21" s="3455">
        <v>757.38</v>
      </c>
      <c r="G21" s="3455">
        <v>757.38</v>
      </c>
      <c r="H21" s="3552"/>
    </row>
    <row r="22" spans="1:13">
      <c r="A22" s="3555"/>
      <c r="B22" s="3555"/>
      <c r="C22" s="3555"/>
      <c r="D22" s="3454" t="s">
        <v>3438</v>
      </c>
      <c r="E22" s="3455"/>
      <c r="F22" s="3455">
        <v>19.54</v>
      </c>
      <c r="G22" s="3455">
        <v>19.54</v>
      </c>
      <c r="H22" s="3552"/>
    </row>
    <row r="23" spans="1:13">
      <c r="E23" s="3457">
        <f>SUM(E3:E22)</f>
        <v>637962.84</v>
      </c>
      <c r="F23" s="3457">
        <f>SUM(F3:F22)</f>
        <v>312316.75999999995</v>
      </c>
      <c r="G23" s="3457">
        <f>SUM(G3:G22)</f>
        <v>312856.62999999995</v>
      </c>
    </row>
    <row r="26" spans="1:13" ht="14.25" thickBot="1">
      <c r="D26" s="3451"/>
      <c r="E26" s="3451"/>
      <c r="F26" s="3451"/>
      <c r="G26" s="3451"/>
      <c r="H26" s="3451"/>
      <c r="I26" s="3451"/>
      <c r="J26" s="3451"/>
      <c r="K26" s="3451"/>
      <c r="L26" s="3451"/>
      <c r="M26" s="3451"/>
    </row>
    <row r="27" spans="1:13" ht="14.25" thickBot="1">
      <c r="B27" s="3460" t="s">
        <v>3469</v>
      </c>
      <c r="C27" s="3461" t="s">
        <v>3470</v>
      </c>
      <c r="D27" s="3461" t="s">
        <v>3471</v>
      </c>
      <c r="E27" s="3462" t="s">
        <v>3472</v>
      </c>
      <c r="F27" s="3463" t="s">
        <v>3473</v>
      </c>
      <c r="G27" s="3464" t="s">
        <v>3474</v>
      </c>
      <c r="H27" s="3473" t="s">
        <v>3488</v>
      </c>
      <c r="J27" s="3451"/>
      <c r="K27" s="3451"/>
      <c r="L27" s="3451"/>
    </row>
    <row r="28" spans="1:13" ht="39" thickBot="1">
      <c r="B28" s="3465">
        <v>1</v>
      </c>
      <c r="C28" s="3466" t="s">
        <v>3475</v>
      </c>
      <c r="D28" s="3467">
        <v>125301.33</v>
      </c>
      <c r="E28" s="3468">
        <v>60366.14</v>
      </c>
      <c r="F28" s="3469">
        <f ca="1">ROUND(H28*E28/10000,0)</f>
        <v>113789</v>
      </c>
      <c r="G28" s="3467" t="s">
        <v>3476</v>
      </c>
      <c r="H28" s="3451">
        <f ca="1">ROUND(系统读取表!D14*10000/系统读取表!B14,2)</f>
        <v>18849.86</v>
      </c>
    </row>
    <row r="29" spans="1:13" ht="39" thickBot="1">
      <c r="B29" s="3465">
        <v>2</v>
      </c>
      <c r="C29" s="3466" t="s">
        <v>3477</v>
      </c>
      <c r="D29" s="3467">
        <v>111551.34</v>
      </c>
      <c r="E29" s="3467">
        <v>53741.84</v>
      </c>
      <c r="F29" s="3469">
        <f ca="1">ROUND(H29*E29/10000,0)</f>
        <v>101303</v>
      </c>
      <c r="G29" s="3467" t="s">
        <v>3478</v>
      </c>
      <c r="H29" s="3451">
        <f ca="1">H28</f>
        <v>18849.86</v>
      </c>
    </row>
    <row r="30" spans="1:13" ht="39" thickBot="1">
      <c r="B30" s="3465">
        <v>3</v>
      </c>
      <c r="C30" s="3466" t="s">
        <v>3479</v>
      </c>
      <c r="D30" s="3467">
        <v>113858.4</v>
      </c>
      <c r="E30" s="3467">
        <v>62443.54</v>
      </c>
      <c r="F30" s="3469">
        <f t="shared" ref="F30:F33" ca="1" si="0">ROUND(H30*E30/10000,0)</f>
        <v>72385</v>
      </c>
      <c r="G30" s="3467" t="s">
        <v>3480</v>
      </c>
      <c r="H30">
        <f ca="1">ROUND(系统读取表!D15*10000/系统读取表!B15,2)</f>
        <v>11592.01</v>
      </c>
    </row>
    <row r="31" spans="1:13" ht="26.25" thickBot="1">
      <c r="B31" s="3465">
        <v>4</v>
      </c>
      <c r="C31" s="3466" t="s">
        <v>3481</v>
      </c>
      <c r="D31" s="3467">
        <v>26396.53</v>
      </c>
      <c r="E31" s="3467">
        <v>14476.69</v>
      </c>
      <c r="F31" s="3469">
        <f t="shared" ca="1" si="0"/>
        <v>16781</v>
      </c>
      <c r="G31" s="3467" t="s">
        <v>3482</v>
      </c>
      <c r="H31">
        <f ca="1">H30</f>
        <v>11592.01</v>
      </c>
    </row>
    <row r="32" spans="1:13" ht="39" thickBot="1">
      <c r="B32" s="3465">
        <v>5</v>
      </c>
      <c r="C32" s="3466" t="s">
        <v>3483</v>
      </c>
      <c r="D32" s="3467">
        <v>78399.67</v>
      </c>
      <c r="E32" s="3467">
        <v>41117.58</v>
      </c>
      <c r="F32" s="3469">
        <f t="shared" ca="1" si="0"/>
        <v>39386</v>
      </c>
      <c r="G32" s="3467" t="s">
        <v>3484</v>
      </c>
      <c r="H32">
        <f ca="1">ROUND(系统读取表!D16*10000/系统读取表!B16,2)</f>
        <v>9578.8799999999992</v>
      </c>
    </row>
    <row r="33" spans="2:8" ht="39" thickBot="1">
      <c r="B33" s="3465">
        <v>6</v>
      </c>
      <c r="C33" s="3466" t="s">
        <v>3485</v>
      </c>
      <c r="D33" s="3467">
        <v>88918.93</v>
      </c>
      <c r="E33" s="3467">
        <v>80710.84</v>
      </c>
      <c r="F33" s="3469">
        <f t="shared" ca="1" si="0"/>
        <v>77312</v>
      </c>
      <c r="G33" s="3467" t="s">
        <v>3486</v>
      </c>
      <c r="H33">
        <f ca="1">H32</f>
        <v>9578.8799999999992</v>
      </c>
    </row>
    <row r="34" spans="2:8" ht="14.25" thickBot="1">
      <c r="B34" s="3546" t="s">
        <v>3487</v>
      </c>
      <c r="C34" s="3547"/>
      <c r="D34" s="3470">
        <v>544426.19999999995</v>
      </c>
      <c r="E34" s="3470">
        <v>312856.63</v>
      </c>
      <c r="F34" s="3471">
        <f ca="1">SUM(F28:F33)</f>
        <v>420956</v>
      </c>
      <c r="G34" s="3472" t="s">
        <v>43</v>
      </c>
    </row>
  </sheetData>
  <mergeCells count="19">
    <mergeCell ref="H10:H14"/>
    <mergeCell ref="A16:A22"/>
    <mergeCell ref="B16:B22"/>
    <mergeCell ref="C16:C22"/>
    <mergeCell ref="H16:H17"/>
    <mergeCell ref="H18:H22"/>
    <mergeCell ref="H3:H6"/>
    <mergeCell ref="C7:C9"/>
    <mergeCell ref="H7:H9"/>
    <mergeCell ref="D8:D9"/>
    <mergeCell ref="G8:G9"/>
    <mergeCell ref="B34:C34"/>
    <mergeCell ref="A3:A9"/>
    <mergeCell ref="B3:B9"/>
    <mergeCell ref="C3:C6"/>
    <mergeCell ref="G3:G5"/>
    <mergeCell ref="A10:A15"/>
    <mergeCell ref="B10:B15"/>
    <mergeCell ref="C10:C15"/>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100" zoomScaleSheetLayoutView="85" workbookViewId="0">
      <selection activeCell="L8" sqref="L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5" t="s">
        <v>1130</v>
      </c>
      <c r="B2" s="3565"/>
      <c r="C2" s="3565"/>
      <c r="D2" s="796" t="s">
        <v>1106</v>
      </c>
      <c r="E2" s="1639" t="s">
        <v>1107</v>
      </c>
      <c r="F2" s="2658"/>
      <c r="G2" s="2649"/>
      <c r="H2" s="2650"/>
      <c r="I2" s="2325" t="s">
        <v>1131</v>
      </c>
      <c r="J2" s="2658"/>
      <c r="K2" s="2658"/>
      <c r="L2" s="2658"/>
      <c r="M2" s="2658"/>
      <c r="N2" s="2660"/>
      <c r="O2" s="2658"/>
      <c r="P2" s="2658"/>
    </row>
    <row r="3" spans="1:16" ht="15.75" thickBot="1">
      <c r="A3" s="3566" t="s">
        <v>1104</v>
      </c>
      <c r="B3" s="3566"/>
      <c r="C3" s="3566"/>
      <c r="D3" s="43">
        <f>'数据-基础表'!AY6</f>
        <v>236852.67</v>
      </c>
      <c r="E3" s="43">
        <f>'数据-基础表'!AZ5</f>
        <v>114107.98000000001</v>
      </c>
      <c r="F3" s="2658"/>
      <c r="G3" s="1145"/>
      <c r="H3" s="1026" t="s">
        <v>1105</v>
      </c>
      <c r="I3" s="855">
        <f>ROUND('数据-基础表'!B3/'数据-基础表'!A3,2)</f>
        <v>0.48</v>
      </c>
      <c r="J3" s="2658"/>
      <c r="K3" s="2658"/>
      <c r="L3" s="2658"/>
      <c r="M3" s="2658"/>
      <c r="N3" s="2660"/>
      <c r="O3" s="2658"/>
      <c r="P3" s="2658"/>
    </row>
    <row r="4" spans="1:16" ht="15">
      <c r="A4" s="3567"/>
      <c r="B4" s="3568"/>
      <c r="C4" s="3569"/>
      <c r="D4" s="1641" t="s">
        <v>1106</v>
      </c>
      <c r="E4" s="1642" t="s">
        <v>1107</v>
      </c>
      <c r="F4" s="2658"/>
      <c r="G4" s="2651" t="s">
        <v>1132</v>
      </c>
      <c r="H4" s="1026" t="s">
        <v>1112</v>
      </c>
      <c r="I4" s="855">
        <f>ROUND(SUMIF('数据-基础表'!I9:AS9,"地上",'数据-基础表'!I5:AS5)/'数据-基础表'!A3,2)</f>
        <v>0.48</v>
      </c>
      <c r="J4" s="2658"/>
      <c r="K4" s="2658"/>
      <c r="L4" s="2658"/>
      <c r="M4" s="2658"/>
      <c r="N4" s="2660"/>
      <c r="O4" s="2658"/>
      <c r="P4" s="2658"/>
    </row>
    <row r="5" spans="1:16">
      <c r="A5" s="44" t="s">
        <v>1108</v>
      </c>
      <c r="B5" s="3570" t="s">
        <v>1109</v>
      </c>
      <c r="C5" s="3570"/>
      <c r="D5" s="45">
        <f>ROUND($D$3*E5/$E$3,2)</f>
        <v>0</v>
      </c>
      <c r="E5" s="46">
        <f>SUMIF('数据-基础表'!$11:$11,"住宅",'数据-基础表'!$5:$5)</f>
        <v>0</v>
      </c>
      <c r="F5" s="2658"/>
      <c r="G5" s="1145"/>
      <c r="H5" s="1026" t="s">
        <v>1105</v>
      </c>
      <c r="I5" s="855">
        <f>ROUND(E31/D31,2)</f>
        <v>0.48</v>
      </c>
      <c r="J5" s="2658"/>
      <c r="K5" s="2658"/>
      <c r="L5" s="2658"/>
      <c r="M5" s="2658"/>
      <c r="N5" s="2658"/>
      <c r="O5" s="2658"/>
      <c r="P5" s="2658"/>
    </row>
    <row r="6" spans="1:16" ht="15" thickBot="1">
      <c r="A6" s="1644"/>
      <c r="B6" s="3570" t="s">
        <v>1110</v>
      </c>
      <c r="C6" s="3570"/>
      <c r="D6" s="45">
        <f>ROUND($D$3*E6/$E$3,2)</f>
        <v>236852.67</v>
      </c>
      <c r="E6" s="46">
        <f>E3-E5</f>
        <v>114107.98000000001</v>
      </c>
      <c r="F6" s="2658"/>
      <c r="G6" s="2652" t="s">
        <v>1111</v>
      </c>
      <c r="H6" s="1146" t="s">
        <v>1112</v>
      </c>
      <c r="I6" s="2653">
        <f>ROUND(F31/D31,2)</f>
        <v>0.48</v>
      </c>
      <c r="J6" s="2658"/>
      <c r="K6" s="2658"/>
      <c r="L6" s="2658"/>
      <c r="M6" s="2658"/>
      <c r="N6" s="2658"/>
      <c r="O6" s="2658"/>
      <c r="P6" s="2658"/>
    </row>
    <row r="7" spans="1:16" ht="15.75" thickBot="1">
      <c r="A7" s="3562"/>
      <c r="B7" s="3563"/>
      <c r="C7" s="3564"/>
      <c r="D7" s="1641" t="s">
        <v>1106</v>
      </c>
      <c r="E7" s="1645" t="s">
        <v>1113</v>
      </c>
      <c r="F7" s="2658"/>
      <c r="G7" s="2654" t="s">
        <v>1114</v>
      </c>
      <c r="H7" s="2655"/>
      <c r="I7" s="2656">
        <v>1</v>
      </c>
      <c r="J7" s="2658"/>
      <c r="K7" s="2658"/>
      <c r="L7" s="2658"/>
      <c r="M7" s="2658"/>
      <c r="N7" s="2658"/>
      <c r="O7" s="2658"/>
      <c r="P7" s="2658"/>
    </row>
    <row r="8" spans="1:16">
      <c r="A8" s="44" t="s">
        <v>1115</v>
      </c>
      <c r="B8" s="47" t="s">
        <v>1116</v>
      </c>
      <c r="C8" s="45" t="s">
        <v>1117</v>
      </c>
      <c r="D8" s="45">
        <f t="shared" ref="D8:D15" si="0">ROUND($D$3*E8/$E$3,2)</f>
        <v>236852.67</v>
      </c>
      <c r="E8" s="48">
        <f>SUMIF('数据-基础表'!BB10:BK10,"地上",'数据-基础表'!BB5:BK5)</f>
        <v>114107.98000000001</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236852.67</v>
      </c>
      <c r="E16" s="50">
        <f>SUM(E8:E15)</f>
        <v>114107.98000000001</v>
      </c>
      <c r="F16" s="2658"/>
      <c r="G16" s="2659"/>
      <c r="H16" s="1648" t="s">
        <v>1134</v>
      </c>
      <c r="I16" s="1649"/>
      <c r="J16" s="1139"/>
      <c r="K16" s="3559" t="s">
        <v>1134</v>
      </c>
      <c r="L16" s="3560"/>
      <c r="M16" s="3560"/>
      <c r="N16" s="3560"/>
      <c r="O16" s="3560"/>
      <c r="P16" s="3561"/>
    </row>
    <row r="17" spans="1:19" ht="15">
      <c r="A17" s="1650" t="s">
        <v>1135</v>
      </c>
      <c r="B17" s="1651" t="s">
        <v>1136</v>
      </c>
      <c r="C17" s="1652" t="s">
        <v>1137</v>
      </c>
      <c r="D17" s="1653" t="s">
        <v>1125</v>
      </c>
      <c r="E17" s="1654" t="s">
        <v>1126</v>
      </c>
      <c r="F17" s="1655"/>
      <c r="G17" s="1656"/>
      <c r="H17" s="1657" t="s">
        <v>1138</v>
      </c>
      <c r="I17" s="1658" t="s">
        <v>1123</v>
      </c>
      <c r="J17" s="1139"/>
      <c r="K17" s="3556" t="s">
        <v>1139</v>
      </c>
      <c r="L17" s="3557"/>
      <c r="M17" s="3558"/>
      <c r="N17" s="3556" t="s">
        <v>1140</v>
      </c>
      <c r="O17" s="3557"/>
      <c r="P17" s="355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3439</v>
      </c>
      <c r="D19" s="45">
        <f>ROUND($D$3*E19/$E$3,2)</f>
        <v>236852.67</v>
      </c>
      <c r="E19" s="53">
        <f t="shared" ref="E19:E26" si="1">SUM(F19:G19)</f>
        <v>114107.98000000001</v>
      </c>
      <c r="F19" s="2794">
        <f>'数据-基础表'!I5</f>
        <v>114107.98000000001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236852.67</v>
      </c>
      <c r="S19" s="1027">
        <f t="shared" si="5"/>
        <v>114107.98000000001</v>
      </c>
    </row>
    <row r="20" spans="1:19">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236852.67</v>
      </c>
      <c r="E27" s="1141">
        <f>IF(SUM(E19:E26)='数据-基础表'!BA5,SUM(E19:E26),IF(F27="地上面积有误","面积有误","地下面积有误"))</f>
        <v>114107.98000000001</v>
      </c>
      <c r="F27" s="1140">
        <f>IF(SUM(F19:F26)=E8,SUM(F19:F26),"地上面积有误")</f>
        <v>114107.98000000001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236852.67</v>
      </c>
      <c r="S27" s="1026">
        <f>IF(SUM(S19:S26)=$E$3,SUM(S19:S26),SUM(S19:S26)&amp;"误差"&amp;ROUND(SUM(S19:S26)-E3,2))</f>
        <v>114107.98000000001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236852.67</v>
      </c>
      <c r="E31" s="676">
        <f>E27+E30</f>
        <v>114107.98000000001</v>
      </c>
      <c r="F31" s="677">
        <f>F27+F30</f>
        <v>114107.98000000001</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1160</v>
      </c>
      <c r="B2" s="1045">
        <f>项目基本情况!D3</f>
        <v>45002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3441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仓储</v>
      </c>
      <c r="B6" s="1713" t="str">
        <f>IF(A6=0,"","经营性")</f>
        <v>经营性</v>
      </c>
      <c r="C6" s="1714" t="s">
        <v>3</v>
      </c>
      <c r="D6" s="858">
        <f>SUMIF(项目基本情况!C$12:I$12,C6,项目基本情况!C$14:I$14)</f>
        <v>50</v>
      </c>
      <c r="E6" s="857">
        <f>IF(B6="","",SUMIF(项目基本情况!C$12:I$12,C6,项目基本情况!C$13:I$13))</f>
        <v>57180</v>
      </c>
      <c r="F6" s="64">
        <f>SUMIF(项目基本情况!C$12:I$12,C6,项目基本情况!C$15:I$15)</f>
        <v>33.36</v>
      </c>
      <c r="G6" s="65">
        <f>IF(ISERROR(ROUND(POWER(1+H6,D6-F6)*(POWER(1+H6,F6)-1)/(POWER(1+H6,D6)-1),3)),0,ROUND(POWER(1+H6,D6-F6)*(POWER(1+H6,F6)-1)/(POWER(1+H6,D6)-1),3))</f>
        <v>0.88</v>
      </c>
      <c r="H6" s="732">
        <v>0.05</v>
      </c>
      <c r="I6" s="732">
        <v>5.5E-2</v>
      </c>
      <c r="J6" s="66">
        <v>7.4999999999999997E-2</v>
      </c>
      <c r="K6" s="1030">
        <f>SUMIF('数据-汇总表'!C$19:C$33,A6,'数据-汇总表'!E$19:E$33)</f>
        <v>114107.98000000001</v>
      </c>
      <c r="L6" s="733">
        <v>2800</v>
      </c>
      <c r="M6" s="67">
        <f t="shared" ref="M6:M14" si="0">ROUND(K6*L6/10000,0)</f>
        <v>31950</v>
      </c>
      <c r="N6" s="731">
        <f>ROUND(1-(2023-2009)/60,2)</f>
        <v>0.77</v>
      </c>
      <c r="O6" s="67" t="str">
        <f>IF($N$5="成新度","——",ROUND(M6*N6,0))</f>
        <v>——</v>
      </c>
      <c r="P6" s="68" t="str">
        <f>IF($N$5="成新度","——",M6-O6)</f>
        <v>——</v>
      </c>
      <c r="Q6" s="734">
        <v>0.2</v>
      </c>
      <c r="R6" s="69">
        <f ca="1">SUMIF('数据-汇总表'!C$19:C$33,A6,'数据-汇总表'!R$19:R$27)</f>
        <v>236852.67</v>
      </c>
      <c r="S6" s="51">
        <f>IF('数据-汇总表'!$I$17="按面积比例",SUMIF('数据-汇总表'!C$19:C$33,A6,'数据-汇总表'!K$19:K$33),SUMIF('数据-汇总表'!C$19:C$33,A6,'数据-汇总表'!N$19:N$33))</f>
        <v>0</v>
      </c>
      <c r="T6" s="1172">
        <f>ROUND($L$14*S6/10000,0)</f>
        <v>0</v>
      </c>
      <c r="U6" s="3427">
        <v>4.8</v>
      </c>
      <c r="V6" s="70">
        <v>2.5000000000000001E-2</v>
      </c>
      <c r="W6" s="70">
        <v>0.1</v>
      </c>
      <c r="X6" s="1040"/>
      <c r="Y6" s="71">
        <f>N6</f>
        <v>0.77</v>
      </c>
      <c r="Z6" s="72"/>
      <c r="AA6" s="66"/>
      <c r="AB6" s="66"/>
      <c r="AC6" s="1040"/>
      <c r="AD6" s="73"/>
      <c r="AE6" s="1041">
        <f ca="1">IF(AN6="",0,SUMIF(INDIRECT("'"&amp;AN6&amp;"'"&amp;"!E:E"),$AE$5,INDIRECT("'"&amp;AN6&amp;"'"&amp;"!F:F")))</f>
        <v>33.36</v>
      </c>
      <c r="AF6" s="1348"/>
      <c r="AG6" s="138">
        <f>IF(AF6="",0,AE6-AF6)</f>
        <v>0</v>
      </c>
      <c r="AH6" s="74"/>
      <c r="AI6" s="76">
        <v>365</v>
      </c>
      <c r="AJ6" s="77"/>
      <c r="AK6" s="78">
        <v>0.01</v>
      </c>
      <c r="AL6" s="79">
        <v>1E-3</v>
      </c>
      <c r="AM6" s="80">
        <v>0.02</v>
      </c>
      <c r="AN6" s="1715" t="s">
        <v>3442</v>
      </c>
      <c r="AO6" s="52">
        <f ca="1">SUMIF(INDIRECT("'"&amp;AN6&amp;"'"&amp;"!A:A"),"总价",INDIRECT("'"&amp;AN6&amp;"'"&amp;"!B:B"))</f>
        <v>291915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0.88</v>
      </c>
      <c r="H16" s="90">
        <f>ROUND(SUMPRODUCT(H6:H13,K6:K13)/SUMPRODUCT((H6:H13&gt;0)*(K6:K13)),3)</f>
        <v>0.05</v>
      </c>
      <c r="I16" s="91"/>
      <c r="J16" s="91"/>
      <c r="K16" s="92">
        <f>SUM(K6:K15)</f>
        <v>114107.98000000001</v>
      </c>
      <c r="L16" s="93">
        <f>ROUND(M16*10000/SUM(K6:K14),0)</f>
        <v>2800</v>
      </c>
      <c r="M16" s="93">
        <f>SUM(M6:M14)</f>
        <v>31950</v>
      </c>
      <c r="N16" s="94">
        <f>ROUND(SUMPRODUCT(M6:M14,N6:N14)/M16,3)</f>
        <v>0.77</v>
      </c>
      <c r="O16" s="93">
        <f>SUM(O6:O14)</f>
        <v>0</v>
      </c>
      <c r="P16" s="93">
        <f>SUM(P6:P14)</f>
        <v>0</v>
      </c>
      <c r="Q16" s="95">
        <f>ROUND(SUMPRODUCT(Q6:Q13,K6:K13)/SUMPRODUCT((Q6:Q13&gt;0)*(K6:K13)),2)</f>
        <v>0.2</v>
      </c>
      <c r="R16" s="1034">
        <f ca="1">SUM(R6:R13)</f>
        <v>236852.67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1210</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1211</v>
      </c>
      <c r="B20" s="104">
        <v>1.5</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1212</v>
      </c>
      <c r="B21" s="104">
        <f>B20</f>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1213</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1214</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1219</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v>0</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1229</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1230</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3440</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1235</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1244</v>
      </c>
      <c r="B53" s="1738" t="s">
        <v>29</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1251</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1" t="s">
        <v>2285</v>
      </c>
      <c r="B1" s="3572"/>
      <c r="C1" s="3572"/>
      <c r="D1" s="3572"/>
      <c r="E1" s="3572"/>
      <c r="F1" s="3572"/>
      <c r="G1" s="357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5" sqref="B5"/>
    </sheetView>
  </sheetViews>
  <sheetFormatPr defaultColWidth="9" defaultRowHeight="13.5"/>
  <cols>
    <col min="1" max="1" width="25" style="2512" customWidth="1"/>
    <col min="2" max="9" width="15.75" style="2512" customWidth="1"/>
    <col min="10" max="16384" width="9" style="2512"/>
  </cols>
  <sheetData>
    <row r="1" spans="1:11" ht="16.5">
      <c r="A1" s="2511" t="s">
        <v>664</v>
      </c>
      <c r="B1" s="2511">
        <f>SUM(B14:B23)</f>
        <v>312856.63</v>
      </c>
      <c r="C1" s="2685"/>
      <c r="D1" s="2685"/>
      <c r="E1" s="2685"/>
      <c r="F1" s="2685"/>
      <c r="G1" s="2686"/>
      <c r="H1" s="2687"/>
      <c r="I1" s="2687"/>
      <c r="J1" s="2687"/>
      <c r="K1" s="2687"/>
    </row>
    <row r="2" spans="1:11" ht="16.5">
      <c r="A2" s="2511" t="s">
        <v>652</v>
      </c>
      <c r="B2" s="2511">
        <f>SUM(C14:C23)</f>
        <v>544426.19999999995</v>
      </c>
      <c r="C2" s="2685"/>
      <c r="D2" s="2685"/>
      <c r="E2" s="2685"/>
      <c r="F2" s="2685"/>
      <c r="G2" s="2686"/>
      <c r="H2" s="2687"/>
      <c r="I2" s="2687"/>
      <c r="J2" s="2687"/>
      <c r="K2" s="2687"/>
    </row>
    <row r="3" spans="1:11" ht="16.5">
      <c r="A3" s="2511" t="s">
        <v>661</v>
      </c>
      <c r="B3" s="2513">
        <f>项目基本情况!D3</f>
        <v>45002</v>
      </c>
      <c r="C3" s="2685"/>
      <c r="D3" s="2685"/>
      <c r="E3" s="2685"/>
      <c r="F3" s="2685"/>
      <c r="G3" s="2686"/>
      <c r="H3" s="2687"/>
      <c r="I3" s="2687"/>
      <c r="J3" s="2687"/>
      <c r="K3" s="2687"/>
    </row>
    <row r="4" spans="1:11" ht="33">
      <c r="A4" s="2511" t="s">
        <v>660</v>
      </c>
      <c r="B4" s="2511" t="s">
        <v>659</v>
      </c>
      <c r="C4" s="2511" t="s">
        <v>658</v>
      </c>
      <c r="D4" s="2511" t="s">
        <v>657</v>
      </c>
      <c r="E4" s="2685"/>
      <c r="F4" s="2686"/>
      <c r="G4" s="2686"/>
      <c r="H4" s="2687"/>
      <c r="I4" s="2687"/>
      <c r="J4" s="2687"/>
      <c r="K4" s="2687"/>
    </row>
    <row r="5" spans="1:11" ht="16.5">
      <c r="A5" s="2511" t="s">
        <v>656</v>
      </c>
      <c r="B5" s="2511">
        <f ca="1">SUM(D14:D23)</f>
        <v>420956</v>
      </c>
      <c r="C5" s="2511">
        <f ca="1">IF(B5=D14,结果表!H102,ROUND(B5*10000/$B$1,0))</f>
        <v>13455</v>
      </c>
      <c r="D5" s="2511">
        <f ca="1">ROUND(B5*10000/$B$2,0)</f>
        <v>7732</v>
      </c>
      <c r="E5" s="2685"/>
      <c r="F5" s="2686"/>
      <c r="G5" s="2686"/>
      <c r="H5" s="2687"/>
      <c r="I5" s="2687"/>
      <c r="J5" s="2687"/>
      <c r="K5" s="2687"/>
    </row>
    <row r="6" spans="1:11" ht="16.5">
      <c r="A6" s="2511" t="s">
        <v>655</v>
      </c>
      <c r="B6" s="2511">
        <f ca="1">SUM(G14:G23)</f>
        <v>420956</v>
      </c>
      <c r="C6" s="2511">
        <f ca="1">IF(B6=G14,结果表!H108,ROUND(B6*10000/$B$1,0))</f>
        <v>13455</v>
      </c>
      <c r="D6" s="2511">
        <f ca="1">ROUND(B6*10000/$B$2,0)</f>
        <v>7732</v>
      </c>
      <c r="E6" s="2685"/>
      <c r="F6" s="2686"/>
      <c r="G6" s="2686"/>
      <c r="H6" s="2687"/>
      <c r="I6" s="2687"/>
      <c r="J6" s="2687"/>
      <c r="K6" s="2687"/>
    </row>
    <row r="7" spans="1:11" ht="16.5">
      <c r="A7" s="2511" t="s">
        <v>663</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654</v>
      </c>
      <c r="B9" s="2519"/>
      <c r="C9" s="2685"/>
      <c r="D9" s="2685"/>
      <c r="E9" s="2685"/>
      <c r="F9" s="2686"/>
      <c r="G9" s="2686"/>
      <c r="H9" s="2687"/>
      <c r="I9" s="2687"/>
      <c r="J9" s="2687"/>
      <c r="K9" s="2687"/>
    </row>
    <row r="10" spans="1:11" ht="16.5">
      <c r="A10" s="2511" t="s">
        <v>653</v>
      </c>
      <c r="B10" s="2511">
        <f>IF(E10="",0,ROUND(B1*(E10*365/G10)/10000,0))</f>
        <v>0</v>
      </c>
      <c r="C10" s="2511" t="s">
        <v>3362</v>
      </c>
      <c r="D10" s="2511" t="s">
        <v>3363</v>
      </c>
      <c r="E10" s="3440"/>
      <c r="F10" s="3444" t="s">
        <v>3364</v>
      </c>
      <c r="G10" s="3441"/>
      <c r="H10" s="2687"/>
      <c r="I10" s="2687"/>
      <c r="J10" s="2687"/>
      <c r="K10" s="2687"/>
    </row>
    <row r="11" spans="1:11" ht="16.5">
      <c r="A11" s="2511" t="s">
        <v>669</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668</v>
      </c>
      <c r="B13" s="2515" t="s">
        <v>665</v>
      </c>
      <c r="C13" s="2515" t="s">
        <v>667</v>
      </c>
      <c r="D13" s="2515" t="s">
        <v>666</v>
      </c>
      <c r="E13" s="2511" t="s">
        <v>658</v>
      </c>
      <c r="F13" s="2511" t="s">
        <v>657</v>
      </c>
      <c r="G13" s="2515" t="s">
        <v>651</v>
      </c>
      <c r="H13" s="2515" t="s">
        <v>662</v>
      </c>
      <c r="I13" s="2515" t="s">
        <v>650</v>
      </c>
      <c r="J13" s="2686"/>
      <c r="K13" s="2687"/>
    </row>
    <row r="14" spans="1:11" ht="16.5">
      <c r="A14" s="2516" t="s">
        <v>3468</v>
      </c>
      <c r="B14" s="2517">
        <f>结果表!B118</f>
        <v>114107.98000000001</v>
      </c>
      <c r="C14" s="2517">
        <f>结果表!C118</f>
        <v>236852.67</v>
      </c>
      <c r="D14" s="2517">
        <f ca="1">结果表!H118</f>
        <v>215092</v>
      </c>
      <c r="E14" s="2517">
        <f ca="1">ROUND(D14*10000/B14,0)</f>
        <v>18850</v>
      </c>
      <c r="F14" s="2517">
        <f ca="1">ROUND(D14*10000/C14,0)</f>
        <v>9081</v>
      </c>
      <c r="G14" s="2517">
        <f ca="1">结果表!D122</f>
        <v>215092</v>
      </c>
      <c r="H14" s="2517"/>
      <c r="I14" s="2517"/>
      <c r="J14" s="2686"/>
      <c r="K14" s="2687"/>
    </row>
    <row r="15" spans="1:11" ht="16.5">
      <c r="A15" s="2516" t="s">
        <v>649</v>
      </c>
      <c r="B15" s="2518">
        <f>[3]系统读取表!$B$14</f>
        <v>76920.23</v>
      </c>
      <c r="C15" s="2518">
        <f>[3]系统读取表!$C$14</f>
        <v>140254.93</v>
      </c>
      <c r="D15" s="2518">
        <f ca="1">[3]系统读取表!$D$14</f>
        <v>89166</v>
      </c>
      <c r="E15" s="2517">
        <f t="shared" ref="E15:E23" ca="1" si="0">ROUND(D15*10000/B15,0)</f>
        <v>11592</v>
      </c>
      <c r="F15" s="2517">
        <f t="shared" ref="F15:F23" ca="1" si="1">ROUND(D15*10000/C15,0)</f>
        <v>6357</v>
      </c>
      <c r="G15" s="1331">
        <f ca="1">[3]系统读取表!$G$14</f>
        <v>89166</v>
      </c>
      <c r="H15" s="1331"/>
      <c r="I15" s="2518"/>
      <c r="J15" s="2686"/>
      <c r="K15" s="2687"/>
    </row>
    <row r="16" spans="1:11" ht="16.5">
      <c r="A16" s="2516" t="s">
        <v>648</v>
      </c>
      <c r="B16" s="2518">
        <f>[4]系统读取表!$B$14</f>
        <v>121828.42000000001</v>
      </c>
      <c r="C16" s="2518">
        <f>[4]系统读取表!$C$14</f>
        <v>167318.6</v>
      </c>
      <c r="D16" s="2518">
        <f ca="1">[4]系统读取表!$D$14</f>
        <v>116698</v>
      </c>
      <c r="E16" s="2517">
        <f t="shared" ca="1" si="0"/>
        <v>9579</v>
      </c>
      <c r="F16" s="2517">
        <f t="shared" ca="1" si="1"/>
        <v>6975</v>
      </c>
      <c r="G16" s="1331">
        <f ca="1">[4]系统读取表!$G$14</f>
        <v>116698</v>
      </c>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G30" sqref="G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3444</v>
      </c>
      <c r="H1" s="1750" t="str">
        <f>IF(G1="现房","——","估价对象范围")</f>
        <v>——</v>
      </c>
      <c r="I1" s="1751" t="s">
        <v>3445</v>
      </c>
    </row>
    <row r="2" spans="1:12" ht="21.75" customHeight="1" thickBot="1">
      <c r="A2" s="3640" t="str">
        <f>项目基本情况!S2</f>
        <v>北京市房地产</v>
      </c>
      <c r="B2" s="3641"/>
      <c r="C2" s="3641"/>
      <c r="D2" s="3641"/>
      <c r="E2" s="3641"/>
      <c r="F2" s="3641"/>
      <c r="G2" s="3641"/>
      <c r="H2" s="3641"/>
      <c r="I2" s="3642"/>
    </row>
    <row r="3" spans="1:12" ht="12.75">
      <c r="A3" s="3644" t="s">
        <v>1263</v>
      </c>
      <c r="B3" s="3645"/>
      <c r="C3" s="3645"/>
      <c r="D3" s="3645"/>
      <c r="E3" s="3645"/>
      <c r="F3" s="3645"/>
      <c r="G3" s="3645"/>
      <c r="H3" s="3645"/>
      <c r="I3" s="3645"/>
    </row>
    <row r="4" spans="1:12" ht="14.25">
      <c r="A4" s="1754" t="s">
        <v>1264</v>
      </c>
      <c r="B4" s="1755" t="s">
        <v>1265</v>
      </c>
      <c r="C4" s="1756" t="s">
        <v>3443</v>
      </c>
      <c r="D4" s="1756" t="s">
        <v>3442</v>
      </c>
      <c r="E4" s="3649" t="s">
        <v>1266</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1267</v>
      </c>
      <c r="B5" s="3643">
        <v>25</v>
      </c>
      <c r="C5" s="3646"/>
      <c r="D5" s="3634"/>
      <c r="E5" s="131" t="s">
        <v>1268</v>
      </c>
      <c r="F5" s="1757"/>
      <c r="G5" s="1757"/>
      <c r="H5" s="1757"/>
      <c r="I5" s="1373"/>
    </row>
    <row r="6" spans="1:12" ht="12.75">
      <c r="A6" s="3588"/>
      <c r="B6" s="3643"/>
      <c r="C6" s="3648"/>
      <c r="D6" s="3634"/>
      <c r="E6" s="131" t="s">
        <v>1269</v>
      </c>
      <c r="F6" s="1757"/>
      <c r="G6" s="1757"/>
      <c r="H6" s="1757"/>
      <c r="I6" s="1373"/>
    </row>
    <row r="7" spans="1:12" ht="12.75">
      <c r="A7" s="3588"/>
      <c r="B7" s="3643"/>
      <c r="C7" s="3647"/>
      <c r="D7" s="3634"/>
      <c r="E7" s="131" t="s">
        <v>1270</v>
      </c>
      <c r="F7" s="1757"/>
      <c r="G7" s="1757"/>
      <c r="H7" s="1757"/>
      <c r="I7" s="1373"/>
    </row>
    <row r="8" spans="1:12" ht="12.75">
      <c r="A8" s="3588" t="s">
        <v>1271</v>
      </c>
      <c r="B8" s="3643">
        <v>15</v>
      </c>
      <c r="C8" s="3646"/>
      <c r="D8" s="3634"/>
      <c r="E8" s="131" t="s">
        <v>1272</v>
      </c>
      <c r="F8" s="1757"/>
      <c r="G8" s="1757"/>
      <c r="H8" s="1757"/>
      <c r="I8" s="1373"/>
    </row>
    <row r="9" spans="1:12" ht="12.75">
      <c r="A9" s="3588"/>
      <c r="B9" s="3643"/>
      <c r="C9" s="3647"/>
      <c r="D9" s="3634"/>
      <c r="E9" s="131" t="s">
        <v>1273</v>
      </c>
      <c r="F9" s="1757"/>
      <c r="G9" s="1757"/>
      <c r="H9" s="1757"/>
      <c r="I9" s="1373"/>
    </row>
    <row r="10" spans="1:12" ht="12.75">
      <c r="A10" s="3588" t="s">
        <v>1274</v>
      </c>
      <c r="B10" s="3643">
        <v>15</v>
      </c>
      <c r="C10" s="3646"/>
      <c r="D10" s="3634"/>
      <c r="E10" s="131" t="s">
        <v>1275</v>
      </c>
      <c r="F10" s="1757"/>
      <c r="G10" s="1757"/>
      <c r="H10" s="1757"/>
      <c r="I10" s="1373"/>
    </row>
    <row r="11" spans="1:12" ht="12.75">
      <c r="A11" s="3588"/>
      <c r="B11" s="3643"/>
      <c r="C11" s="3647"/>
      <c r="D11" s="3634"/>
      <c r="E11" s="131" t="s">
        <v>1276</v>
      </c>
      <c r="F11" s="1757"/>
      <c r="G11" s="1757"/>
      <c r="H11" s="1757"/>
      <c r="I11" s="1373"/>
    </row>
    <row r="12" spans="1:12" ht="12.75">
      <c r="A12" s="3588" t="s">
        <v>1277</v>
      </c>
      <c r="B12" s="3643">
        <v>15</v>
      </c>
      <c r="C12" s="3646"/>
      <c r="D12" s="3634"/>
      <c r="E12" s="131" t="s">
        <v>1278</v>
      </c>
      <c r="F12" s="1757"/>
      <c r="G12" s="1757"/>
      <c r="H12" s="1757"/>
      <c r="I12" s="1373"/>
    </row>
    <row r="13" spans="1:12" ht="12.75">
      <c r="A13" s="3588"/>
      <c r="B13" s="3643"/>
      <c r="C13" s="3647"/>
      <c r="D13" s="3634"/>
      <c r="E13" s="131" t="s">
        <v>1279</v>
      </c>
      <c r="F13" s="1757"/>
      <c r="G13" s="1757"/>
      <c r="H13" s="1757"/>
      <c r="I13" s="1373"/>
    </row>
    <row r="14" spans="1:12" ht="12.75">
      <c r="A14" s="3588" t="s">
        <v>1280</v>
      </c>
      <c r="B14" s="3643">
        <v>30</v>
      </c>
      <c r="C14" s="3646">
        <v>55</v>
      </c>
      <c r="D14" s="3634">
        <v>45</v>
      </c>
      <c r="E14" s="131" t="s">
        <v>1281</v>
      </c>
      <c r="F14" s="1757"/>
      <c r="G14" s="1757"/>
      <c r="H14" s="1757"/>
      <c r="I14" s="1373"/>
    </row>
    <row r="15" spans="1:12" ht="12.75">
      <c r="A15" s="3588"/>
      <c r="B15" s="3643"/>
      <c r="C15" s="3648"/>
      <c r="D15" s="3634"/>
      <c r="E15" s="131" t="s">
        <v>1282</v>
      </c>
      <c r="F15" s="1757"/>
      <c r="G15" s="1757"/>
      <c r="H15" s="1757"/>
      <c r="I15" s="1373"/>
    </row>
    <row r="16" spans="1:12" ht="12.75">
      <c r="A16" s="3588"/>
      <c r="B16" s="3643"/>
      <c r="C16" s="3647"/>
      <c r="D16" s="3634"/>
      <c r="E16" s="131" t="s">
        <v>1283</v>
      </c>
      <c r="F16" s="1757"/>
      <c r="G16" s="1757"/>
      <c r="H16" s="1757"/>
      <c r="I16" s="1373"/>
    </row>
    <row r="17" spans="1:36" ht="15">
      <c r="A17" s="1758" t="s">
        <v>1284</v>
      </c>
      <c r="B17" s="56"/>
      <c r="C17" s="132">
        <f>SUM(C5:C16)</f>
        <v>55</v>
      </c>
      <c r="D17" s="132">
        <f>SUM(D5:D16)</f>
        <v>45</v>
      </c>
      <c r="E17" s="129"/>
      <c r="F17" s="129"/>
      <c r="G17" s="129"/>
      <c r="H17" s="129"/>
      <c r="I17" s="129"/>
      <c r="K17" s="302"/>
      <c r="L17" s="302" t="s">
        <v>1285</v>
      </c>
      <c r="M17" s="302" t="s">
        <v>1286</v>
      </c>
    </row>
    <row r="18" spans="1:36" ht="31.9" customHeight="1" thickBot="1">
      <c r="A18" s="1759" t="s">
        <v>1287</v>
      </c>
      <c r="B18" s="1760"/>
      <c r="C18" s="133">
        <f>ROUND(C17/SUM(C17:D17),2)</f>
        <v>0.55000000000000004</v>
      </c>
      <c r="D18" s="133">
        <f>1-C18</f>
        <v>0.44999999999999996</v>
      </c>
      <c r="E18" s="3665" t="s">
        <v>2130</v>
      </c>
      <c r="F18" s="3666"/>
      <c r="G18" s="3666"/>
      <c r="H18" s="3666"/>
      <c r="I18" s="3666"/>
      <c r="K18" s="302" t="s">
        <v>1288</v>
      </c>
      <c r="L18" s="302">
        <f>IF(C1="",'数据-汇总表'!E3,SUMIF(项目类型,C1,'数据-汇总表'!E17:E26)+SUMIF(项目类型,C1,'数据-汇总表'!I17:I26))</f>
        <v>114107.98000000001</v>
      </c>
      <c r="M18" s="302">
        <f>IF(C1="",'数据-汇总表'!E3,SUMIF(项目类型,C1,'数据-汇总表'!E17:E26))</f>
        <v>114107.98000000001</v>
      </c>
    </row>
    <row r="19" spans="1:36" ht="15">
      <c r="A19" s="1761" t="s">
        <v>1289</v>
      </c>
      <c r="B19" s="1762" t="s">
        <v>1290</v>
      </c>
      <c r="C19" s="134">
        <f ca="1">SUMIF(INDIRECT("'"&amp;C4&amp;"'"&amp;"!A:A"),结果表!B19,INDIRECT("'"&amp;C4&amp;"'"&amp;"!B:B"))</f>
        <v>152236</v>
      </c>
      <c r="D19" s="135">
        <f ca="1">SUMIF(INDIRECT("'"&amp;D4&amp;"'"&amp;"!A:A"),结果表!B19,INDIRECT("'"&amp;D4&amp;"'"&amp;"!B:B"))</f>
        <v>291915</v>
      </c>
      <c r="E19" s="1761" t="s">
        <v>1291</v>
      </c>
      <c r="F19" s="1762" t="s">
        <v>1290</v>
      </c>
      <c r="G19" s="136">
        <f ca="1">ROUND(C19*$C$18+D19*$D$18,0)</f>
        <v>215092</v>
      </c>
      <c r="H19" s="1763" t="s">
        <v>1292</v>
      </c>
      <c r="I19" s="129"/>
      <c r="K19" s="302" t="s">
        <v>1293</v>
      </c>
      <c r="L19" s="302">
        <f>IF(C1="",'数据-汇总表'!D3,SUMIF(项目类型,C1,'数据-汇总表'!D17:D26)+SUMIF(项目类型,C1,'数据-汇总表'!H17:H27))</f>
        <v>236852.67</v>
      </c>
      <c r="M19" s="302">
        <f>IF(C1="",'数据-汇总表'!D3,SUMIF(项目类型,C1,'数据-汇总表'!D17:D26))</f>
        <v>236852.67</v>
      </c>
    </row>
    <row r="20" spans="1:36" ht="15">
      <c r="A20" s="1764"/>
      <c r="B20" s="1026" t="s">
        <v>1294</v>
      </c>
      <c r="C20" s="137">
        <f ca="1">SUMIF(INDIRECT("'"&amp;C4&amp;"'"&amp;"!A:A"),结果表!B20,INDIRECT("'"&amp;C4&amp;"'"&amp;"!B:B"))</f>
        <v>13341</v>
      </c>
      <c r="D20" s="138">
        <f ca="1">SUMIF(INDIRECT("'"&amp;D4&amp;"'"&amp;"!A:A"),结果表!B20,INDIRECT("'"&amp;D4&amp;"'"&amp;"!B:B"))</f>
        <v>25582</v>
      </c>
      <c r="E20" s="1764"/>
      <c r="F20" s="1026" t="s">
        <v>1294</v>
      </c>
      <c r="G20" s="139">
        <f ca="1">ROUND(C20*$C$18+D20*$D$18,0)</f>
        <v>18849</v>
      </c>
      <c r="H20" s="808" t="s">
        <v>1295</v>
      </c>
      <c r="I20" s="129"/>
    </row>
    <row r="21" spans="1:36" ht="15" customHeight="1" thickBot="1">
      <c r="A21" s="828"/>
      <c r="B21" s="1765" t="s">
        <v>1296</v>
      </c>
      <c r="C21" s="719">
        <f ca="1">ROUND(C19*10000/L19,0)</f>
        <v>6427</v>
      </c>
      <c r="D21" s="720">
        <f ca="1">ROUND(D19*10000/L19,0)</f>
        <v>12325</v>
      </c>
      <c r="E21" s="828"/>
      <c r="F21" s="1765" t="s">
        <v>1296</v>
      </c>
      <c r="G21" s="140">
        <f ca="1">ROUND(G19*10000/L19,0)</f>
        <v>9081</v>
      </c>
      <c r="H21" s="1766" t="s">
        <v>1295</v>
      </c>
      <c r="I21" s="129"/>
    </row>
    <row r="22" spans="1:36" ht="15" thickBot="1">
      <c r="A22" s="1688" t="s">
        <v>1297</v>
      </c>
      <c r="B22" s="1767"/>
      <c r="C22" s="1768"/>
      <c r="D22" s="721">
        <f ca="1">IF(C19&lt;D19,D19/C19-1,C19/D19-1)</f>
        <v>0.91751622480884931</v>
      </c>
      <c r="E22" s="129"/>
      <c r="F22" s="129"/>
      <c r="G22" s="129"/>
      <c r="H22" s="129"/>
      <c r="I22" s="129"/>
    </row>
    <row r="23" spans="1:36" ht="13.5" thickBot="1">
      <c r="A23" s="1747"/>
      <c r="B23" s="1747"/>
      <c r="C23" s="1747"/>
      <c r="D23" s="1747"/>
      <c r="E23" s="129"/>
      <c r="F23" s="129"/>
      <c r="G23" s="129"/>
      <c r="H23" s="129"/>
      <c r="I23" s="129"/>
    </row>
    <row r="24" spans="1:36" ht="14.25">
      <c r="A24" s="3658" t="s">
        <v>1298</v>
      </c>
      <c r="B24" s="1762" t="s">
        <v>1290</v>
      </c>
      <c r="C24" s="136">
        <f>IF(B30=0,0,D30)</f>
        <v>0</v>
      </c>
      <c r="D24" s="1769"/>
      <c r="E24" s="129"/>
      <c r="F24" s="129"/>
      <c r="G24" s="129"/>
      <c r="H24" s="129"/>
      <c r="I24" s="129"/>
    </row>
    <row r="25" spans="1:36" ht="14.25">
      <c r="A25" s="365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215092</v>
      </c>
      <c r="D32" s="1775" t="s">
        <v>3466</v>
      </c>
      <c r="E32" s="129"/>
      <c r="F32" s="129"/>
      <c r="G32" s="129"/>
      <c r="H32" s="129"/>
      <c r="I32" s="129"/>
    </row>
    <row r="33" spans="1:15" ht="15">
      <c r="A33" s="786" t="s">
        <v>1305</v>
      </c>
      <c r="B33" s="1776"/>
      <c r="C33" s="1777" t="s">
        <v>3467</v>
      </c>
      <c r="D33" s="1778"/>
      <c r="E33" s="1779" t="s">
        <v>1306</v>
      </c>
      <c r="F33" s="1780" t="str">
        <f>IF(D32="楼面单价","取值（单价）","取值（总价）")</f>
        <v>取值（总价）</v>
      </c>
      <c r="G33" s="129"/>
      <c r="H33" s="129"/>
      <c r="I33" s="129"/>
    </row>
    <row r="34" spans="1:15" ht="15">
      <c r="A34" s="1781"/>
      <c r="B34" s="1782" t="s">
        <v>1307</v>
      </c>
      <c r="C34" s="148">
        <f ca="1">IF(C33="自定义",F34,C32-C35)</f>
        <v>177729</v>
      </c>
      <c r="D34" s="861">
        <f ca="1">IF(C33="自定义",ROUND(C34/C32,3),IF(C33="收益比率",SUMIF(INDIRECT("'"&amp;D33&amp;"'"&amp;"!b:b"),"土地收益比率",INDIRECT("'"&amp;D33&amp;"'"&amp;"!c:c")),SUMIF(INDIRECT("'"&amp;D33&amp;"'"&amp;"!b:b"),"土地成本比率",INDIRECT("'"&amp;D33&amp;"'"&amp;"!c:c"))))</f>
        <v>0.82599999999999996</v>
      </c>
      <c r="E34" s="1783" t="s">
        <v>1308</v>
      </c>
      <c r="F34" s="1330">
        <f ca="1">G19-F35</f>
        <v>177729</v>
      </c>
      <c r="G34" s="129"/>
      <c r="H34" s="129"/>
      <c r="I34" s="129"/>
    </row>
    <row r="35" spans="1:15" ht="15.75" thickBot="1">
      <c r="A35" s="1784"/>
      <c r="B35" s="1785" t="s">
        <v>1309</v>
      </c>
      <c r="C35" s="1170">
        <f ca="1">IF(C33="自定义",F35,ROUND(C32*D35,0))</f>
        <v>37363</v>
      </c>
      <c r="D35" s="1171">
        <f ca="1">IF(C33="自定义",ROUND(C35/C32,3),IF(C33="收益比率",SUMIF(INDIRECT("'"&amp;D33&amp;"'"&amp;"!b:b"),"建筑物收益比率",INDIRECT("'"&amp;D33&amp;"'"&amp;"!c:c")),SUMIF(INDIRECT("'"&amp;D33&amp;"'"&amp;"!b:b"),"建筑物成本比率",INDIRECT("'"&amp;D33&amp;"'"&amp;"!c:c"))))</f>
        <v>0.17399999999999999</v>
      </c>
      <c r="E35" s="1786" t="s">
        <v>1310</v>
      </c>
      <c r="F35" s="154">
        <f ca="1">成本法!C51</f>
        <v>37363</v>
      </c>
      <c r="G35" s="129"/>
      <c r="H35" s="129"/>
      <c r="I35" s="129"/>
    </row>
    <row r="36" spans="1:15" ht="15.75" thickBot="1">
      <c r="A36" s="3635" t="s">
        <v>1311</v>
      </c>
      <c r="B36" s="1787" t="s">
        <v>1312</v>
      </c>
      <c r="C36" s="145"/>
      <c r="D36" s="1788"/>
      <c r="E36" s="1789"/>
      <c r="F36" s="1790"/>
      <c r="G36" s="129"/>
      <c r="H36" s="129"/>
      <c r="I36" s="129"/>
    </row>
    <row r="37" spans="1:15" ht="15.75" thickBot="1">
      <c r="A37" s="3636"/>
      <c r="B37" s="1674" t="s">
        <v>1313</v>
      </c>
      <c r="C37" s="147"/>
      <c r="D37" s="1139"/>
      <c r="E37" s="1139"/>
      <c r="F37" s="1790"/>
      <c r="G37" s="129"/>
      <c r="H37" s="129"/>
      <c r="I37" s="129"/>
    </row>
    <row r="38" spans="1:15" ht="15.75" thickBot="1">
      <c r="A38" s="363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5" t="s">
        <v>1325</v>
      </c>
      <c r="B45" s="3656"/>
      <c r="C45" s="3657"/>
      <c r="D45" s="155">
        <f ca="1">ROUND(H101*F45,0)</f>
        <v>215092</v>
      </c>
      <c r="E45" s="156" t="s">
        <v>1326</v>
      </c>
      <c r="F45" s="157">
        <v>1</v>
      </c>
      <c r="G45" s="158" t="s">
        <v>1327</v>
      </c>
      <c r="H45" s="129"/>
      <c r="I45" s="129"/>
      <c r="J45" s="3575" t="s">
        <v>1328</v>
      </c>
      <c r="K45" s="3575"/>
      <c r="L45" s="3575"/>
      <c r="M45" s="3575"/>
      <c r="N45" s="3575"/>
      <c r="O45" s="3575"/>
    </row>
    <row r="46" spans="1:15" ht="14.25" customHeight="1">
      <c r="A46" s="3652" t="s">
        <v>1329</v>
      </c>
      <c r="B46" s="3653"/>
      <c r="C46" s="3653"/>
      <c r="D46" s="3653"/>
      <c r="E46" s="3653"/>
      <c r="F46" s="3653"/>
      <c r="G46" s="3654"/>
      <c r="H46" s="1806"/>
      <c r="I46" s="159"/>
      <c r="J46" s="2522">
        <v>1</v>
      </c>
      <c r="K46" s="3576" t="s">
        <v>1330</v>
      </c>
      <c r="L46" s="3576"/>
      <c r="M46" s="3577"/>
      <c r="N46" s="3577"/>
      <c r="O46" s="3577"/>
    </row>
    <row r="47" spans="1:15" ht="12" customHeight="1">
      <c r="A47" s="160" t="s">
        <v>1331</v>
      </c>
      <c r="B47" s="161"/>
      <c r="C47" s="162"/>
      <c r="D47" s="1087" t="s">
        <v>1332</v>
      </c>
      <c r="E47" s="302" t="s">
        <v>1333</v>
      </c>
      <c r="F47" s="163" t="s">
        <v>1334</v>
      </c>
      <c r="G47" s="2545" t="s">
        <v>1335</v>
      </c>
      <c r="H47" s="2546"/>
      <c r="I47" s="159"/>
      <c r="J47" s="2522">
        <v>2</v>
      </c>
      <c r="K47" s="3576" t="s">
        <v>1336</v>
      </c>
      <c r="L47" s="3576"/>
      <c r="M47" s="3578">
        <f>'数据-取费表'!B2</f>
        <v>45002</v>
      </c>
      <c r="N47" s="3578"/>
      <c r="O47" s="3578"/>
    </row>
    <row r="48" spans="1:15" ht="25.5">
      <c r="A48" s="3638" t="s">
        <v>1337</v>
      </c>
      <c r="B48" s="3639"/>
      <c r="C48" s="3639"/>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576" t="s">
        <v>1339</v>
      </c>
      <c r="L48" s="3576"/>
      <c r="M48" s="3579">
        <f ca="1">H101</f>
        <v>215092</v>
      </c>
      <c r="N48" s="3579"/>
      <c r="O48" s="3579"/>
    </row>
    <row r="49" spans="1:35" ht="25.5" customHeight="1">
      <c r="A49" s="2333" t="s">
        <v>1340</v>
      </c>
      <c r="B49" s="3624" t="s">
        <v>1341</v>
      </c>
      <c r="C49" s="3624"/>
      <c r="D49" s="1590">
        <v>0</v>
      </c>
      <c r="E49" s="324" t="s">
        <v>1342</v>
      </c>
      <c r="F49" s="2423" t="s">
        <v>28</v>
      </c>
      <c r="G49" s="3607"/>
      <c r="H49" s="2310" t="s">
        <v>2133</v>
      </c>
      <c r="I49" s="2311"/>
      <c r="J49" s="2522">
        <v>4</v>
      </c>
      <c r="K49" s="3576" t="str">
        <f>IF(项目基本情况!E8="房地产抵押价值","房地产抵押价值","抵押担保权已注销时的房地产抵押价值")</f>
        <v>房地产抵押价值</v>
      </c>
      <c r="L49" s="3576"/>
      <c r="M49" s="3579">
        <f ca="1">IF(项目基本情况!E8="房地产抵押价值",H107,H109)</f>
        <v>215092</v>
      </c>
      <c r="N49" s="3579"/>
      <c r="O49" s="3579"/>
    </row>
    <row r="50" spans="1:35" ht="25.5" customHeight="1">
      <c r="A50" s="2550"/>
      <c r="B50" s="3624" t="s">
        <v>1343</v>
      </c>
      <c r="C50" s="3624"/>
      <c r="D50" s="2551"/>
      <c r="E50" s="332"/>
      <c r="F50" s="2423"/>
      <c r="G50" s="3608"/>
      <c r="H50" s="2312" t="s">
        <v>2134</v>
      </c>
      <c r="I50" s="2311"/>
      <c r="J50" s="3575" t="s">
        <v>1344</v>
      </c>
      <c r="K50" s="3575"/>
      <c r="L50" s="3575"/>
      <c r="M50" s="3575"/>
      <c r="N50" s="3575"/>
      <c r="O50" s="3575"/>
    </row>
    <row r="51" spans="1:35" ht="20.45" customHeight="1">
      <c r="A51" s="2552"/>
      <c r="B51" s="3624" t="s">
        <v>1345</v>
      </c>
      <c r="C51" s="3624"/>
      <c r="D51" s="1087"/>
      <c r="E51" s="327"/>
      <c r="F51" s="2423"/>
      <c r="G51" s="3609"/>
      <c r="H51" s="2312" t="s">
        <v>2135</v>
      </c>
      <c r="I51" s="2311"/>
      <c r="J51" s="2523" t="s">
        <v>1346</v>
      </c>
      <c r="K51" s="3576" t="s">
        <v>1347</v>
      </c>
      <c r="L51" s="3576"/>
      <c r="M51" s="2523" t="s">
        <v>1348</v>
      </c>
      <c r="N51" s="2523" t="s">
        <v>1349</v>
      </c>
      <c r="O51" s="2523" t="s">
        <v>1350</v>
      </c>
    </row>
    <row r="52" spans="1:35" ht="24" customHeight="1">
      <c r="A52" s="2335" t="s">
        <v>1351</v>
      </c>
      <c r="B52" s="3624" t="s">
        <v>1352</v>
      </c>
      <c r="C52" s="3624"/>
      <c r="D52" s="1087">
        <f ca="1">ROUND(D45*'数据-取费表'!B41/(1+'数据-取费表'!C42),0)</f>
        <v>11267</v>
      </c>
      <c r="E52" s="2334" t="s">
        <v>1353</v>
      </c>
      <c r="F52" s="2553">
        <f>'数据-取费表'!B41</f>
        <v>5.5000000000000007E-2</v>
      </c>
      <c r="G52" s="2554"/>
      <c r="H52" s="2543"/>
      <c r="I52" s="1807"/>
      <c r="J52" s="2522">
        <v>1</v>
      </c>
      <c r="K52" s="3601" t="s">
        <v>1354</v>
      </c>
      <c r="L52" s="3601"/>
      <c r="M52" s="2524" t="b">
        <f>D48</f>
        <v>0</v>
      </c>
      <c r="N52" s="2522" t="str">
        <f>E48</f>
        <v>销售额×税（费）率</v>
      </c>
      <c r="O52" s="2525">
        <f>F48</f>
        <v>5.5000000000000007E-2</v>
      </c>
    </row>
    <row r="53" spans="1:35" ht="12" customHeight="1">
      <c r="A53" s="2335" t="s">
        <v>1355</v>
      </c>
      <c r="B53" s="3625" t="s">
        <v>2290</v>
      </c>
      <c r="C53" s="3626"/>
      <c r="D53" s="1087">
        <f ca="1">ROUND(D45*'数据-取费表'!B41/(1+'数据-取费表'!C42),0)</f>
        <v>11267</v>
      </c>
      <c r="E53" s="2334" t="s">
        <v>1353</v>
      </c>
      <c r="F53" s="2553">
        <f>'数据-取费表'!B41</f>
        <v>5.5000000000000007E-2</v>
      </c>
      <c r="G53" s="2554"/>
      <c r="H53" s="2543"/>
      <c r="I53" s="1807"/>
      <c r="J53" s="2522">
        <v>2</v>
      </c>
      <c r="K53" s="3601" t="s">
        <v>1356</v>
      </c>
      <c r="L53" s="3601"/>
      <c r="M53" s="2524">
        <f t="shared" ref="M53:O54" ca="1" si="0">D55</f>
        <v>108</v>
      </c>
      <c r="N53" s="2522" t="str">
        <f t="shared" si="0"/>
        <v>销售额×税（费）率</v>
      </c>
      <c r="O53" s="2525" t="str">
        <f t="shared" si="0"/>
        <v>免征</v>
      </c>
    </row>
    <row r="54" spans="1:35" ht="12" customHeight="1">
      <c r="A54" s="2335" t="s">
        <v>1357</v>
      </c>
      <c r="B54" s="3625" t="s">
        <v>2291</v>
      </c>
      <c r="C54" s="3626"/>
      <c r="D54" s="1087">
        <f ca="1">C68</f>
        <v>11267</v>
      </c>
      <c r="E54" s="327" t="s">
        <v>1358</v>
      </c>
      <c r="F54" s="2553">
        <f>'数据-取费表'!B41</f>
        <v>5.5000000000000007E-2</v>
      </c>
      <c r="G54" s="2554"/>
      <c r="H54" s="2555"/>
      <c r="I54" s="1807"/>
      <c r="J54" s="2522">
        <v>3</v>
      </c>
      <c r="K54" s="3601" t="s">
        <v>1359</v>
      </c>
      <c r="L54" s="3601"/>
      <c r="M54" s="2524">
        <f t="shared" ca="1" si="0"/>
        <v>121937</v>
      </c>
      <c r="N54" s="2522" t="str">
        <f t="shared" si="0"/>
        <v>增值额×税（费）率</v>
      </c>
      <c r="O54" s="2526" t="str">
        <f t="shared" si="0"/>
        <v>免征</v>
      </c>
    </row>
    <row r="55" spans="1:35" ht="24" customHeight="1">
      <c r="A55" s="3661" t="s">
        <v>1360</v>
      </c>
      <c r="B55" s="3639"/>
      <c r="C55" s="3639"/>
      <c r="D55" s="2324">
        <f ca="1">IF(H55="个人住宅",0,ROUND(D45*I55,0))</f>
        <v>108</v>
      </c>
      <c r="E55" s="2334" t="s">
        <v>1361</v>
      </c>
      <c r="F55" s="2553" t="str">
        <f>IF(H55="正常",I55,"免征")</f>
        <v>免征</v>
      </c>
      <c r="G55" s="2554"/>
      <c r="H55" s="2549"/>
      <c r="I55" s="165">
        <f>'数据-取费表'!B49</f>
        <v>5.0000000000000001E-4</v>
      </c>
      <c r="J55" s="2522">
        <f>IF(H59="非个人房产","",4)</f>
        <v>4</v>
      </c>
      <c r="K55" s="3601" t="str">
        <f>IF(H59="非个人房产","——","个人所得税")</f>
        <v>个人所得税</v>
      </c>
      <c r="L55" s="3601"/>
      <c r="M55" s="2527">
        <f ca="1">D59</f>
        <v>2049</v>
      </c>
      <c r="N55" s="2040" t="str">
        <f>E59</f>
        <v>差额计税</v>
      </c>
      <c r="O55" s="2528">
        <f>F59</f>
        <v>0.01</v>
      </c>
    </row>
    <row r="56" spans="1:35" ht="24.75">
      <c r="A56" s="3661" t="s">
        <v>1362</v>
      </c>
      <c r="B56" s="3639"/>
      <c r="C56" s="3639"/>
      <c r="D56" s="2324">
        <f ca="1">IF(H56="个人住宅",D57,D58)</f>
        <v>121937</v>
      </c>
      <c r="E56" s="2334" t="s">
        <v>1363</v>
      </c>
      <c r="F56" s="2553" t="str">
        <f>IF(H56="正常",F58,"免征")</f>
        <v>免征</v>
      </c>
      <c r="G56" s="2556" t="s">
        <v>1364</v>
      </c>
      <c r="H56" s="2557"/>
      <c r="I56" s="1808"/>
      <c r="J56" s="2522" t="str">
        <f>IF(项目基本情况!K6="上海银行",IF(J55="",4,J55+1),"")</f>
        <v/>
      </c>
      <c r="K56" s="3582" t="str">
        <f>IF(项目基本情况!K6="上海银行","其他处置费用","")</f>
        <v/>
      </c>
      <c r="L56" s="3583"/>
      <c r="M56" s="2524" t="str">
        <f>IF(项目基本情况!K6="上海银行",M69,"")</f>
        <v/>
      </c>
      <c r="N56" s="3582" t="str">
        <f>IF(项目基本情况!K6="上海银行","包含处置中涉及的律师、诉讼、拍卖、评估等费用","")</f>
        <v/>
      </c>
      <c r="O56" s="3585"/>
    </row>
    <row r="57" spans="1:35" ht="12.75">
      <c r="A57" s="2335" t="s">
        <v>1340</v>
      </c>
      <c r="B57" s="3625" t="s">
        <v>1365</v>
      </c>
      <c r="C57" s="3626"/>
      <c r="D57" s="1590">
        <v>0</v>
      </c>
      <c r="E57" s="324" t="s">
        <v>1342</v>
      </c>
      <c r="F57" s="302"/>
      <c r="G57" s="2554"/>
      <c r="H57" s="2558"/>
      <c r="I57" s="1808"/>
      <c r="J57" s="3601">
        <f>IF(AND(J55="",J56=""),4,IF(项目基本情况!K6="上海银行",结果表!J56+1,结果表!J55+1))</f>
        <v>5</v>
      </c>
      <c r="K57" s="3601" t="s">
        <v>1366</v>
      </c>
      <c r="L57" s="2529" t="s">
        <v>1367</v>
      </c>
      <c r="M57" s="2530"/>
      <c r="N57" s="2531">
        <f ca="1">SUMIF(M52:M56,"&lt;9e307")</f>
        <v>124094</v>
      </c>
      <c r="O57" s="2532"/>
      <c r="P57" s="2689">
        <f ca="1">N57/M49</f>
        <v>0.5769345210421587</v>
      </c>
    </row>
    <row r="58" spans="1:35" ht="24.75">
      <c r="A58" s="2335" t="s">
        <v>1351</v>
      </c>
      <c r="B58" s="3625" t="s">
        <v>1368</v>
      </c>
      <c r="C58" s="3624"/>
      <c r="D58" s="2324">
        <f ca="1">IF(H58="转让取得",C81,C97)</f>
        <v>121937</v>
      </c>
      <c r="E58" s="2334" t="s">
        <v>1363</v>
      </c>
      <c r="F58" s="302" t="s">
        <v>28</v>
      </c>
      <c r="G58" s="2554"/>
      <c r="H58" s="2557"/>
      <c r="I58" s="1808"/>
      <c r="J58" s="3601"/>
      <c r="K58" s="3601"/>
      <c r="L58" s="2529" t="s">
        <v>1369</v>
      </c>
      <c r="M58" s="2533"/>
      <c r="N58" s="2534" t="str">
        <f ca="1">NUMBERSTRING(INT(N57*10000),2)&amp;"元整"</f>
        <v>壹拾贰亿肆仟零玖拾肆万元整</v>
      </c>
      <c r="O58" s="2535"/>
    </row>
    <row r="59" spans="1:35" ht="24.75" thickBot="1">
      <c r="A59" s="3605" t="s">
        <v>1370</v>
      </c>
      <c r="B59" s="3606"/>
      <c r="C59" s="3606"/>
      <c r="D59" s="2559">
        <f ca="1">IF(H59="非个人房产","——",IF(H59="个人住宅（满五唯一有凭证）",0,IF(H59="个人其他（无凭证）",ROUND(D45*F59,0),ROUND(C67*F59,0))))</f>
        <v>2049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2136</v>
      </c>
      <c r="J59" s="3603">
        <f>J57+1</f>
        <v>6</v>
      </c>
      <c r="K59" s="3601" t="s">
        <v>1371</v>
      </c>
      <c r="L59" s="2522" t="s">
        <v>1367</v>
      </c>
      <c r="M59" s="2536"/>
      <c r="N59" s="2537">
        <f ca="1">M49-N57</f>
        <v>90998</v>
      </c>
      <c r="O59" s="2538"/>
    </row>
    <row r="60" spans="1:35" ht="12" customHeight="1">
      <c r="A60" s="1809"/>
      <c r="B60" s="1747"/>
      <c r="C60" s="1747"/>
      <c r="D60" s="1747"/>
      <c r="E60" s="1578"/>
      <c r="F60" s="1808"/>
      <c r="G60" s="1808"/>
      <c r="H60" s="1810"/>
      <c r="I60" s="129"/>
      <c r="J60" s="3604"/>
      <c r="K60" s="3601"/>
      <c r="L60" s="2529" t="s">
        <v>1369</v>
      </c>
      <c r="M60" s="2533"/>
      <c r="N60" s="2534" t="str">
        <f ca="1">NUMBERSTRING(INT(N59*10000),2)&amp;"元整"</f>
        <v>玖亿零玖佰玖拾捌万元整</v>
      </c>
      <c r="O60" s="2535"/>
    </row>
    <row r="61" spans="1:35" ht="13.5" thickBot="1">
      <c r="A61" s="3660" t="s">
        <v>1372</v>
      </c>
      <c r="B61" s="3660"/>
      <c r="C61" s="3660"/>
      <c r="D61" s="3660"/>
      <c r="E61" s="3660"/>
      <c r="F61" s="1808"/>
      <c r="G61" s="1808"/>
      <c r="H61" s="1810"/>
      <c r="I61" s="129"/>
      <c r="J61" s="2522">
        <f>J59+1</f>
        <v>7</v>
      </c>
      <c r="K61" s="3601" t="s">
        <v>1373</v>
      </c>
      <c r="L61" s="3601"/>
      <c r="M61" s="2539"/>
      <c r="N61" s="2540">
        <f ca="1">ROUND(N59*10000/'数据-汇总表'!E3,0)</f>
        <v>7975</v>
      </c>
      <c r="O61" s="2541"/>
    </row>
    <row r="62" spans="1:35" ht="12.75">
      <c r="A62" s="3620" t="s">
        <v>1374</v>
      </c>
      <c r="B62" s="3621"/>
      <c r="C62" s="2021"/>
      <c r="D62" s="2021" t="s">
        <v>1375</v>
      </c>
      <c r="E62" s="166" t="s">
        <v>1376</v>
      </c>
      <c r="F62" s="1808"/>
      <c r="G62" s="1808"/>
      <c r="H62" s="1810"/>
      <c r="I62" s="129"/>
    </row>
    <row r="63" spans="1:35" ht="12.75">
      <c r="A63" s="173" t="s">
        <v>330</v>
      </c>
      <c r="B63" s="167" t="s">
        <v>1377</v>
      </c>
      <c r="C63" s="2563">
        <f ca="1">ROUND((C64+C65)/(1+'数据-取费表'!C42),0)</f>
        <v>204850</v>
      </c>
      <c r="D63" s="167"/>
      <c r="E63" s="168"/>
      <c r="F63" s="1808"/>
      <c r="G63" s="1808"/>
      <c r="H63" s="1810"/>
      <c r="I63" s="129"/>
      <c r="J63" s="3584" t="s">
        <v>1378</v>
      </c>
      <c r="K63" s="1332" t="s">
        <v>1379</v>
      </c>
      <c r="L63" s="1332">
        <f ca="1">IF(M49&gt;10000,M49*0.5%,IF(AND(M49&gt;1000,M49&lt;=10000),M49*1%,IF(AND(M49&gt;100,M49&lt;=1000),M49*3%,IF(AND(M49&gt;10,M49&lt;=100),M49*5%,M49*8%))))</f>
        <v>1075.46</v>
      </c>
      <c r="M63" s="302">
        <f ca="1">ROUND(L63,1)</f>
        <v>1075.5</v>
      </c>
      <c r="N63" s="2542"/>
      <c r="Z63" s="1752"/>
      <c r="AI63" s="1753"/>
    </row>
    <row r="64" spans="1:35" ht="14.25" customHeight="1">
      <c r="A64" s="169" t="s">
        <v>325</v>
      </c>
      <c r="B64" s="170" t="s">
        <v>1380</v>
      </c>
      <c r="C64" s="2564">
        <f ca="1">D45</f>
        <v>215092</v>
      </c>
      <c r="D64" s="170" t="s">
        <v>26</v>
      </c>
      <c r="E64" s="172"/>
      <c r="F64" s="1808"/>
      <c r="G64" s="1808"/>
      <c r="H64" s="1810"/>
      <c r="I64" s="129"/>
      <c r="J64" s="3584"/>
      <c r="K64" s="1332" t="s">
        <v>1381</v>
      </c>
      <c r="L64" s="1332">
        <f ca="1">IF(M49&gt;2000,M49*0.5%,IF(AND(M49&gt;1000,M49&lt;=2000),M49*0.6%,IF(AND(M49&gt;500,M49&lt;=1000),M49*0.7%,IF(AND(M49&gt;200,M49&lt;=500),M49*0.8%,IF(AND(M49&gt;100,M49&lt;=200),M49*0.9%,IF(AND(M49&gt;50,M49&lt;=100),M49*1%,IF(AND(M49&gt;20,M49&lt;=50),M49*1.5%,IF(AND(M49&gt;10,M49&lt;=20),M49*2%,IF(AND(M49&gt;1,M49&lt;=10),M49*2.5%)))))))))</f>
        <v>1075.46</v>
      </c>
      <c r="M64" s="302">
        <f t="shared" ref="M64:M65" ca="1" si="1">ROUND(L64,1)</f>
        <v>1075.5</v>
      </c>
      <c r="N64" s="2543" t="s">
        <v>1382</v>
      </c>
      <c r="Z64" s="1752"/>
      <c r="AI64" s="1753"/>
    </row>
    <row r="65" spans="1:35" ht="14.25" customHeight="1">
      <c r="A65" s="169" t="s">
        <v>326</v>
      </c>
      <c r="B65" s="170" t="s">
        <v>1383</v>
      </c>
      <c r="C65" s="2565"/>
      <c r="D65" s="170"/>
      <c r="E65" s="172"/>
      <c r="F65" s="1808"/>
      <c r="G65" s="1808"/>
      <c r="H65" s="1810"/>
      <c r="I65" s="129"/>
      <c r="J65" s="3584"/>
      <c r="K65" s="1332" t="s">
        <v>1384</v>
      </c>
      <c r="L65" s="1332">
        <f ca="1">IF(M49&gt;1000,M49*0.1%,IF(AND(M49&gt;500,M49&lt;=1000),M49*0.5%,IF(AND(M49&gt;50,M49&lt;=500),M49*1%,IF(AND(M49&gt;1,M49&lt;=50),M49*1.5%))))</f>
        <v>215.09200000000001</v>
      </c>
      <c r="M65" s="302">
        <f t="shared" ca="1" si="1"/>
        <v>215.1</v>
      </c>
      <c r="N65" s="2543" t="s">
        <v>1382</v>
      </c>
      <c r="Z65" s="1752"/>
      <c r="AI65" s="1753"/>
    </row>
    <row r="66" spans="1:35" ht="14.25" customHeight="1">
      <c r="A66" s="173" t="s">
        <v>327</v>
      </c>
      <c r="B66" s="174" t="s">
        <v>1385</v>
      </c>
      <c r="C66" s="2566"/>
      <c r="D66" s="174" t="s">
        <v>26</v>
      </c>
      <c r="E66" s="1338" t="s">
        <v>670</v>
      </c>
      <c r="F66" s="1808"/>
      <c r="G66" s="1808"/>
      <c r="H66" s="1810"/>
      <c r="I66" s="129"/>
      <c r="J66" s="3584"/>
      <c r="K66" s="1332" t="s">
        <v>1386</v>
      </c>
      <c r="L66" s="1332">
        <f ca="1">M49*0.5%</f>
        <v>1075.46</v>
      </c>
      <c r="M66" s="302">
        <f ca="1">IF(L66&gt;0.5,0.5,ROUND(L66,0))</f>
        <v>0.5</v>
      </c>
      <c r="N66" s="2543" t="s">
        <v>1387</v>
      </c>
      <c r="Z66" s="1752"/>
      <c r="AI66" s="1753"/>
    </row>
    <row r="67" spans="1:35" ht="14.25" customHeight="1">
      <c r="A67" s="173" t="s">
        <v>328</v>
      </c>
      <c r="B67" s="174" t="s">
        <v>1388</v>
      </c>
      <c r="C67" s="2567">
        <f ca="1">C63-C66</f>
        <v>204850</v>
      </c>
      <c r="D67" s="170" t="s">
        <v>26</v>
      </c>
      <c r="E67" s="172"/>
      <c r="F67" s="1808"/>
      <c r="G67" s="1808"/>
      <c r="H67" s="1810"/>
      <c r="I67" s="129"/>
      <c r="J67" s="3584"/>
      <c r="K67" s="1332" t="s">
        <v>1389</v>
      </c>
      <c r="L67" s="1332">
        <f ca="1">IF(M49&gt;=10000,(8.25+(M49-10000)*0.01%),IF(AND(M49&gt;=8000,M49&lt;10000),(7.85+(M49-8000)*0.02%),IF(AND(M49&gt;=5000,M49&lt;8000),(6.65+(M49-5000)*0.04%),IF(AND(M49&gt;=2000,M49&lt;5000),(4.25+(PM49-2000)*0.08%),IF(AND(M49&gt;=1000,M49&lt;2000),(2.75+(M49-1000)*0.15%),IF(AND(M49&gt;=100,M49&lt;1000),(0.5+(M49-100)*0.25%),IF(AND(M49&gt;0,M49&lt;100),M49*0.5%)))))))</f>
        <v>28.7592</v>
      </c>
      <c r="M67" s="302">
        <f ca="1">ROUND(L67*0.9,1)</f>
        <v>25.9</v>
      </c>
      <c r="N67" s="2542"/>
      <c r="Z67" s="1752"/>
      <c r="AI67" s="1753"/>
    </row>
    <row r="68" spans="1:35" ht="14.25" customHeight="1" thickBot="1">
      <c r="A68" s="176" t="s">
        <v>329</v>
      </c>
      <c r="B68" s="177" t="s">
        <v>1390</v>
      </c>
      <c r="C68" s="2568">
        <f ca="1">IF(C67&lt;=0,0,ROUND(C67*D68,0))</f>
        <v>11267</v>
      </c>
      <c r="D68" s="2569">
        <f>'数据-取费表'!B41</f>
        <v>5.5000000000000007E-2</v>
      </c>
      <c r="E68" s="178"/>
      <c r="F68" s="1808"/>
      <c r="G68" s="1808"/>
      <c r="H68" s="1810"/>
      <c r="I68" s="129"/>
      <c r="J68" s="3584"/>
      <c r="K68" s="1332" t="s">
        <v>1391</v>
      </c>
      <c r="L68" s="1332">
        <f ca="1">IF(M49&gt;10000,M49*0.5%,IF(AND(M49&gt;5000,M49&lt;=10000),M49*1%,IF(AND(M49&gt;1000,M49&lt;=5000),M49*2%,IF(AND(M49&gt;200,M49&lt;=1000),M49*3%,M49*5%))))</f>
        <v>1075.46</v>
      </c>
      <c r="M68" s="302">
        <f ca="1">ROUND(L68,1)</f>
        <v>1075.5</v>
      </c>
      <c r="N68" s="2542"/>
      <c r="Z68" s="1752"/>
      <c r="AI68" s="1753"/>
    </row>
    <row r="69" spans="1:35" s="1772" customFormat="1" ht="16.5" customHeight="1">
      <c r="A69" s="1811"/>
      <c r="B69" s="1812"/>
      <c r="C69" s="1813"/>
      <c r="D69" s="1814"/>
      <c r="E69" s="1815"/>
      <c r="F69" s="1578"/>
      <c r="G69" s="1578"/>
      <c r="H69" s="1577"/>
      <c r="I69" s="1747"/>
      <c r="J69" s="3584"/>
      <c r="K69" s="1332" t="s">
        <v>1392</v>
      </c>
      <c r="L69" s="1332"/>
      <c r="M69" s="302">
        <f ca="1">ROUND(SUM(M63:M68),0)</f>
        <v>3468</v>
      </c>
      <c r="N69" s="2544">
        <f ca="1">M69/M49</f>
        <v>1.6123333271344353E-2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1393</v>
      </c>
      <c r="B70" s="3629"/>
      <c r="C70" s="3629"/>
      <c r="D70" s="3629"/>
      <c r="E70" s="3629"/>
      <c r="F70" s="3629"/>
      <c r="G70" s="3629"/>
      <c r="H70" s="362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0" t="s">
        <v>1374</v>
      </c>
      <c r="B71" s="3621"/>
      <c r="C71" s="2021"/>
      <c r="D71" s="2021"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204850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1024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25" t="s">
        <v>1401</v>
      </c>
      <c r="F76" s="3624"/>
      <c r="G76" s="3624"/>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1024</v>
      </c>
      <c r="D78" s="2576">
        <f>'数据-取费表'!B43</f>
        <v>5.000000000000001E-3</v>
      </c>
      <c r="E78" s="3617" t="s">
        <v>1405</v>
      </c>
      <c r="F78" s="3618"/>
      <c r="G78" s="3618"/>
      <c r="H78" s="361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203826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199.048828125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121937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1409</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0" t="s">
        <v>1374</v>
      </c>
      <c r="B84" s="3621"/>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204850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1024</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586" t="s">
        <v>2128</v>
      </c>
      <c r="H90" s="3587"/>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617" t="s">
        <v>1418</v>
      </c>
      <c r="F91" s="3618"/>
      <c r="G91" s="361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617" t="s">
        <v>1421</v>
      </c>
      <c r="F92" s="3618"/>
      <c r="G92" s="3618"/>
      <c r="H92" s="3619"/>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1024</v>
      </c>
      <c r="D93" s="2576">
        <f>'数据-取费表'!B43</f>
        <v>5.000000000000001E-3</v>
      </c>
      <c r="E93" s="3617" t="s">
        <v>1405</v>
      </c>
      <c r="F93" s="3618"/>
      <c r="G93" s="3618"/>
      <c r="H93" s="361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62" t="s">
        <v>1425</v>
      </c>
      <c r="F94" s="3663"/>
      <c r="G94" s="3663"/>
      <c r="H94" s="36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203826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199.048828125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121937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7" t="s">
        <v>1427</v>
      </c>
      <c r="B100" s="3568"/>
      <c r="C100" s="3568"/>
      <c r="D100" s="3602"/>
      <c r="E100" s="3568" t="s">
        <v>1428</v>
      </c>
      <c r="F100" s="3568"/>
      <c r="G100" s="3568"/>
      <c r="H100" s="3602"/>
      <c r="I100" s="129"/>
    </row>
    <row r="101" spans="1:35" ht="18.75" customHeight="1">
      <c r="A101" s="3610" t="s">
        <v>1429</v>
      </c>
      <c r="B101" s="3611"/>
      <c r="C101" s="2584" t="str">
        <f>C4</f>
        <v>成本法</v>
      </c>
      <c r="D101" s="2585" t="str">
        <f>D4</f>
        <v>收益法</v>
      </c>
      <c r="E101" s="3580" t="s">
        <v>1430</v>
      </c>
      <c r="F101" s="3581"/>
      <c r="G101" s="1827" t="s">
        <v>1431</v>
      </c>
      <c r="H101" s="2594">
        <f ca="1">H118</f>
        <v>215092</v>
      </c>
      <c r="I101" s="129"/>
    </row>
    <row r="102" spans="1:35" ht="18.75" customHeight="1">
      <c r="A102" s="3612" t="s">
        <v>1432</v>
      </c>
      <c r="B102" s="2583" t="s">
        <v>1431</v>
      </c>
      <c r="C102" s="2584">
        <f ca="1">IF(D32="楼面单价",ROUND(C19,0),C19)</f>
        <v>152236</v>
      </c>
      <c r="D102" s="2585">
        <f ca="1">IF(D32="楼面单价",ROUND(D19,0),D19)</f>
        <v>291915</v>
      </c>
      <c r="E102" s="3580"/>
      <c r="F102" s="3581"/>
      <c r="G102" s="1827" t="s">
        <v>1433</v>
      </c>
      <c r="H102" s="2554">
        <f ca="1">I118</f>
        <v>18850</v>
      </c>
      <c r="I102" s="129"/>
    </row>
    <row r="103" spans="1:35" ht="42.75" customHeight="1">
      <c r="A103" s="3612"/>
      <c r="B103" s="2583" t="s">
        <v>1433</v>
      </c>
      <c r="C103" s="2586">
        <f ca="1">C20</f>
        <v>13341</v>
      </c>
      <c r="D103" s="2587">
        <f ca="1">D20</f>
        <v>25582</v>
      </c>
      <c r="E103" s="3573" t="s">
        <v>1434</v>
      </c>
      <c r="F103" s="3574"/>
      <c r="G103" s="1828" t="s">
        <v>1435</v>
      </c>
      <c r="H103" s="2594">
        <f>IF(D36="正常操作",H104+H105+H106,H105+H106)</f>
        <v>0</v>
      </c>
      <c r="I103" s="129"/>
    </row>
    <row r="104" spans="1:35" ht="18.75" customHeight="1">
      <c r="A104" s="3612" t="s">
        <v>1436</v>
      </c>
      <c r="B104" s="2588" t="s">
        <v>1431</v>
      </c>
      <c r="C104" s="2589">
        <f ca="1">H118</f>
        <v>215092</v>
      </c>
      <c r="D104" s="2590"/>
      <c r="E104" s="1674" t="s">
        <v>1437</v>
      </c>
      <c r="F104" s="1666"/>
      <c r="G104" s="1828" t="s">
        <v>1435</v>
      </c>
      <c r="H104" s="2595">
        <f>IF(D36="同一抵押权人同一抵押物续贷",C36&amp;"（续贷，未扣减，详见特别提示）",C36)</f>
        <v>0</v>
      </c>
      <c r="I104" s="129"/>
    </row>
    <row r="105" spans="1:35" ht="18.75" customHeight="1" thickBot="1">
      <c r="A105" s="3622"/>
      <c r="B105" s="2591" t="s">
        <v>1433</v>
      </c>
      <c r="C105" s="2592">
        <f ca="1">I118</f>
        <v>18850</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13" t="str">
        <f>IF(项目基本情况!E8="已注销","——","3.房地产抵押价值")</f>
        <v>3.房地产抵押价值</v>
      </c>
      <c r="F107" s="3581"/>
      <c r="G107" s="1827" t="s">
        <v>1431</v>
      </c>
      <c r="H107" s="2594">
        <f ca="1">IF(E107="——","——",H101-H103)</f>
        <v>215092</v>
      </c>
      <c r="I107" s="129"/>
    </row>
    <row r="108" spans="1:35" ht="18.75" customHeight="1">
      <c r="A108" s="129"/>
      <c r="B108" s="129"/>
      <c r="C108" s="129"/>
      <c r="D108" s="129"/>
      <c r="E108" s="3613"/>
      <c r="F108" s="3581"/>
      <c r="G108" s="1827" t="s">
        <v>1433</v>
      </c>
      <c r="H108" s="2554">
        <f ca="1">IF(H107=H101,H102,ROUND(H107*10000/'数据-汇总表'!E3,0))</f>
        <v>18850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7" t="s">
        <v>1431</v>
      </c>
      <c r="H109" s="2597" t="str">
        <f>IF(E109="——","——",H101-H105-H106)</f>
        <v>——</v>
      </c>
      <c r="I109" s="129"/>
    </row>
    <row r="110" spans="1:35" ht="18.75" customHeight="1">
      <c r="A110" s="129"/>
      <c r="B110" s="129"/>
      <c r="C110" s="129"/>
      <c r="D110" s="129"/>
      <c r="E110" s="3613"/>
      <c r="F110" s="3581"/>
      <c r="G110" s="1827" t="s">
        <v>1433</v>
      </c>
      <c r="H110" s="2554"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600"/>
      <c r="G111" s="1827" t="s">
        <v>1431</v>
      </c>
      <c r="H111" s="2594" t="str">
        <f>IF(E111="——","——",N59)</f>
        <v>——</v>
      </c>
      <c r="I111" s="129"/>
    </row>
    <row r="112" spans="1:35" ht="18.75" customHeight="1" thickBot="1">
      <c r="A112" s="129"/>
      <c r="B112" s="129"/>
      <c r="C112" s="129"/>
      <c r="D112" s="129"/>
      <c r="E112" s="3615"/>
      <c r="F112" s="3616"/>
      <c r="G112" s="1830" t="s">
        <v>1433</v>
      </c>
      <c r="H112" s="2598" t="str">
        <f>IF(E111="——","——",N61)</f>
        <v>——</v>
      </c>
      <c r="I112" s="129"/>
    </row>
    <row r="113" spans="1:27" ht="18.75" customHeight="1">
      <c r="A113" s="129"/>
      <c r="B113" s="129"/>
      <c r="C113" s="129"/>
      <c r="D113" s="129"/>
      <c r="E113" s="3623" t="s">
        <v>1439</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1" t="s">
        <v>1441</v>
      </c>
      <c r="B115" s="3632"/>
      <c r="C115" s="3632"/>
      <c r="D115" s="3632"/>
      <c r="E115" s="3632"/>
      <c r="F115" s="3632"/>
      <c r="G115" s="3632"/>
      <c r="H115" s="3632"/>
      <c r="I115" s="3633"/>
    </row>
    <row r="116" spans="1:27" ht="27" customHeight="1">
      <c r="A116" s="3588" t="s">
        <v>1442</v>
      </c>
      <c r="B116" s="3592" t="s">
        <v>1443</v>
      </c>
      <c r="C116" s="3592" t="s">
        <v>1444</v>
      </c>
      <c r="D116" s="3598" t="s">
        <v>1445</v>
      </c>
      <c r="E116" s="3599"/>
      <c r="F116" s="3630" t="s">
        <v>1446</v>
      </c>
      <c r="G116" s="3630"/>
      <c r="H116" s="3588" t="s">
        <v>1447</v>
      </c>
      <c r="I116" s="3588"/>
    </row>
    <row r="117" spans="1:27" ht="18.75" customHeight="1">
      <c r="A117" s="3588"/>
      <c r="B117" s="3593"/>
      <c r="C117" s="3593"/>
      <c r="D117" s="2329" t="s">
        <v>1448</v>
      </c>
      <c r="E117" s="2329" t="s">
        <v>1449</v>
      </c>
      <c r="F117" s="2329" t="s">
        <v>1448</v>
      </c>
      <c r="G117" s="2329" t="s">
        <v>1450</v>
      </c>
      <c r="H117" s="2329" t="s">
        <v>1448</v>
      </c>
      <c r="I117" s="2329" t="s">
        <v>1450</v>
      </c>
    </row>
    <row r="118" spans="1:27" ht="24.75" customHeight="1">
      <c r="A118" s="2599" t="str">
        <f>项目基本情况!S2</f>
        <v>北京市房地产</v>
      </c>
      <c r="B118" s="2329">
        <f>M18</f>
        <v>114107.98000000001</v>
      </c>
      <c r="C118" s="2329">
        <f>M19</f>
        <v>236852.67</v>
      </c>
      <c r="D118" s="2329">
        <f ca="1">ROUND(IF(D32="总价",C34,E118*B118/10000),0)</f>
        <v>177729</v>
      </c>
      <c r="E118" s="2329">
        <f ca="1">ROUND(IF(C33="自定义",IF(D32="楼面单价",C34,D118*10000/B118),I118-G118),0)</f>
        <v>15576</v>
      </c>
      <c r="F118" s="2329">
        <f ca="1">ROUND(IF(D32="总价",C35,G118*B118/10000),0)</f>
        <v>37363</v>
      </c>
      <c r="G118" s="2329">
        <f ca="1">ROUND(IF(D32="楼面单价",C35,F118*10000/B118),0)</f>
        <v>3274</v>
      </c>
      <c r="H118" s="2329">
        <f ca="1">ROUND(IF(D32="总价",C32,I118*B118/10000),0)</f>
        <v>215092</v>
      </c>
      <c r="I118" s="2329">
        <f ca="1">ROUND(IF(D32="楼面单价",C32,H118*10000/B118),0)</f>
        <v>18850</v>
      </c>
    </row>
    <row r="119" spans="1:27" ht="18.75" customHeight="1">
      <c r="A119" s="3588" t="s">
        <v>1451</v>
      </c>
      <c r="B119" s="3588"/>
      <c r="C119" s="3588"/>
      <c r="D119" s="3594" t="str">
        <f ca="1">NUMBERSTRING(INT(D118*10000),2)&amp;"元整"</f>
        <v>壹拾柒亿柒仟柒佰贰拾玖万元整</v>
      </c>
      <c r="E119" s="3595"/>
      <c r="F119" s="3594" t="str">
        <f ca="1">NUMBERSTRING(INT(F118*10000),2)&amp;"元整"</f>
        <v>叁亿柒仟叁佰陆拾叁万元整</v>
      </c>
      <c r="G119" s="3595"/>
      <c r="H119" s="3594" t="str">
        <f ca="1">NUMBERSTRING(INT(H118*10000),2)&amp;"元整"</f>
        <v>贰拾壹亿伍仟零玖拾贰万元整</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1451</v>
      </c>
      <c r="B121" s="3596"/>
      <c r="C121" s="3595"/>
      <c r="D121" s="3594" t="str">
        <f>IF(D120=0,"零元整",NUMBERSTRING(INT(D120*10000),2)&amp;"元整")</f>
        <v>零元整</v>
      </c>
      <c r="E121" s="3596"/>
      <c r="F121" s="3596"/>
      <c r="G121" s="3596"/>
      <c r="H121" s="3596"/>
      <c r="I121" s="3595"/>
      <c r="AA121" s="725"/>
    </row>
    <row r="122" spans="1:27" ht="18.75" customHeight="1">
      <c r="A122" s="3600" t="str">
        <f>IF(项目基本情况!B9="房地产市场价值","",MID(E107,3,LEN(E107)-2))</f>
        <v>房地产抵押价值</v>
      </c>
      <c r="B122" s="3600"/>
      <c r="C122" s="3600"/>
      <c r="D122" s="3589">
        <f ca="1">H107</f>
        <v>215092</v>
      </c>
      <c r="E122" s="3590"/>
      <c r="F122" s="3590"/>
      <c r="G122" s="3590"/>
      <c r="H122" s="3590"/>
      <c r="I122" s="3591"/>
      <c r="AA122" s="725"/>
    </row>
    <row r="123" spans="1:27" ht="18.75" customHeight="1">
      <c r="A123" s="3588" t="s">
        <v>1451</v>
      </c>
      <c r="B123" s="3588"/>
      <c r="C123" s="3588"/>
      <c r="D123" s="3594" t="str">
        <f ca="1">NUMBERSTRING(INT(D122*10000),2)&amp;"元整"</f>
        <v>贰拾壹亿伍仟零玖拾贰万元整</v>
      </c>
      <c r="E123" s="3596"/>
      <c r="F123" s="3596"/>
      <c r="G123" s="3596"/>
      <c r="H123" s="3596"/>
      <c r="I123" s="3595"/>
      <c r="AA123" s="725"/>
    </row>
    <row r="124" spans="1:27" ht="18.75" customHeight="1">
      <c r="A124" s="3600" t="str">
        <f>IF(项目基本情况!B9="房地产市场价值","",MID(E109,3,LEN(E109)-2))</f>
        <v/>
      </c>
      <c r="B124" s="3600"/>
      <c r="C124" s="3600"/>
      <c r="D124" s="3589" t="str">
        <f>H109</f>
        <v>——</v>
      </c>
      <c r="E124" s="3590"/>
      <c r="F124" s="3590"/>
      <c r="G124" s="3590"/>
      <c r="H124" s="3590"/>
      <c r="I124" s="3591"/>
      <c r="AA124" s="725"/>
    </row>
    <row r="125" spans="1:27" ht="18.75" customHeight="1">
      <c r="A125" s="3588" t="s">
        <v>1451</v>
      </c>
      <c r="B125" s="3588"/>
      <c r="C125" s="3588"/>
      <c r="D125" s="3594" t="e">
        <f>NUMBERSTRING(INT(D124*10000),2)&amp;"元整"</f>
        <v>#VALUE!</v>
      </c>
      <c r="E125" s="3596"/>
      <c r="F125" s="3596"/>
      <c r="G125" s="3596"/>
      <c r="H125" s="3596"/>
      <c r="I125" s="3595"/>
      <c r="AA125" s="725"/>
    </row>
    <row r="126" spans="1:27" ht="18.75" customHeight="1">
      <c r="A126" s="3600" t="str">
        <f>IF(项目基本情况!B9="房地产市场价值","",MID(E111,3,LEN(E111)-2))</f>
        <v/>
      </c>
      <c r="B126" s="3600"/>
      <c r="C126" s="3600"/>
      <c r="D126" s="3589" t="str">
        <f>H111</f>
        <v>——</v>
      </c>
      <c r="E126" s="3590"/>
      <c r="F126" s="3590"/>
      <c r="G126" s="3590"/>
      <c r="H126" s="3590"/>
      <c r="I126" s="3591"/>
      <c r="AA126" s="725"/>
    </row>
    <row r="127" spans="1:27" ht="18.75" customHeight="1">
      <c r="A127" s="3588" t="s">
        <v>1451</v>
      </c>
      <c r="B127" s="3588"/>
      <c r="C127" s="3588"/>
      <c r="D127" s="3594" t="e">
        <f>NUMBERSTRING(INT(D126*10000),2)&amp;"元整"</f>
        <v>#VALUE!</v>
      </c>
      <c r="E127" s="3596"/>
      <c r="F127" s="3596"/>
      <c r="G127" s="3596"/>
      <c r="H127" s="3596"/>
      <c r="I127" s="3595"/>
      <c r="AA127" s="725"/>
    </row>
    <row r="128" spans="1:27" ht="21.75" customHeight="1">
      <c r="A128" s="3597" t="s">
        <v>1452</v>
      </c>
      <c r="B128" s="3597"/>
      <c r="C128" s="3597"/>
      <c r="D128" s="3597"/>
      <c r="E128" s="3597"/>
      <c r="F128" s="3597"/>
      <c r="G128" s="3597"/>
      <c r="H128" s="3597"/>
      <c r="I128" s="3597"/>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北京市房地产抵押价值预评估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152236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13341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82351</v>
      </c>
      <c r="D5" s="211" t="s">
        <v>1468</v>
      </c>
      <c r="E5" s="212" t="s">
        <v>1469</v>
      </c>
      <c r="F5" s="212" t="s">
        <v>1470</v>
      </c>
      <c r="G5" s="213"/>
    </row>
    <row r="6" spans="1:9" s="214" customFormat="1" ht="13.5" customHeight="1">
      <c r="A6" s="778" t="s">
        <v>1471</v>
      </c>
      <c r="B6" s="215" t="s">
        <v>1472</v>
      </c>
      <c r="C6" s="216">
        <f>基准地价修正!B2</f>
        <v>79914</v>
      </c>
      <c r="D6" s="217"/>
      <c r="E6" s="218"/>
      <c r="F6" s="218"/>
      <c r="G6" s="219"/>
    </row>
    <row r="7" spans="1:9" s="214" customFormat="1" ht="13.5" customHeight="1">
      <c r="A7" s="778" t="s">
        <v>1473</v>
      </c>
      <c r="B7" s="215" t="s">
        <v>1474</v>
      </c>
      <c r="C7" s="220">
        <f>ROUND(C6*F7,0)</f>
        <v>2437</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t="s">
        <v>3463</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3464</v>
      </c>
      <c r="H9" s="1137"/>
      <c r="I9" s="1858"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114107.98000000001</v>
      </c>
      <c r="E10" s="225">
        <f>'数据-取费表'!B28</f>
        <v>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114107.98000000001</v>
      </c>
      <c r="E19" s="211">
        <f>'数据-取费表'!B31</f>
        <v>200</v>
      </c>
      <c r="F19" s="231"/>
      <c r="G19" s="1856" t="s">
        <v>3465</v>
      </c>
    </row>
    <row r="20" spans="1:7" s="214" customFormat="1" ht="13.5" customHeight="1">
      <c r="A20" s="255" t="s">
        <v>1492</v>
      </c>
      <c r="B20" s="210" t="s">
        <v>1493</v>
      </c>
      <c r="C20" s="232">
        <f>ROUND((C5+C19)*F20,0)</f>
        <v>1647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5230</v>
      </c>
      <c r="D22" s="235">
        <f ca="1">C26</f>
        <v>5.9999999999999995E-4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5179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51</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16800</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16800</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114873</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35670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31950</v>
      </c>
      <c r="D34" s="217"/>
      <c r="E34" s="220"/>
      <c r="F34" s="257">
        <f ca="1">IF('数据-取费表'!B24=0,1,IF(B1="",'数据-取费表'!N16,INDIRECT("'数据-取费表'!n"&amp;$G$1)))</f>
        <v>1</v>
      </c>
      <c r="G34" s="219" t="s">
        <v>1525</v>
      </c>
    </row>
    <row r="35" spans="1:7" ht="13.5" customHeight="1">
      <c r="A35" s="780" t="s">
        <v>351</v>
      </c>
      <c r="B35" s="215" t="s">
        <v>1526</v>
      </c>
      <c r="C35" s="220">
        <f ca="1">ROUND(C34*F35,0)</f>
        <v>959</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2282</v>
      </c>
      <c r="D37" s="217">
        <f ca="1">D19</f>
        <v>114107.98000000001</v>
      </c>
      <c r="E37" s="249">
        <f>'数据-取费表'!B35</f>
        <v>200</v>
      </c>
      <c r="F37" s="259"/>
      <c r="G37" s="261" t="s">
        <v>1531</v>
      </c>
    </row>
    <row r="38" spans="1:7" ht="13.5" customHeight="1">
      <c r="A38" s="780" t="s">
        <v>354</v>
      </c>
      <c r="B38" s="215" t="s">
        <v>1532</v>
      </c>
      <c r="C38" s="220">
        <f ca="1">ROUND(C34*F38,0)</f>
        <v>479</v>
      </c>
      <c r="D38" s="220"/>
      <c r="E38" s="220"/>
      <c r="F38" s="259">
        <f>'数据-取费表'!B36</f>
        <v>1.4999999999999999E-2</v>
      </c>
      <c r="G38" s="219" t="s">
        <v>1527</v>
      </c>
    </row>
    <row r="39" spans="1:7" s="214" customFormat="1" ht="13.5" customHeight="1">
      <c r="A39" s="255" t="s">
        <v>1533</v>
      </c>
      <c r="B39" s="210" t="s">
        <v>1534</v>
      </c>
      <c r="C39" s="232">
        <f ca="1">ROUND(C33*F20,0)</f>
        <v>713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1127</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1105</v>
      </c>
      <c r="D42" s="238"/>
      <c r="E42" s="238"/>
      <c r="F42" s="239"/>
      <c r="G42" s="3667" t="s">
        <v>1543</v>
      </c>
    </row>
    <row r="43" spans="1:7" ht="13.5" customHeight="1">
      <c r="A43" s="780" t="s">
        <v>347</v>
      </c>
      <c r="B43" s="215" t="s">
        <v>1544</v>
      </c>
      <c r="C43" s="238">
        <f ca="1">ROUND(IF('数据-取费表'!B22&lt;=1,C39*F22*'数据-取费表'!B21/2,C39*(POWER((1+F22),'数据-取费表'!B21/2)-1)),0)</f>
        <v>22</v>
      </c>
      <c r="D43" s="238"/>
      <c r="E43" s="238"/>
      <c r="F43" s="239"/>
      <c r="G43" s="3668"/>
    </row>
    <row r="44" spans="1:7" ht="13.5" customHeight="1">
      <c r="A44" s="780" t="s">
        <v>348</v>
      </c>
      <c r="B44" s="215" t="s">
        <v>1545</v>
      </c>
      <c r="C44" s="238">
        <f ca="1">ROUND(IF('数据-取费表'!B22&lt;=1,C40*F22*'数据-取费表'!B21/2,C40*(POWER((1+F22),'数据-取费表'!B21/2)-1)),4)</f>
        <v>5.9999999999999995E-4</v>
      </c>
      <c r="D44" s="238"/>
      <c r="E44" s="238"/>
      <c r="F44" s="239"/>
      <c r="G44" s="3669"/>
    </row>
    <row r="45" spans="1:7" s="214" customFormat="1" ht="13.5" customHeight="1">
      <c r="A45" s="255" t="s">
        <v>1546</v>
      </c>
      <c r="B45" s="244" t="s">
        <v>1512</v>
      </c>
      <c r="C45" s="245">
        <f ca="1">C46</f>
        <v>7277</v>
      </c>
      <c r="D45" s="235">
        <f ca="1">C47</f>
        <v>4.0000000000000001E-3</v>
      </c>
      <c r="E45" s="236" t="s">
        <v>1538</v>
      </c>
      <c r="F45" s="246">
        <f ca="1">F27</f>
        <v>0.2</v>
      </c>
      <c r="G45" s="247" t="s">
        <v>1547</v>
      </c>
    </row>
    <row r="46" spans="1:7" s="214" customFormat="1" ht="13.5" customHeight="1">
      <c r="A46" s="780" t="s">
        <v>346</v>
      </c>
      <c r="B46" s="248" t="s">
        <v>1548</v>
      </c>
      <c r="C46" s="249">
        <f ca="1">ROUND((C33+C39)*F27,0)</f>
        <v>7277</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48523</v>
      </c>
      <c r="D49" s="232"/>
      <c r="E49" s="232"/>
      <c r="F49" s="264"/>
      <c r="G49" s="234" t="s">
        <v>1553</v>
      </c>
    </row>
    <row r="50" spans="1:7" s="258" customFormat="1" ht="24">
      <c r="A50" s="255" t="s">
        <v>1554</v>
      </c>
      <c r="B50" s="210" t="s">
        <v>1555</v>
      </c>
      <c r="C50" s="232"/>
      <c r="D50" s="232"/>
      <c r="E50" s="232"/>
      <c r="F50" s="264">
        <f>IF('数据-取费表'!B24=0,'数据-取费表'!N16,1)</f>
        <v>0.77</v>
      </c>
      <c r="G50" s="247" t="s">
        <v>1556</v>
      </c>
    </row>
    <row r="51" spans="1:7" ht="16.5" customHeight="1">
      <c r="A51" s="255" t="s">
        <v>1557</v>
      </c>
      <c r="B51" s="210" t="s">
        <v>1558</v>
      </c>
      <c r="C51" s="232">
        <f ca="1">ROUND(C49*F50,0)</f>
        <v>37363</v>
      </c>
      <c r="D51" s="232"/>
      <c r="E51" s="232"/>
      <c r="F51" s="264"/>
      <c r="G51" s="234" t="s">
        <v>1559</v>
      </c>
    </row>
    <row r="52" spans="1:7" s="208" customFormat="1" ht="16.5" thickBot="1">
      <c r="A52" s="265" t="s">
        <v>1560</v>
      </c>
      <c r="B52" s="266"/>
      <c r="C52" s="267">
        <f ca="1">C31+C51</f>
        <v>152236</v>
      </c>
      <c r="D52" s="266"/>
      <c r="E52" s="266"/>
      <c r="F52" s="266"/>
      <c r="G52" s="268"/>
    </row>
    <row r="55" spans="1:7" ht="15">
      <c r="B55" s="270" t="s">
        <v>1561</v>
      </c>
      <c r="C55" s="271"/>
    </row>
    <row r="56" spans="1:7">
      <c r="B56" s="273" t="s">
        <v>801</v>
      </c>
      <c r="C56" s="275">
        <f ca="1">1-C57</f>
        <v>0.755</v>
      </c>
    </row>
    <row r="57" spans="1:7">
      <c r="B57" s="273" t="s">
        <v>802</v>
      </c>
      <c r="C57" s="274">
        <f ca="1">ROUND(C51/C52,3)</f>
        <v>0.245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40546.308400000002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3553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114107.98000000001</v>
      </c>
      <c r="E10" s="225">
        <f>'数据-取费表'!B28</f>
        <v>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22821596</v>
      </c>
      <c r="D19" s="849">
        <f ca="1">D9+D10</f>
        <v>114107.98000000001</v>
      </c>
      <c r="E19" s="211">
        <f>'数据-取费表'!B31</f>
        <v>200</v>
      </c>
      <c r="F19" s="231"/>
      <c r="G19" s="1856"/>
    </row>
    <row r="20" spans="1:7" s="214" customFormat="1" ht="13.5" customHeight="1">
      <c r="A20" s="255" t="s">
        <v>1573</v>
      </c>
      <c r="B20" s="210" t="s">
        <v>1574</v>
      </c>
      <c r="C20" s="232">
        <f ca="1">ROUND((C5+C19)*F20,0)</f>
        <v>456432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1449417</v>
      </c>
      <c r="D22" s="235">
        <f ca="1">C26</f>
        <v>5.9999999999999995E-4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1435283</v>
      </c>
      <c r="D24" s="238"/>
      <c r="E24" s="238"/>
      <c r="F24" s="239"/>
      <c r="G24" s="240" t="s">
        <v>1585</v>
      </c>
    </row>
    <row r="25" spans="1:7" s="214" customFormat="1" ht="24">
      <c r="A25" s="780" t="s">
        <v>1475</v>
      </c>
      <c r="B25" s="215" t="s">
        <v>1586</v>
      </c>
      <c r="C25" s="1128">
        <f ca="1">ROUND(IF('数据-取费表'!B22&lt;=1,C20*F22*'数据-取费表'!B22/2,C20*(POWER((1+F22),'数据-取费表'!B22/2)-1)),0)</f>
        <v>14134</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4655606</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4655606</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31834291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356701545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319502344</v>
      </c>
      <c r="D34" s="217"/>
      <c r="E34" s="220"/>
      <c r="F34" s="257"/>
      <c r="G34" s="219"/>
    </row>
    <row r="35" spans="1:7" ht="13.5" customHeight="1">
      <c r="A35" s="780" t="s">
        <v>351</v>
      </c>
      <c r="B35" s="215" t="s">
        <v>1526</v>
      </c>
      <c r="C35" s="220">
        <f ca="1">ROUND(C34*F35,0)</f>
        <v>9585070</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22821596</v>
      </c>
      <c r="D37" s="217">
        <f ca="1">D19</f>
        <v>114107.98000000001</v>
      </c>
      <c r="E37" s="249">
        <f>'数据-取费表'!B35</f>
        <v>200</v>
      </c>
      <c r="F37" s="259"/>
      <c r="G37" s="261"/>
    </row>
    <row r="38" spans="1:7" ht="13.5" customHeight="1">
      <c r="A38" s="780" t="s">
        <v>354</v>
      </c>
      <c r="B38" s="215" t="s">
        <v>1532</v>
      </c>
      <c r="C38" s="220">
        <f ca="1">ROUND(C34*F38,0)</f>
        <v>4792535</v>
      </c>
      <c r="D38" s="220"/>
      <c r="E38" s="220"/>
      <c r="F38" s="259">
        <f>'数据-取费表'!B36</f>
        <v>1.4999999999999999E-2</v>
      </c>
      <c r="G38" s="219" t="s">
        <v>1527</v>
      </c>
    </row>
    <row r="39" spans="1:7" s="214" customFormat="1" ht="13.5" customHeight="1">
      <c r="A39" s="255" t="s">
        <v>1533</v>
      </c>
      <c r="B39" s="210" t="s">
        <v>1534</v>
      </c>
      <c r="C39" s="232">
        <f ca="1">ROUND(C33*F20,0)</f>
        <v>7134031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11266629</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11045715</v>
      </c>
      <c r="D42" s="238"/>
      <c r="E42" s="238"/>
      <c r="F42" s="239"/>
      <c r="G42" s="3667" t="s">
        <v>1590</v>
      </c>
    </row>
    <row r="43" spans="1:7" ht="13.5" customHeight="1">
      <c r="A43" s="780" t="s">
        <v>347</v>
      </c>
      <c r="B43" s="215" t="s">
        <v>1544</v>
      </c>
      <c r="C43" s="238">
        <f ca="1">ROUND(IF('数据-取费表'!B22&lt;=1,C39*F22*'数据-取费表'!B20/2,C39*(POWER((1+F22),'数据-取费表'!B20/2)-1)),0)</f>
        <v>220914</v>
      </c>
      <c r="D43" s="238"/>
      <c r="E43" s="238"/>
      <c r="F43" s="239"/>
      <c r="G43" s="3668"/>
    </row>
    <row r="44" spans="1:7" ht="13.5" customHeight="1">
      <c r="A44" s="780" t="s">
        <v>348</v>
      </c>
      <c r="B44" s="215" t="s">
        <v>1545</v>
      </c>
      <c r="C44" s="238">
        <f ca="1">ROUND(IF('数据-取费表'!B22&lt;=1,C40*F22*'数据-取费表'!B20/2,C40*(POWER((1+F22),'数据-取费表'!B20/2)-1)),4)</f>
        <v>5.9999999999999995E-4</v>
      </c>
      <c r="D44" s="238"/>
      <c r="E44" s="238"/>
      <c r="F44" s="239"/>
      <c r="G44" s="3669"/>
    </row>
    <row r="45" spans="1:7" s="214" customFormat="1" ht="13.5" customHeight="1">
      <c r="A45" s="255" t="s">
        <v>1546</v>
      </c>
      <c r="B45" s="244" t="s">
        <v>1512</v>
      </c>
      <c r="C45" s="245">
        <f ca="1">C46</f>
        <v>72767115</v>
      </c>
      <c r="D45" s="235">
        <f ca="1">C47</f>
        <v>4.0000000000000001E-3</v>
      </c>
      <c r="E45" s="236" t="s">
        <v>1538</v>
      </c>
      <c r="F45" s="246">
        <f ca="1">F27</f>
        <v>0.2</v>
      </c>
      <c r="G45" s="247" t="s">
        <v>1547</v>
      </c>
    </row>
    <row r="46" spans="1:7" s="214" customFormat="1" ht="13.5" customHeight="1">
      <c r="A46" s="780" t="s">
        <v>346</v>
      </c>
      <c r="B46" s="248" t="s">
        <v>1548</v>
      </c>
      <c r="C46" s="249">
        <f ca="1">ROUND((C33+C39)*F27,0)</f>
        <v>72767115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485232199</v>
      </c>
      <c r="D49" s="232"/>
      <c r="E49" s="232"/>
      <c r="F49" s="264"/>
      <c r="G49" s="234" t="s">
        <v>1553</v>
      </c>
    </row>
    <row r="50" spans="1:7" s="258" customFormat="1">
      <c r="A50" s="255" t="s">
        <v>1554</v>
      </c>
      <c r="B50" s="210" t="s">
        <v>1555</v>
      </c>
      <c r="C50" s="232"/>
      <c r="D50" s="232"/>
      <c r="E50" s="232"/>
      <c r="F50" s="264">
        <f>IF('数据-取费表'!B24=0,'数据-取费表'!N16,1)</f>
        <v>0.77</v>
      </c>
      <c r="G50" s="247"/>
    </row>
    <row r="51" spans="1:7" ht="16.5" customHeight="1">
      <c r="A51" s="255" t="s">
        <v>1557</v>
      </c>
      <c r="B51" s="210" t="s">
        <v>1592</v>
      </c>
      <c r="C51" s="232">
        <f ca="1">ROUND(C49*F50,0)</f>
        <v>373628793</v>
      </c>
      <c r="D51" s="232"/>
      <c r="E51" s="232"/>
      <c r="F51" s="264"/>
      <c r="G51" s="234" t="s">
        <v>1559</v>
      </c>
    </row>
    <row r="52" spans="1:7" s="208" customFormat="1" ht="16.5" thickBot="1">
      <c r="A52" s="265" t="s">
        <v>1560</v>
      </c>
      <c r="B52" s="266"/>
      <c r="C52" s="267">
        <f ca="1">C31+C51</f>
        <v>405463084</v>
      </c>
      <c r="D52" s="266"/>
      <c r="E52" s="266"/>
      <c r="F52" s="266"/>
      <c r="G52" s="268"/>
    </row>
    <row r="55" spans="1:7" ht="15">
      <c r="B55" s="270" t="s">
        <v>1561</v>
      </c>
      <c r="C55" s="271"/>
    </row>
    <row r="56" spans="1:7">
      <c r="B56" s="273" t="s">
        <v>801</v>
      </c>
      <c r="C56" s="275">
        <f ca="1">1-C57</f>
        <v>7.8999999999999959E-2</v>
      </c>
    </row>
    <row r="57" spans="1:7">
      <c r="B57" s="273" t="s">
        <v>802</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5"/>
      <c r="F1" s="2805"/>
      <c r="G1" s="2670"/>
      <c r="H1" s="2805"/>
      <c r="I1" s="2805"/>
      <c r="J1" s="2805"/>
      <c r="K1" s="2806">
        <f>MATCH(C1,'数据-取费表'!A6:A16,0)+5</f>
        <v>7</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114107.98000000001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114107.98000000001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114107.98000000001</v>
      </c>
      <c r="E20" s="21">
        <f>'数据-取费表'!B28</f>
        <v>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876</v>
      </c>
      <c r="B1" s="713"/>
      <c r="C1" s="1379" t="s">
        <v>3340</v>
      </c>
      <c r="D1" s="1362" t="s">
        <v>43</v>
      </c>
      <c r="E1" s="1363" t="s">
        <v>677</v>
      </c>
      <c r="F1" s="1062">
        <f ca="1">J53</f>
        <v>33.36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803</v>
      </c>
      <c r="B2" s="1386">
        <f ca="1">C40+J29+L46</f>
        <v>291915</v>
      </c>
      <c r="C2" s="1387" t="s">
        <v>804</v>
      </c>
      <c r="D2" s="1387"/>
      <c r="E2" s="1388"/>
      <c r="F2" s="1389"/>
      <c r="G2" s="2705"/>
      <c r="H2" s="2694"/>
      <c r="I2" s="2694"/>
      <c r="J2" s="2694"/>
      <c r="K2" s="2695"/>
      <c r="L2" s="2694"/>
      <c r="M2" s="2694"/>
    </row>
    <row r="3" spans="1:37" ht="18" customHeight="1" thickBot="1">
      <c r="A3" s="1390" t="s">
        <v>805</v>
      </c>
      <c r="B3" s="1391">
        <f ca="1">IF(ISERROR(B2*10000/F43),0,ROUND(B2*10000/F43,0))</f>
        <v>25582</v>
      </c>
      <c r="C3" s="1387" t="s">
        <v>806</v>
      </c>
      <c r="D3" s="1387"/>
      <c r="E3" s="1388"/>
      <c r="F3" s="1389"/>
      <c r="G3" s="2705"/>
      <c r="H3" s="683" t="s">
        <v>875</v>
      </c>
      <c r="I3" s="1382"/>
      <c r="J3" s="1382"/>
      <c r="K3" s="1383"/>
      <c r="L3" s="1382"/>
      <c r="M3" s="1382"/>
    </row>
    <row r="4" spans="1:37" ht="18" customHeight="1">
      <c r="A4" s="295" t="s">
        <v>686</v>
      </c>
      <c r="B4" s="296" t="s">
        <v>687</v>
      </c>
      <c r="C4" s="296" t="s">
        <v>688</v>
      </c>
      <c r="D4" s="296" t="s">
        <v>689</v>
      </c>
      <c r="E4" s="297" t="s">
        <v>690</v>
      </c>
      <c r="F4" s="298"/>
      <c r="G4" s="1384"/>
      <c r="H4" s="295" t="s">
        <v>686</v>
      </c>
      <c r="I4" s="296" t="s">
        <v>687</v>
      </c>
      <c r="J4" s="296" t="s">
        <v>688</v>
      </c>
      <c r="K4" s="296" t="s">
        <v>689</v>
      </c>
      <c r="L4" s="297" t="s">
        <v>690</v>
      </c>
      <c r="M4" s="298"/>
    </row>
    <row r="5" spans="1:37" ht="18" customHeight="1">
      <c r="A5" s="299">
        <v>1</v>
      </c>
      <c r="B5" s="300" t="s">
        <v>691</v>
      </c>
      <c r="C5" s="1070">
        <f ca="1">C6+C10+C12</f>
        <v>18015</v>
      </c>
      <c r="D5" s="1364" t="s">
        <v>692</v>
      </c>
      <c r="E5" s="1071"/>
      <c r="F5" s="1072"/>
      <c r="G5" s="1384"/>
      <c r="H5" s="299">
        <v>1</v>
      </c>
      <c r="I5" s="300" t="s">
        <v>691</v>
      </c>
      <c r="J5" s="1070">
        <f ca="1">J6+J10+J12</f>
        <v>0</v>
      </c>
      <c r="K5" s="1364" t="s">
        <v>692</v>
      </c>
      <c r="L5" s="1071"/>
      <c r="M5" s="1072"/>
    </row>
    <row r="6" spans="1:37" ht="18" customHeight="1">
      <c r="A6" s="1069" t="s">
        <v>398</v>
      </c>
      <c r="B6" s="3672" t="s">
        <v>693</v>
      </c>
      <c r="C6" s="1074">
        <f ca="1">ROUND(F6*F8*F7*(1-F9)/10000,0)</f>
        <v>17993</v>
      </c>
      <c r="D6" s="155" t="s">
        <v>2108</v>
      </c>
      <c r="E6" s="302" t="s">
        <v>695</v>
      </c>
      <c r="F6" s="303">
        <f ca="1">INDIRECT("'数据-取费表'!u"&amp;$G$1)</f>
        <v>4.8</v>
      </c>
      <c r="G6" s="1384"/>
      <c r="H6" s="1069" t="s">
        <v>398</v>
      </c>
      <c r="I6" s="3672" t="s">
        <v>693</v>
      </c>
      <c r="J6" s="301">
        <f ca="1">ROUND(M6*M8*M7*(1-M9)/10000,0)</f>
        <v>0</v>
      </c>
      <c r="K6" s="155" t="s">
        <v>2107</v>
      </c>
      <c r="L6" s="302" t="s">
        <v>695</v>
      </c>
      <c r="M6" s="303">
        <f ca="1">INDIRECT("'数据-取费表'!z"&amp;$G$1)</f>
        <v>0</v>
      </c>
    </row>
    <row r="7" spans="1:37" ht="18" customHeight="1">
      <c r="A7" s="1073"/>
      <c r="B7" s="3673"/>
      <c r="C7" s="1075"/>
      <c r="D7" s="307"/>
      <c r="E7" s="1076" t="s">
        <v>696</v>
      </c>
      <c r="F7" s="303">
        <f ca="1">IF(INDIRECT("'数据-取费表'!ah"&amp;$G$1)="",INDIRECT("'数据-取费表'!k"&amp;$G$1),INDIRECT("'数据-取费表'!ah"&amp;$G$1))</f>
        <v>114107.98000000001</v>
      </c>
      <c r="G7" s="1384"/>
      <c r="H7" s="304"/>
      <c r="I7" s="3673"/>
      <c r="J7" s="306"/>
      <c r="K7" s="307"/>
      <c r="L7" s="302" t="s">
        <v>696</v>
      </c>
      <c r="M7" s="303">
        <f ca="1">F7</f>
        <v>114107.98000000001</v>
      </c>
    </row>
    <row r="8" spans="1:37" ht="18" customHeight="1">
      <c r="A8" s="304"/>
      <c r="B8" s="3673"/>
      <c r="C8" s="306"/>
      <c r="D8" s="307"/>
      <c r="E8" s="302" t="s">
        <v>697</v>
      </c>
      <c r="F8" s="303">
        <f ca="1">INDIRECT("'数据-取费表'!ai"&amp;$G$1)</f>
        <v>365</v>
      </c>
      <c r="G8" s="1384"/>
      <c r="H8" s="304"/>
      <c r="I8" s="3673"/>
      <c r="J8" s="306"/>
      <c r="K8" s="307"/>
      <c r="L8" s="302" t="s">
        <v>697</v>
      </c>
      <c r="M8" s="303">
        <f ca="1">INDIRECT("'数据-取费表'!ai"&amp;$G$1)</f>
        <v>365</v>
      </c>
    </row>
    <row r="9" spans="1:37" ht="18" customHeight="1">
      <c r="A9" s="304"/>
      <c r="B9" s="3674"/>
      <c r="C9" s="306"/>
      <c r="D9" s="307"/>
      <c r="E9" s="302" t="s">
        <v>698</v>
      </c>
      <c r="F9" s="312">
        <f ca="1">INDIRECT("'数据-取费表'!w"&amp;$G$1)</f>
        <v>0.1</v>
      </c>
      <c r="G9" s="1384"/>
      <c r="H9" s="304"/>
      <c r="I9" s="3674"/>
      <c r="J9" s="306"/>
      <c r="K9" s="307"/>
      <c r="L9" s="313" t="s">
        <v>698</v>
      </c>
      <c r="M9" s="314">
        <f ca="1">INDIRECT("'数据-取费表'!ab"&amp;$G$1)</f>
        <v>0</v>
      </c>
    </row>
    <row r="10" spans="1:37" ht="18" customHeight="1">
      <c r="A10" s="1069" t="s">
        <v>402</v>
      </c>
      <c r="B10" s="1365" t="s">
        <v>699</v>
      </c>
      <c r="C10" s="316">
        <f ca="1">ROUND(IF(F10="押一",C6/12*F11,IF(F10="押二",C6/12*2*F11,IF(F10="押三",C6/12*3*F11,C11*F11))),0)</f>
        <v>22</v>
      </c>
      <c r="D10" s="1366" t="s">
        <v>2116</v>
      </c>
      <c r="E10" s="313" t="s">
        <v>700</v>
      </c>
      <c r="F10" s="1116" t="s">
        <v>3446</v>
      </c>
      <c r="G10" s="1384"/>
      <c r="H10" s="1069" t="s">
        <v>402</v>
      </c>
      <c r="I10" s="1365" t="s">
        <v>699</v>
      </c>
      <c r="J10" s="301">
        <f ca="1">ROUND(IF(M10="押一",J6/12*M11,IF(M10="押二",J6/12*2*M11,IF(M10="押三",J6/12*3*M11,J11*M11))),0)</f>
        <v>0</v>
      </c>
      <c r="K10" s="1366" t="s">
        <v>2115</v>
      </c>
      <c r="L10" s="313" t="s">
        <v>700</v>
      </c>
      <c r="M10" s="1116"/>
    </row>
    <row r="11" spans="1:37" ht="18" customHeight="1">
      <c r="A11" s="308"/>
      <c r="B11" s="1367" t="s">
        <v>678</v>
      </c>
      <c r="C11" s="959"/>
      <c r="D11" s="1368"/>
      <c r="E11" s="313" t="s">
        <v>701</v>
      </c>
      <c r="F11" s="314">
        <f ca="1">'数据-取费表'!B39</f>
        <v>1.4999999999999999E-2</v>
      </c>
      <c r="G11" s="1384"/>
      <c r="H11" s="1077"/>
      <c r="I11" s="1367" t="s">
        <v>678</v>
      </c>
      <c r="J11" s="959"/>
      <c r="K11" s="684"/>
      <c r="L11" s="313" t="s">
        <v>701</v>
      </c>
      <c r="M11" s="862">
        <f ca="1">'数据-取费表'!B39</f>
        <v>1.4999999999999999E-2</v>
      </c>
    </row>
    <row r="12" spans="1:37" ht="18" customHeight="1" thickBot="1">
      <c r="A12" s="1083" t="s">
        <v>437</v>
      </c>
      <c r="B12" s="1369" t="s">
        <v>702</v>
      </c>
      <c r="C12" s="1084"/>
      <c r="D12" s="1085"/>
      <c r="E12" s="1090"/>
      <c r="F12" s="1086"/>
      <c r="G12" s="1384"/>
      <c r="H12" s="1083" t="s">
        <v>437</v>
      </c>
      <c r="I12" s="1369" t="s">
        <v>702</v>
      </c>
      <c r="J12" s="1084"/>
      <c r="K12" s="1098"/>
      <c r="L12" s="1090"/>
      <c r="M12" s="1099"/>
    </row>
    <row r="13" spans="1:37" ht="18" customHeight="1" thickTop="1">
      <c r="A13" s="1079">
        <v>2</v>
      </c>
      <c r="B13" s="1080" t="s">
        <v>703</v>
      </c>
      <c r="C13" s="310">
        <f ca="1">ROUND(C29*F13,0)</f>
        <v>37363</v>
      </c>
      <c r="D13" s="1081" t="s">
        <v>704</v>
      </c>
      <c r="E13" s="1081" t="s">
        <v>705</v>
      </c>
      <c r="F13" s="1082">
        <f ca="1">INDIRECT("'数据-取费表'!y"&amp;$G$1)</f>
        <v>0.77</v>
      </c>
      <c r="G13" s="1384"/>
      <c r="H13" s="1079">
        <v>2</v>
      </c>
      <c r="I13" s="1080" t="s">
        <v>703</v>
      </c>
      <c r="J13" s="1068">
        <f ca="1">ROUND(J14*J15,0)</f>
        <v>0</v>
      </c>
      <c r="K13" s="1087" t="s">
        <v>704</v>
      </c>
      <c r="L13" s="1392"/>
      <c r="M13" s="1393"/>
    </row>
    <row r="14" spans="1:37" ht="18" customHeight="1">
      <c r="A14" s="982" t="s">
        <v>397</v>
      </c>
      <c r="B14" s="302" t="s">
        <v>706</v>
      </c>
      <c r="C14" s="318">
        <f ca="1">INDIRECT("'数据-取费表'!m"&amp;$G$1)+INDIRECT("'数据-取费表'!t"&amp;$G$1)</f>
        <v>31950</v>
      </c>
      <c r="D14" s="1345" t="s">
        <v>707</v>
      </c>
      <c r="E14" s="1342"/>
      <c r="F14" s="319"/>
      <c r="G14" s="1384"/>
      <c r="H14" s="982" t="s">
        <v>398</v>
      </c>
      <c r="I14" s="302" t="s">
        <v>708</v>
      </c>
      <c r="J14" s="21">
        <f ca="1">C29</f>
        <v>48523</v>
      </c>
      <c r="K14" s="12"/>
      <c r="L14" s="807"/>
      <c r="M14" s="808"/>
    </row>
    <row r="15" spans="1:37" s="1397" customFormat="1" ht="18" customHeight="1" thickBot="1">
      <c r="A15" s="982" t="s">
        <v>399</v>
      </c>
      <c r="B15" s="302" t="s">
        <v>709</v>
      </c>
      <c r="C15" s="21">
        <f ca="1">ROUND(C14*F15,0)</f>
        <v>959</v>
      </c>
      <c r="D15" s="320" t="s">
        <v>710</v>
      </c>
      <c r="E15" s="320" t="s">
        <v>711</v>
      </c>
      <c r="F15" s="321">
        <f>'数据-取费表'!B33</f>
        <v>0.03</v>
      </c>
      <c r="G15" s="1396"/>
      <c r="H15" s="1089" t="s">
        <v>402</v>
      </c>
      <c r="I15" s="1090" t="s">
        <v>705</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679</v>
      </c>
      <c r="B16" s="302" t="s">
        <v>712</v>
      </c>
      <c r="C16" s="21">
        <f ca="1">ROUND(INDIRECT("'数据-取费表'!m"&amp;$G$1)*F16,0)</f>
        <v>0</v>
      </c>
      <c r="D16" s="302" t="s">
        <v>710</v>
      </c>
      <c r="E16" s="302" t="s">
        <v>711</v>
      </c>
      <c r="F16" s="322">
        <f ca="1">IF(INDIRECT("'数据-取费表'!c"&amp;$G$1)="住宅",'数据-取费表'!B34,0)</f>
        <v>0</v>
      </c>
      <c r="G16" s="1384"/>
      <c r="H16" s="1079" t="s">
        <v>393</v>
      </c>
      <c r="I16" s="1080" t="s">
        <v>713</v>
      </c>
      <c r="J16" s="310">
        <f ca="1">ROUND(J17+J22+J23+J24,0)</f>
        <v>521</v>
      </c>
      <c r="K16" s="1087" t="s">
        <v>714</v>
      </c>
      <c r="L16" s="1088"/>
      <c r="M16" s="1072"/>
    </row>
    <row r="17" spans="1:37" s="1397" customFormat="1" ht="18" customHeight="1">
      <c r="A17" s="982" t="s">
        <v>680</v>
      </c>
      <c r="B17" s="302" t="s">
        <v>715</v>
      </c>
      <c r="C17" s="21">
        <f ca="1">ROUND(F17*(F43+INDIRECT("'数据-取费表'!S"&amp;$G$1))/10000,0)</f>
        <v>2282</v>
      </c>
      <c r="D17" s="302" t="s">
        <v>716</v>
      </c>
      <c r="E17" s="302" t="s">
        <v>717</v>
      </c>
      <c r="F17" s="23">
        <f>'数据-取费表'!B35</f>
        <v>200</v>
      </c>
      <c r="G17" s="1396"/>
      <c r="H17" s="982" t="s">
        <v>398</v>
      </c>
      <c r="I17" s="302" t="s">
        <v>718</v>
      </c>
      <c r="J17" s="2316">
        <f ca="1">ROUND(IF(AND(项目基本情况!B11="自然人",项目基本情况!B10="北京市"),J6*M17/(1+'数据-取费表'!C42),J18+J19+J20),2)</f>
        <v>35.53</v>
      </c>
      <c r="K17" s="1345" t="s">
        <v>719</v>
      </c>
      <c r="L17" s="1344" t="s">
        <v>720</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681</v>
      </c>
      <c r="B18" s="302" t="s">
        <v>721</v>
      </c>
      <c r="C18" s="21">
        <f ca="1">ROUND(C14*F18,0)</f>
        <v>479</v>
      </c>
      <c r="D18" s="302" t="s">
        <v>710</v>
      </c>
      <c r="E18" s="302" t="s">
        <v>711</v>
      </c>
      <c r="F18" s="322">
        <f>'数据-取费表'!B36</f>
        <v>1.4999999999999999E-2</v>
      </c>
      <c r="G18" s="1396"/>
      <c r="H18" s="982" t="s">
        <v>397</v>
      </c>
      <c r="I18" s="302" t="s">
        <v>722</v>
      </c>
      <c r="J18" s="21">
        <f ca="1">ROUND(J6*M18/(1+'数据-取费表'!C42),2)</f>
        <v>0</v>
      </c>
      <c r="K18" s="1344" t="s">
        <v>723</v>
      </c>
      <c r="L18" s="302" t="s">
        <v>711</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724</v>
      </c>
      <c r="C19" s="21">
        <f ca="1">SUM(C14:C18)</f>
        <v>35670</v>
      </c>
      <c r="D19" s="131" t="s">
        <v>725</v>
      </c>
      <c r="E19" s="1360"/>
      <c r="F19" s="23"/>
      <c r="G19" s="1384"/>
      <c r="H19" s="982" t="s">
        <v>399</v>
      </c>
      <c r="I19" s="302" t="s">
        <v>726</v>
      </c>
      <c r="J19" s="21">
        <f ca="1">IF(K19="按租金收入计税",ROUND(J6*M19/(1+'数据-取费表'!C42),2),ROUND(C29*M19*0.7,2))</f>
        <v>0</v>
      </c>
      <c r="K19" s="1370" t="s">
        <v>3342</v>
      </c>
      <c r="L19" s="302" t="s">
        <v>711</v>
      </c>
      <c r="M19" s="322">
        <f>IF(K19="按租金收入计税",'数据-取费表'!B51,'数据-取费表'!B50)</f>
        <v>0.12</v>
      </c>
    </row>
    <row r="20" spans="1:37" s="1397" customFormat="1" ht="18" customHeight="1">
      <c r="A20" s="982" t="s">
        <v>402</v>
      </c>
      <c r="B20" s="302" t="s">
        <v>727</v>
      </c>
      <c r="C20" s="21">
        <f ca="1">ROUND(C19*F20,0)</f>
        <v>713</v>
      </c>
      <c r="D20" s="323" t="s">
        <v>728</v>
      </c>
      <c r="E20" s="302" t="s">
        <v>711</v>
      </c>
      <c r="F20" s="322">
        <f>'数据-取费表'!B37</f>
        <v>0.02</v>
      </c>
      <c r="G20" s="1396"/>
      <c r="H20" s="982" t="s">
        <v>679</v>
      </c>
      <c r="I20" s="155" t="s">
        <v>729</v>
      </c>
      <c r="J20" s="22">
        <f ca="1">ROUND(M20*M21/10000,2)</f>
        <v>35.53</v>
      </c>
      <c r="K20" s="324" t="s">
        <v>730</v>
      </c>
      <c r="L20" s="302" t="s">
        <v>731</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732</v>
      </c>
      <c r="C21" s="21" t="s">
        <v>15</v>
      </c>
      <c r="D21" s="323" t="s">
        <v>733</v>
      </c>
      <c r="E21" s="302" t="s">
        <v>734</v>
      </c>
      <c r="F21" s="322">
        <f>'数据-取费表'!B38</f>
        <v>0.02</v>
      </c>
      <c r="G21" s="1396"/>
      <c r="H21" s="326"/>
      <c r="I21" s="311"/>
      <c r="J21" s="26"/>
      <c r="K21" s="327"/>
      <c r="L21" s="302" t="s">
        <v>735</v>
      </c>
      <c r="M21" s="303">
        <f ca="1">INDIRECT("'数据-取费表'!r"&amp;$G$1)</f>
        <v>236852.67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682</v>
      </c>
      <c r="B22" s="302" t="s">
        <v>736</v>
      </c>
      <c r="C22" s="21"/>
      <c r="D22" s="131" t="str">
        <f>IF(F23&lt;=1,"单利计息。","复利计息。")&amp;"建造成本、管理费用、销售费用产生的利息。"</f>
        <v>复利计息。建造成本、管理费用、销售费用产生的利息。</v>
      </c>
      <c r="E22" s="1360"/>
      <c r="F22" s="23"/>
      <c r="G22" s="1384"/>
      <c r="H22" s="982" t="s">
        <v>402</v>
      </c>
      <c r="I22" s="302" t="s">
        <v>737</v>
      </c>
      <c r="J22" s="21">
        <f ca="1">ROUND(J14*M22,2)</f>
        <v>485.23</v>
      </c>
      <c r="K22" s="1344" t="s">
        <v>738</v>
      </c>
      <c r="L22" s="302" t="s">
        <v>711</v>
      </c>
      <c r="M22" s="328">
        <f ca="1">INDIRECT("'数据-取费表'!Ak"&amp;$G$1)</f>
        <v>0.01</v>
      </c>
    </row>
    <row r="23" spans="1:37" s="1397" customFormat="1" ht="18" customHeight="1">
      <c r="A23" s="982" t="s">
        <v>397</v>
      </c>
      <c r="B23" s="302" t="s">
        <v>739</v>
      </c>
      <c r="C23" s="21">
        <f ca="1">IF('数据-取费表'!B22&lt;=1,ROUND(C19*F24*F23/2,0)+ROUND(C20*F24*F23/2,0),ROUND(C19*(POWER((1+F24),F23/2)-1),0)+ROUND(C20*(POWER((1+F24),F23/2)-1),0))</f>
        <v>1127</v>
      </c>
      <c r="D23" s="329" t="str">
        <f>IF(F23&lt;=1,"(建造成本+管理费用)×利率×(建设周期÷2)","(建造成本+管理费用)×((1+利率)^(建设周期÷2)-1)")</f>
        <v>(建造成本+管理费用)×((1+利率)^(建设周期÷2)-1)</v>
      </c>
      <c r="E23" s="302" t="s">
        <v>740</v>
      </c>
      <c r="F23" s="325">
        <f>'数据-取费表'!B20</f>
        <v>1.5</v>
      </c>
      <c r="G23" s="1396"/>
      <c r="H23" s="982" t="s">
        <v>437</v>
      </c>
      <c r="I23" s="302" t="s">
        <v>741</v>
      </c>
      <c r="J23" s="21">
        <f ca="1">ROUND(J13*M23,2)</f>
        <v>0</v>
      </c>
      <c r="K23" s="1344" t="s">
        <v>742</v>
      </c>
      <c r="L23" s="302" t="s">
        <v>743</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744</v>
      </c>
      <c r="B24" s="302" t="s">
        <v>745</v>
      </c>
      <c r="C24" s="21">
        <f ca="1">ROUND(IF('数据-取费表'!B22&lt;=1,F21*F24*F23/2,F21*(POWER((1+F24),F23/2)-1)),4)</f>
        <v>5.9999999999999995E-4</v>
      </c>
      <c r="D24" s="329" t="str">
        <f>IF(F23&lt;=1,"销售费用×利率×(建设周期÷2)","销售费用×((1+利率)^(建设周期÷2)-1)")</f>
        <v>销售费用×((1+利率)^(建设周期÷2)-1)</v>
      </c>
      <c r="E24" s="302" t="s">
        <v>746</v>
      </c>
      <c r="F24" s="331">
        <f ca="1">'数据-取费表'!B40</f>
        <v>4.1499999999999995E-2</v>
      </c>
      <c r="G24" s="1396"/>
      <c r="H24" s="1089" t="s">
        <v>683</v>
      </c>
      <c r="I24" s="1090" t="s">
        <v>727</v>
      </c>
      <c r="J24" s="1091">
        <f ca="1">ROUND(J5*M24,2)</f>
        <v>0</v>
      </c>
      <c r="K24" s="1092" t="s">
        <v>747</v>
      </c>
      <c r="L24" s="1090" t="s">
        <v>743</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748</v>
      </c>
      <c r="B25" s="302" t="s">
        <v>749</v>
      </c>
      <c r="C25" s="21"/>
      <c r="D25" s="131" t="s">
        <v>750</v>
      </c>
      <c r="E25" s="1360"/>
      <c r="F25" s="23"/>
      <c r="G25" s="1384"/>
      <c r="H25" s="1079" t="s">
        <v>394</v>
      </c>
      <c r="I25" s="1094" t="s">
        <v>751</v>
      </c>
      <c r="J25" s="310">
        <f ca="1">J5-J16</f>
        <v>-521</v>
      </c>
      <c r="K25" s="1095" t="s">
        <v>752</v>
      </c>
      <c r="L25" s="1096"/>
      <c r="M25" s="1097"/>
    </row>
    <row r="26" spans="1:37">
      <c r="A26" s="982" t="s">
        <v>397</v>
      </c>
      <c r="B26" s="302" t="s">
        <v>753</v>
      </c>
      <c r="C26" s="21">
        <f ca="1">ROUND((C19+C20)*F26,0)</f>
        <v>7277</v>
      </c>
      <c r="D26" s="323" t="s">
        <v>754</v>
      </c>
      <c r="E26" s="313" t="s">
        <v>755</v>
      </c>
      <c r="F26" s="312">
        <f ca="1">INDIRECT("'数据-取费表'!q"&amp;$G$1)</f>
        <v>0.2</v>
      </c>
      <c r="G26" s="1384"/>
      <c r="H26" s="299" t="s">
        <v>395</v>
      </c>
      <c r="I26" s="300" t="s">
        <v>756</v>
      </c>
      <c r="J26" s="301">
        <f ca="1">IF(J5&lt;&gt;0,ROUND(J25*(1-((1+M28)/(1+M26))^M27)/(M26-M28),0),0)</f>
        <v>0</v>
      </c>
      <c r="K26" s="324" t="s">
        <v>757</v>
      </c>
      <c r="L26" s="302" t="s">
        <v>758</v>
      </c>
      <c r="M26" s="312">
        <f ca="1">INDIRECT("'数据-取费表'!I"&amp;$G$1)</f>
        <v>5.5E-2</v>
      </c>
    </row>
    <row r="27" spans="1:37" ht="18" customHeight="1">
      <c r="A27" s="982" t="s">
        <v>399</v>
      </c>
      <c r="B27" s="302" t="s">
        <v>759</v>
      </c>
      <c r="C27" s="21">
        <f ca="1">ROUND(F21*F26,4)</f>
        <v>4.0000000000000001E-3</v>
      </c>
      <c r="D27" s="323" t="s">
        <v>760</v>
      </c>
      <c r="E27" s="320"/>
      <c r="F27" s="321"/>
      <c r="G27" s="1384"/>
      <c r="H27" s="304"/>
      <c r="I27" s="305"/>
      <c r="J27" s="306"/>
      <c r="K27" s="332" t="s">
        <v>761</v>
      </c>
      <c r="L27" s="302" t="s">
        <v>762</v>
      </c>
      <c r="M27" s="333">
        <f ca="1">INDIRECT("'数据-取费表'!ag"&amp;$G$1)</f>
        <v>0</v>
      </c>
    </row>
    <row r="28" spans="1:37" s="1397" customFormat="1" ht="18" customHeight="1">
      <c r="A28" s="982" t="s">
        <v>400</v>
      </c>
      <c r="B28" s="302" t="s">
        <v>763</v>
      </c>
      <c r="C28" s="21">
        <f>ROUND(F28/(1+'数据-取费表'!C42),4)</f>
        <v>5.2400000000000002E-2</v>
      </c>
      <c r="D28" s="323" t="s">
        <v>764</v>
      </c>
      <c r="E28" s="302" t="s">
        <v>711</v>
      </c>
      <c r="F28" s="322">
        <f>'数据-取费表'!B41</f>
        <v>5.5000000000000007E-2</v>
      </c>
      <c r="G28" s="1396"/>
      <c r="H28" s="308"/>
      <c r="I28" s="309"/>
      <c r="J28" s="310"/>
      <c r="K28" s="327"/>
      <c r="L28" s="302" t="s">
        <v>765</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766</v>
      </c>
      <c r="C29" s="1091">
        <f ca="1">ROUND((C19+C20+C23+C26)/(1-F21-C24-C27-C28),0)</f>
        <v>48523</v>
      </c>
      <c r="D29" s="1092"/>
      <c r="E29" s="1090"/>
      <c r="F29" s="1093"/>
      <c r="G29" s="1396"/>
      <c r="H29" s="334" t="s">
        <v>396</v>
      </c>
      <c r="I29" s="335" t="s">
        <v>767</v>
      </c>
      <c r="J29" s="336">
        <f ca="1">ROUND(J26/(1+F40)^F41,0)</f>
        <v>0</v>
      </c>
      <c r="K29" s="337" t="s">
        <v>768</v>
      </c>
      <c r="L29" s="338"/>
      <c r="M29" s="339">
        <f ca="1">INDIRECT("'数据-取费表'!k"&amp;$G$1)</f>
        <v>114107.98000000001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713</v>
      </c>
      <c r="C30" s="310">
        <f ca="1">ROUND(C31+C36+C37+C38,0)</f>
        <v>3917</v>
      </c>
      <c r="D30" s="1087" t="s">
        <v>714</v>
      </c>
      <c r="E30" s="1088"/>
      <c r="F30" s="1072"/>
      <c r="G30" s="1384"/>
      <c r="H30" s="2696"/>
      <c r="I30" s="1398"/>
      <c r="J30" s="1399"/>
      <c r="K30" s="2474"/>
      <c r="L30" s="2697"/>
      <c r="M30" s="2698"/>
    </row>
    <row r="31" spans="1:37" ht="18" customHeight="1">
      <c r="A31" s="982" t="s">
        <v>398</v>
      </c>
      <c r="B31" s="302" t="s">
        <v>718</v>
      </c>
      <c r="C31" s="2316">
        <f ca="1">ROUND(IF(AND(项目基本情况!B11="自然人",项目基本情况!B10="北京市"),C6*F31/(1+'数据-取费表'!C42),C32+C33+C34),2)</f>
        <v>3034.36</v>
      </c>
      <c r="D31" s="1345" t="s">
        <v>719</v>
      </c>
      <c r="E31" s="1344" t="s">
        <v>769</v>
      </c>
      <c r="F31" s="2315"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722</v>
      </c>
      <c r="C32" s="21">
        <f ca="1">IF(项目基本情况!B11="自然人","——",ROUND(C6*F32/(1+'数据-取费表'!C42),2))</f>
        <v>942.49</v>
      </c>
      <c r="D32" s="1344" t="s">
        <v>723</v>
      </c>
      <c r="E32" s="302" t="s">
        <v>711</v>
      </c>
      <c r="F32" s="331">
        <f>'数据-取费表'!B41</f>
        <v>5.5000000000000007E-2</v>
      </c>
      <c r="G32" s="1384"/>
      <c r="H32" s="2696"/>
      <c r="I32" s="1398"/>
      <c r="J32" s="1399"/>
      <c r="K32" s="2474"/>
      <c r="L32" s="2697"/>
      <c r="M32" s="2698"/>
    </row>
    <row r="33" spans="1:18" ht="18" customHeight="1">
      <c r="A33" s="982" t="s">
        <v>399</v>
      </c>
      <c r="B33" s="302" t="s">
        <v>726</v>
      </c>
      <c r="C33" s="21">
        <f ca="1">IF(项目基本情况!B11="自然人","——",IF(D33="按租金收入计税",ROUND(C6*F33/(1+'数据-取费表'!C42),2),IF(D33="按房产原值计税",ROUND(C29*F33*0.7,2),INDIRECT("'数据-取费表'!Aj"&amp;$G$1))))</f>
        <v>2056.34</v>
      </c>
      <c r="D33" s="1370" t="s">
        <v>3342</v>
      </c>
      <c r="E33" s="302" t="s">
        <v>711</v>
      </c>
      <c r="F33" s="322">
        <f>IF(D33="按票据","——",IF(D33="按租金收入计税",'数据-取费表'!B51,'数据-取费表'!B50))</f>
        <v>0.12</v>
      </c>
      <c r="G33" s="1384"/>
      <c r="H33" s="2699"/>
      <c r="I33" s="1398"/>
      <c r="J33" s="1399"/>
      <c r="K33" s="2700"/>
      <c r="L33" s="2699"/>
      <c r="M33" s="2699"/>
    </row>
    <row r="34" spans="1:18" ht="18" customHeight="1">
      <c r="A34" s="1069" t="s">
        <v>679</v>
      </c>
      <c r="B34" s="155" t="s">
        <v>729</v>
      </c>
      <c r="C34" s="22">
        <f ca="1">IF(项目基本情况!B11="自然人","——",ROUND(F34*F35/10000,2))</f>
        <v>35.53</v>
      </c>
      <c r="D34" s="324" t="s">
        <v>730</v>
      </c>
      <c r="E34" s="302" t="s">
        <v>731</v>
      </c>
      <c r="F34" s="325">
        <f>'数据-取费表'!B52</f>
        <v>1.5</v>
      </c>
      <c r="G34" s="1384"/>
      <c r="H34" s="2696"/>
      <c r="I34" s="1398"/>
      <c r="J34" s="1399"/>
      <c r="K34" s="2701"/>
      <c r="L34" s="2702"/>
      <c r="M34" s="2702"/>
    </row>
    <row r="35" spans="1:18" ht="18" customHeight="1">
      <c r="A35" s="1103"/>
      <c r="B35" s="1101"/>
      <c r="C35" s="26"/>
      <c r="D35" s="327"/>
      <c r="E35" s="302" t="s">
        <v>735</v>
      </c>
      <c r="F35" s="303">
        <f ca="1">INDIRECT("'数据-取费表'!r"&amp;$G$1)</f>
        <v>236852.67</v>
      </c>
      <c r="G35" s="1384"/>
      <c r="H35" s="2696"/>
      <c r="I35" s="1398"/>
      <c r="J35" s="1399"/>
      <c r="K35" s="2700"/>
      <c r="L35" s="2699"/>
      <c r="M35" s="2699"/>
    </row>
    <row r="36" spans="1:18" ht="18" customHeight="1">
      <c r="A36" s="1102" t="s">
        <v>402</v>
      </c>
      <c r="B36" s="302" t="s">
        <v>737</v>
      </c>
      <c r="C36" s="21">
        <f ca="1">ROUND(C29*F36,2)</f>
        <v>485.23</v>
      </c>
      <c r="D36" s="1344" t="s">
        <v>770</v>
      </c>
      <c r="E36" s="302" t="s">
        <v>711</v>
      </c>
      <c r="F36" s="328">
        <f ca="1">INDIRECT("'数据-取费表'!Ak"&amp;$G$1)</f>
        <v>0.01</v>
      </c>
      <c r="G36" s="1384"/>
      <c r="H36" s="2699"/>
      <c r="I36" s="1398"/>
      <c r="J36" s="1399"/>
      <c r="K36" s="2543"/>
      <c r="L36" s="2699"/>
      <c r="M36" s="2699"/>
    </row>
    <row r="37" spans="1:18" ht="18" customHeight="1">
      <c r="A37" s="982" t="s">
        <v>437</v>
      </c>
      <c r="B37" s="302" t="s">
        <v>741</v>
      </c>
      <c r="C37" s="21">
        <f ca="1">ROUND(C13*F37,2)</f>
        <v>37.36</v>
      </c>
      <c r="D37" s="1344" t="s">
        <v>742</v>
      </c>
      <c r="E37" s="302" t="s">
        <v>743</v>
      </c>
      <c r="F37" s="330">
        <f ca="1">INDIRECT("'数据-取费表'!Al"&amp;$G$1)</f>
        <v>1E-3</v>
      </c>
      <c r="G37" s="1384"/>
      <c r="H37" s="2699"/>
      <c r="I37" s="1398"/>
      <c r="J37" s="1399"/>
      <c r="K37" s="2543"/>
      <c r="L37" s="2699"/>
      <c r="M37" s="2699"/>
    </row>
    <row r="38" spans="1:18" ht="18" customHeight="1" thickBot="1">
      <c r="A38" s="1089" t="s">
        <v>683</v>
      </c>
      <c r="B38" s="1090" t="s">
        <v>727</v>
      </c>
      <c r="C38" s="1091">
        <f ca="1">ROUND(C5*F38,2)</f>
        <v>360.3</v>
      </c>
      <c r="D38" s="1092" t="s">
        <v>747</v>
      </c>
      <c r="E38" s="1090" t="s">
        <v>743</v>
      </c>
      <c r="F38" s="1086">
        <f ca="1">INDIRECT("'数据-取费表'!Am"&amp;$G$1)</f>
        <v>0.02</v>
      </c>
      <c r="G38" s="1384"/>
      <c r="H38" s="2699"/>
      <c r="I38" s="1398"/>
      <c r="J38" s="1399"/>
      <c r="K38" s="2703"/>
      <c r="L38" s="2699"/>
      <c r="M38" s="2699"/>
    </row>
    <row r="39" spans="1:18" ht="24.6" customHeight="1" thickTop="1">
      <c r="A39" s="1079" t="s">
        <v>394</v>
      </c>
      <c r="B39" s="1094" t="s">
        <v>771</v>
      </c>
      <c r="C39" s="310">
        <f ca="1">C5-C30</f>
        <v>14098</v>
      </c>
      <c r="D39" s="1095" t="s">
        <v>772</v>
      </c>
      <c r="E39" s="1096"/>
      <c r="F39" s="1097"/>
      <c r="G39" s="1384"/>
      <c r="H39" s="2699"/>
      <c r="I39" s="1398"/>
      <c r="J39" s="1399"/>
      <c r="K39" s="2703"/>
      <c r="L39" s="2699"/>
      <c r="M39" s="2699"/>
    </row>
    <row r="40" spans="1:18" ht="18" customHeight="1">
      <c r="A40" s="299" t="s">
        <v>395</v>
      </c>
      <c r="B40" s="300" t="s">
        <v>773</v>
      </c>
      <c r="C40" s="301">
        <f ca="1">ROUND(C39*(1-((1+F42)/(1+F40))^F41)/(F40-F42),0)</f>
        <v>290426</v>
      </c>
      <c r="D40" s="324" t="s">
        <v>757</v>
      </c>
      <c r="E40" s="302" t="s">
        <v>758</v>
      </c>
      <c r="F40" s="312">
        <f ca="1">INDIRECT("'数据-取费表'!I"&amp;$G$1)</f>
        <v>5.5E-2</v>
      </c>
      <c r="G40" s="1384"/>
      <c r="H40" s="1461"/>
      <c r="I40" s="1398"/>
      <c r="J40" s="1399"/>
      <c r="K40" s="2703"/>
      <c r="L40" s="1461"/>
      <c r="M40" s="1461"/>
    </row>
    <row r="41" spans="1:18" ht="18" customHeight="1">
      <c r="A41" s="304"/>
      <c r="B41" s="305"/>
      <c r="C41" s="306"/>
      <c r="D41" s="332" t="s">
        <v>774</v>
      </c>
      <c r="E41" s="302" t="s">
        <v>762</v>
      </c>
      <c r="F41" s="333">
        <f ca="1">IF(INDIRECT("'数据-取费表'!af"&amp;$G$1)=0,INDIRECT("'数据-取费表'!ae"&amp;$G$1),INDIRECT("'数据-取费表'!af"&amp;$G$1))</f>
        <v>33.36</v>
      </c>
      <c r="G41" s="1384"/>
      <c r="H41" s="1191"/>
      <c r="I41" s="1398"/>
      <c r="J41" s="1399"/>
      <c r="K41" s="2543"/>
      <c r="L41" s="1191"/>
      <c r="M41" s="1191"/>
    </row>
    <row r="42" spans="1:18" ht="18" customHeight="1">
      <c r="A42" s="308"/>
      <c r="B42" s="309"/>
      <c r="C42" s="310"/>
      <c r="D42" s="327"/>
      <c r="E42" s="302" t="s">
        <v>765</v>
      </c>
      <c r="F42" s="312">
        <f ca="1">INDIRECT("'数据-取费表'!v"&amp;$G$1)</f>
        <v>2.5000000000000001E-2</v>
      </c>
      <c r="G42" s="1384"/>
      <c r="H42" s="1191"/>
      <c r="I42" s="1398"/>
      <c r="J42" s="1399"/>
      <c r="K42" s="2543"/>
      <c r="L42" s="1191"/>
      <c r="M42" s="1191"/>
    </row>
    <row r="43" spans="1:18" ht="18" customHeight="1" thickBot="1">
      <c r="A43" s="334" t="s">
        <v>396</v>
      </c>
      <c r="B43" s="335" t="s">
        <v>775</v>
      </c>
      <c r="C43" s="336">
        <f ca="1">ROUND(C40*10000/F43,0)</f>
        <v>25452</v>
      </c>
      <c r="D43" s="337" t="s">
        <v>776</v>
      </c>
      <c r="E43" s="338" t="s">
        <v>777</v>
      </c>
      <c r="F43" s="339">
        <f ca="1">INDIRECT("'数据-取费表'!k"&amp;$G$1)</f>
        <v>114107.98000000001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807</v>
      </c>
      <c r="P45" s="1461"/>
      <c r="Q45" s="1461"/>
      <c r="R45" s="1461"/>
    </row>
    <row r="46" spans="1:18" s="1384" customFormat="1" ht="13.5" thickBot="1">
      <c r="A46" s="1404" t="s">
        <v>808</v>
      </c>
      <c r="C46" s="1405">
        <f ca="1">C68-C40</f>
        <v>-298886</v>
      </c>
      <c r="D46" s="1406" t="str">
        <f>C2</f>
        <v>万元</v>
      </c>
      <c r="E46" s="1400"/>
      <c r="F46" s="1400"/>
      <c r="I46" s="1407" t="s">
        <v>809</v>
      </c>
      <c r="J46" s="1408"/>
      <c r="K46" s="1409"/>
      <c r="L46" s="1410">
        <f ca="1">IF(M47="住宅",0,IF(L48&gt;J51,L60,J60))</f>
        <v>1489</v>
      </c>
      <c r="O46" s="1411" t="s">
        <v>810</v>
      </c>
      <c r="P46" s="1412" t="s">
        <v>811</v>
      </c>
      <c r="Q46" s="1413" t="s">
        <v>812</v>
      </c>
      <c r="R46" s="1413" t="s">
        <v>813</v>
      </c>
    </row>
    <row r="47" spans="1:18" s="1384" customFormat="1" ht="13.5" thickBot="1">
      <c r="A47" s="946" t="s">
        <v>686</v>
      </c>
      <c r="B47" s="978" t="s">
        <v>687</v>
      </c>
      <c r="C47" s="1117" t="s">
        <v>688</v>
      </c>
      <c r="D47" s="978" t="s">
        <v>689</v>
      </c>
      <c r="E47" s="1058" t="s">
        <v>690</v>
      </c>
      <c r="F47" s="1059"/>
      <c r="G47" s="722"/>
      <c r="I47" s="1414" t="s">
        <v>814</v>
      </c>
      <c r="J47" s="1415" t="s">
        <v>3447</v>
      </c>
      <c r="K47" s="1416" t="s">
        <v>815</v>
      </c>
      <c r="L47" s="1417">
        <f ca="1">INDIRECT("'数据-取费表'!d"&amp;$G$1)</f>
        <v>50</v>
      </c>
      <c r="M47" s="1380" t="str">
        <f>IF(ISNUMBER(FIND("住宅",C1)),"住宅","非住宅")</f>
        <v>非住宅</v>
      </c>
      <c r="O47" s="1418" t="s">
        <v>403</v>
      </c>
      <c r="P47" s="1419" t="s">
        <v>816</v>
      </c>
      <c r="Q47" s="1420">
        <f ca="1">C40+J29</f>
        <v>290426</v>
      </c>
      <c r="R47" s="1420" t="s">
        <v>817</v>
      </c>
    </row>
    <row r="48" spans="1:18" s="1384" customFormat="1" ht="28.5" thickBot="1">
      <c r="A48" s="1110" t="s">
        <v>438</v>
      </c>
      <c r="B48" s="300" t="s">
        <v>691</v>
      </c>
      <c r="C48" s="1359">
        <f ca="1">C49+C53+C55</f>
        <v>0</v>
      </c>
      <c r="D48" s="1112"/>
      <c r="E48" s="1113"/>
      <c r="F48" s="962"/>
      <c r="G48" s="722"/>
      <c r="H48" s="723"/>
      <c r="I48" s="1421" t="s">
        <v>818</v>
      </c>
      <c r="J48" s="1422" t="s">
        <v>3448</v>
      </c>
      <c r="K48" s="1423" t="s">
        <v>819</v>
      </c>
      <c r="L48" s="1424">
        <f ca="1">INDIRECT("'数据-取费表'!f"&amp;$G$1)</f>
        <v>33.36</v>
      </c>
      <c r="O48" s="1418" t="s">
        <v>404</v>
      </c>
      <c r="P48" s="1419" t="s">
        <v>820</v>
      </c>
      <c r="Q48" s="1420">
        <f ca="1">J60</f>
        <v>1489</v>
      </c>
      <c r="R48" s="1420" t="s">
        <v>821</v>
      </c>
    </row>
    <row r="49" spans="1:18" s="1384" customFormat="1" ht="13.5" thickBot="1">
      <c r="A49" s="975" t="s">
        <v>439</v>
      </c>
      <c r="B49" s="1371" t="s">
        <v>778</v>
      </c>
      <c r="C49" s="1114">
        <f ca="1">ROUND(F49*F51*F50*(1-F52)/10000,0)</f>
        <v>0</v>
      </c>
      <c r="D49" s="1055" t="s">
        <v>2109</v>
      </c>
      <c r="E49" s="1372" t="s">
        <v>779</v>
      </c>
      <c r="F49" s="1060"/>
      <c r="G49" s="1425"/>
      <c r="H49" s="723"/>
      <c r="I49" s="1421" t="s">
        <v>822</v>
      </c>
      <c r="J49" s="1426">
        <v>2009</v>
      </c>
      <c r="K49" s="1423" t="s">
        <v>823</v>
      </c>
      <c r="L49" s="1427"/>
      <c r="O49" s="1428" t="s">
        <v>405</v>
      </c>
      <c r="P49" s="1419" t="s">
        <v>824</v>
      </c>
      <c r="Q49" s="1420">
        <f ca="1">C29</f>
        <v>48523</v>
      </c>
      <c r="R49" s="1420" t="s">
        <v>817</v>
      </c>
    </row>
    <row r="50" spans="1:18" s="1384" customFormat="1" ht="13.5" thickBot="1">
      <c r="A50" s="976"/>
      <c r="B50" s="979"/>
      <c r="C50" s="1118"/>
      <c r="D50" s="953"/>
      <c r="E50" s="1056" t="s">
        <v>696</v>
      </c>
      <c r="F50" s="1057">
        <f ca="1">F7</f>
        <v>114107.98000000001</v>
      </c>
      <c r="H50" s="723"/>
      <c r="I50" s="1421" t="s">
        <v>825</v>
      </c>
      <c r="J50" s="1429">
        <f>SUMPRODUCT((I63:I65=J47)*(J62:L62=J48)*(J63:L65))</f>
        <v>60</v>
      </c>
      <c r="K50" s="1423" t="s">
        <v>826</v>
      </c>
      <c r="L50" s="1427"/>
      <c r="M50" s="1430"/>
      <c r="O50" s="1428" t="s">
        <v>406</v>
      </c>
      <c r="P50" s="1419" t="s">
        <v>827</v>
      </c>
      <c r="Q50" s="1431">
        <f ca="1">J58</f>
        <v>0.4</v>
      </c>
      <c r="R50" s="1420"/>
    </row>
    <row r="51" spans="1:18" s="1384" customFormat="1" ht="13.5" thickBot="1">
      <c r="A51" s="977"/>
      <c r="B51" s="979"/>
      <c r="C51" s="980"/>
      <c r="D51" s="953"/>
      <c r="E51" s="981" t="s">
        <v>697</v>
      </c>
      <c r="F51" s="303">
        <f ca="1">F8</f>
        <v>365</v>
      </c>
      <c r="I51" s="1432" t="s">
        <v>828</v>
      </c>
      <c r="J51" s="1433">
        <f>IF(J49="",J50,J49+J50-YEAR('数据-取费表'!B2))</f>
        <v>46</v>
      </c>
      <c r="K51" s="1434" t="s">
        <v>829</v>
      </c>
      <c r="L51" s="1435">
        <f ca="1">ROUND(-PV(INDIRECT("'数据-取费表'!h"&amp;$G$1),J51,(C39-C13*C76),0),0)</f>
        <v>201969</v>
      </c>
      <c r="M51" s="1436"/>
      <c r="O51" s="1428" t="s">
        <v>407</v>
      </c>
      <c r="P51" s="1419" t="s">
        <v>830</v>
      </c>
      <c r="Q51" s="1431">
        <f>J52</f>
        <v>0.08</v>
      </c>
      <c r="R51" s="1420"/>
    </row>
    <row r="52" spans="1:18" s="1384" customFormat="1" ht="13.5" thickBot="1">
      <c r="A52" s="977"/>
      <c r="B52" s="979"/>
      <c r="C52" s="980"/>
      <c r="D52" s="953"/>
      <c r="E52" s="981" t="s">
        <v>698</v>
      </c>
      <c r="F52" s="1054"/>
      <c r="I52" s="1437" t="s">
        <v>831</v>
      </c>
      <c r="J52" s="1438">
        <v>0.08</v>
      </c>
      <c r="K52" s="1437" t="s">
        <v>832</v>
      </c>
      <c r="L52" s="1438"/>
      <c r="O52" s="1428" t="s">
        <v>408</v>
      </c>
      <c r="P52" s="1419" t="s">
        <v>833</v>
      </c>
      <c r="Q52" s="1420">
        <f ca="1">J53</f>
        <v>33.36</v>
      </c>
      <c r="R52" s="1420" t="s">
        <v>834</v>
      </c>
    </row>
    <row r="53" spans="1:18" s="1384" customFormat="1" ht="24.75" thickBot="1">
      <c r="A53" s="1152" t="s">
        <v>440</v>
      </c>
      <c r="B53" s="1373" t="s">
        <v>699</v>
      </c>
      <c r="C53" s="316">
        <f ca="1">ROUND(IF(F53="押一",C49/12*F11,IF(F53="押二",C49/12*2*F11,IF(F53="押三",C49/12*3*F11,C54*F11))),0)</f>
        <v>0</v>
      </c>
      <c r="D53" s="1366" t="s">
        <v>2115</v>
      </c>
      <c r="E53" s="313" t="s">
        <v>700</v>
      </c>
      <c r="F53" s="1116"/>
      <c r="I53" s="1439" t="s">
        <v>835</v>
      </c>
      <c r="J53" s="2168">
        <f ca="1">IF(M47="住宅",IF(D1="——",MAX(J51,L48),MAX(J51,L48-'数据-取费表'!B24)),IF(D1="——",MIN(J51,L48),MIN(J51,L48-'数据-取费表'!B24)))</f>
        <v>33.36</v>
      </c>
      <c r="K53" s="3670" t="s">
        <v>836</v>
      </c>
      <c r="L53" s="3671"/>
      <c r="O53" s="1418" t="s">
        <v>409</v>
      </c>
      <c r="P53" s="1419" t="s">
        <v>837</v>
      </c>
      <c r="Q53" s="1420">
        <f ca="1">Q47+Q48</f>
        <v>291915</v>
      </c>
      <c r="R53" s="1420" t="s">
        <v>410</v>
      </c>
    </row>
    <row r="54" spans="1:18" s="1384" customFormat="1" ht="13.5" thickBot="1">
      <c r="A54" s="1153"/>
      <c r="B54" s="1367" t="s">
        <v>678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838</v>
      </c>
      <c r="P54" s="1381"/>
      <c r="Q54" s="1381"/>
      <c r="R54" s="1381"/>
    </row>
    <row r="55" spans="1:18" s="1384" customFormat="1" ht="13.5" thickBot="1">
      <c r="A55" s="1083" t="s">
        <v>437</v>
      </c>
      <c r="B55" s="1369" t="s">
        <v>702</v>
      </c>
      <c r="C55" s="1084"/>
      <c r="D55" s="1366"/>
      <c r="E55" s="1374"/>
      <c r="F55" s="1440"/>
      <c r="I55" s="1443" t="s">
        <v>839</v>
      </c>
      <c r="J55" s="1444">
        <f ca="1">ROUND(IF(J47="钢混",J57/J50,1-(1-2%)*(J50-J57)/J50),3)</f>
        <v>0.21099999999999999</v>
      </c>
      <c r="K55" s="1445" t="s">
        <v>840</v>
      </c>
      <c r="L55" s="1446"/>
      <c r="O55" s="1411" t="s">
        <v>810</v>
      </c>
      <c r="P55" s="1412" t="s">
        <v>811</v>
      </c>
      <c r="Q55" s="1413" t="s">
        <v>812</v>
      </c>
      <c r="R55" s="1413" t="s">
        <v>813</v>
      </c>
    </row>
    <row r="56" spans="1:18" s="1384" customFormat="1" ht="25.5" thickTop="1" thickBot="1">
      <c r="A56" s="957">
        <v>2</v>
      </c>
      <c r="B56" s="958" t="s">
        <v>703</v>
      </c>
      <c r="C56" s="232">
        <f ca="1">C13</f>
        <v>37363</v>
      </c>
      <c r="D56" s="1447"/>
      <c r="E56" s="1448"/>
      <c r="F56" s="1440"/>
      <c r="I56" s="1449" t="s">
        <v>841</v>
      </c>
      <c r="J56" s="1450" t="s">
        <v>3449</v>
      </c>
      <c r="K56" s="1421" t="s">
        <v>842</v>
      </c>
      <c r="L56" s="1424" t="str">
        <f ca="1">IF(L48&lt;J51,"——",L48-J53)</f>
        <v>——</v>
      </c>
      <c r="O56" s="1418" t="s">
        <v>403</v>
      </c>
      <c r="P56" s="1419" t="s">
        <v>816</v>
      </c>
      <c r="Q56" s="1420">
        <f ca="1">C40+J29</f>
        <v>290426</v>
      </c>
      <c r="R56" s="1420" t="s">
        <v>817</v>
      </c>
    </row>
    <row r="57" spans="1:18" s="1384" customFormat="1" ht="24.75" thickBot="1">
      <c r="A57" s="1451"/>
      <c r="B57" s="950" t="s">
        <v>766</v>
      </c>
      <c r="C57" s="238">
        <f ca="1">C29</f>
        <v>48523</v>
      </c>
      <c r="D57" s="1452"/>
      <c r="E57" s="1453"/>
      <c r="F57" s="1454"/>
      <c r="I57" s="1455" t="s">
        <v>843</v>
      </c>
      <c r="J57" s="1456">
        <f ca="1">IF(OR(M47="住宅",J51&lt;L48,J56="是"),"——",J51-L48)</f>
        <v>12.64</v>
      </c>
      <c r="K57" s="1421" t="s">
        <v>844</v>
      </c>
      <c r="L57" s="1424" t="str">
        <f ca="1">IF(L48&lt;J51,"——",IF(L55="比较法",L49,IF(L55="基准地价",L50,L51)))</f>
        <v>——</v>
      </c>
      <c r="O57" s="1418" t="s">
        <v>404</v>
      </c>
      <c r="P57" s="1419" t="s">
        <v>845</v>
      </c>
      <c r="Q57" s="1420">
        <f ca="1">L60</f>
        <v>0</v>
      </c>
      <c r="R57" s="1420" t="s">
        <v>846</v>
      </c>
    </row>
    <row r="58" spans="1:18" s="1384" customFormat="1" ht="24.75" thickBot="1">
      <c r="A58" s="315" t="s">
        <v>393</v>
      </c>
      <c r="B58" s="958" t="s">
        <v>713</v>
      </c>
      <c r="C58" s="316">
        <f ca="1">ROUND(C59+C64+C65+C66,0)</f>
        <v>559</v>
      </c>
      <c r="D58" s="960" t="s">
        <v>714</v>
      </c>
      <c r="E58" s="961"/>
      <c r="F58" s="962"/>
      <c r="I58" s="1455" t="s">
        <v>847</v>
      </c>
      <c r="J58" s="1457">
        <f ca="1">IF(J55&lt;0.4,0.4,J55)</f>
        <v>0.4</v>
      </c>
      <c r="K58" s="1434" t="s">
        <v>848</v>
      </c>
      <c r="L58" s="1424" t="e">
        <f ca="1">ROUND(POWER(1+L52,L47-L48)*(POWER(1+L52,L48)-1)/(POWER(1+L52,L47)-1),4)</f>
        <v>#DIV/0!</v>
      </c>
      <c r="O58" s="1428" t="s">
        <v>405</v>
      </c>
      <c r="P58" s="1419" t="s">
        <v>849</v>
      </c>
      <c r="Q58" s="1420">
        <f>IF(L55="比较法",L49,IF(L55="基准地价",L50,0))</f>
        <v>0</v>
      </c>
      <c r="R58" s="1420" t="s">
        <v>817</v>
      </c>
    </row>
    <row r="59" spans="1:18" s="1384" customFormat="1" ht="24.75" thickBot="1">
      <c r="A59" s="982" t="s">
        <v>398</v>
      </c>
      <c r="B59" s="950" t="s">
        <v>718</v>
      </c>
      <c r="C59" s="2316">
        <f ca="1">ROUND(IF(AND(项目基本情况!B11="自然人",项目基本情况!B10="北京市"),C49*F59/(1+'数据-取费表'!C42),C60+C61+C62),0)</f>
        <v>36</v>
      </c>
      <c r="D59" s="963" t="s">
        <v>719</v>
      </c>
      <c r="E59" s="964" t="s">
        <v>720</v>
      </c>
      <c r="F59" s="2315" t="str">
        <f>IF(项目基本情况!B11="企业","——",IF('数据-取费表'!B10="住宅",IF(F49*F50*F51/12/(1+'数据-取费表'!F30)&gt;100000,4%,2.5%),IF(F49*F50*F51/12/(1+'数据-取费表'!F30)&gt;100000,12%,7%)))</f>
        <v>——</v>
      </c>
      <c r="I59" s="1455" t="s">
        <v>850</v>
      </c>
      <c r="J59" s="1456">
        <f ca="1">IF(OR(M47="住宅",J51&lt;L48,J56="是"),"——",ROUND(C29*J58,0))</f>
        <v>19409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851</v>
      </c>
      <c r="Q59" s="1431">
        <f>L52</f>
        <v>0</v>
      </c>
      <c r="R59" s="1420"/>
    </row>
    <row r="60" spans="1:18" s="1384" customFormat="1" ht="16.5" thickBot="1">
      <c r="A60" s="982" t="s">
        <v>397</v>
      </c>
      <c r="B60" s="950" t="s">
        <v>722</v>
      </c>
      <c r="C60" s="21">
        <f ca="1">IF(项目基本情况!B11="自然人","——",ROUND(C48*F60/(1+'数据-取费表'!C42),2))</f>
        <v>0</v>
      </c>
      <c r="D60" s="964" t="s">
        <v>723</v>
      </c>
      <c r="E60" s="950" t="s">
        <v>711</v>
      </c>
      <c r="F60" s="331">
        <f t="shared" ref="F60:F66" si="0">F32</f>
        <v>5.5000000000000007E-2</v>
      </c>
      <c r="I60" s="1458" t="s">
        <v>852</v>
      </c>
      <c r="J60" s="1459">
        <f ca="1">IF(OR(M47="住宅",J51&lt;L48,J56="是"),"0",ROUND(J59/(1+J52)^J53,0))</f>
        <v>1489</v>
      </c>
      <c r="K60" s="1460" t="s">
        <v>853</v>
      </c>
      <c r="L60" s="1459">
        <f ca="1">IF(OR(M47="住宅",L48&lt;J51),0,ROUND(L57*(L58/L59-1),0))</f>
        <v>0</v>
      </c>
      <c r="O60" s="1428" t="s">
        <v>407</v>
      </c>
      <c r="P60" s="1419" t="s">
        <v>854</v>
      </c>
      <c r="Q60" s="1420" t="e">
        <f ca="1">L58</f>
        <v>#DIV/0!</v>
      </c>
      <c r="R60" s="1420" t="s">
        <v>855</v>
      </c>
    </row>
    <row r="61" spans="1:18" s="1384" customFormat="1" ht="13.5" thickBot="1">
      <c r="A61" s="982" t="s">
        <v>780</v>
      </c>
      <c r="B61" s="950" t="s">
        <v>781</v>
      </c>
      <c r="C61" s="21">
        <f ca="1">IF(项目基本情况!B11="自然人","——",IF(D61="按租金收入计税",ROUND(C49*F61/(1+'数据-取费表'!C42),2),IF(D61="按房产原值计税",ROUND(C57*F61*0.7,2),INDIRECT("'数据-取费表'!Aj"&amp;$G$1))))</f>
        <v>0</v>
      </c>
      <c r="D61" s="1370" t="s">
        <v>3342</v>
      </c>
      <c r="E61" s="950" t="s">
        <v>782</v>
      </c>
      <c r="F61" s="322">
        <f t="shared" si="0"/>
        <v>0.12</v>
      </c>
      <c r="I61" s="1461"/>
      <c r="J61" s="1461"/>
      <c r="K61" s="1461"/>
      <c r="L61" s="1461"/>
      <c r="O61" s="1428" t="s">
        <v>408</v>
      </c>
      <c r="P61" s="1419" t="str">
        <f>K59</f>
        <v>建筑物剩余耐用年限下的土地年期修正系数Kn</v>
      </c>
      <c r="Q61" s="1420" t="e">
        <f ca="1">L59</f>
        <v>#DIV/0!</v>
      </c>
      <c r="R61" s="1420" t="s">
        <v>856</v>
      </c>
    </row>
    <row r="62" spans="1:18" s="1384" customFormat="1" ht="13.5" thickBot="1">
      <c r="A62" s="982" t="s">
        <v>783</v>
      </c>
      <c r="B62" s="949" t="s">
        <v>784</v>
      </c>
      <c r="C62" s="22">
        <f ca="1">IF(项目基本情况!B11="自然人","——",ROUND(F62*F63/10000,2))</f>
        <v>35.53</v>
      </c>
      <c r="D62" s="965" t="s">
        <v>785</v>
      </c>
      <c r="E62" s="950" t="s">
        <v>786</v>
      </c>
      <c r="F62" s="325">
        <f t="shared" si="0"/>
        <v>1.5</v>
      </c>
      <c r="I62" s="1462" t="s">
        <v>857</v>
      </c>
      <c r="J62" s="1463" t="s">
        <v>858</v>
      </c>
      <c r="K62" s="1463" t="s">
        <v>859</v>
      </c>
      <c r="L62" s="1463" t="s">
        <v>860</v>
      </c>
      <c r="M62" s="1464" t="s">
        <v>861</v>
      </c>
      <c r="O62" s="1418" t="s">
        <v>409</v>
      </c>
      <c r="P62" s="1419" t="s">
        <v>862</v>
      </c>
      <c r="Q62" s="1420">
        <f ca="1">Q56+Q57</f>
        <v>290426</v>
      </c>
      <c r="R62" s="1420" t="s">
        <v>410</v>
      </c>
    </row>
    <row r="63" spans="1:18" s="1384" customFormat="1" ht="13.5" thickBot="1">
      <c r="A63" s="326"/>
      <c r="B63" s="956"/>
      <c r="C63" s="26"/>
      <c r="D63" s="966"/>
      <c r="E63" s="950" t="s">
        <v>787</v>
      </c>
      <c r="F63" s="303">
        <f t="shared" ca="1" si="0"/>
        <v>236852.67</v>
      </c>
      <c r="I63" s="1462" t="s">
        <v>863</v>
      </c>
      <c r="J63" s="1463">
        <v>70</v>
      </c>
      <c r="K63" s="1463">
        <v>50</v>
      </c>
      <c r="L63" s="1463">
        <v>80</v>
      </c>
      <c r="M63" s="1465">
        <v>0.02</v>
      </c>
      <c r="O63" s="1403" t="s">
        <v>864</v>
      </c>
      <c r="P63" s="1381"/>
      <c r="Q63" s="1381"/>
      <c r="R63" s="1381"/>
    </row>
    <row r="64" spans="1:18" s="1384" customFormat="1" ht="13.5" thickBot="1">
      <c r="A64" s="982" t="s">
        <v>788</v>
      </c>
      <c r="B64" s="950" t="s">
        <v>789</v>
      </c>
      <c r="C64" s="21">
        <f ca="1">ROUND(C57*F64,2)</f>
        <v>485.23</v>
      </c>
      <c r="D64" s="964" t="s">
        <v>790</v>
      </c>
      <c r="E64" s="950" t="s">
        <v>782</v>
      </c>
      <c r="F64" s="328">
        <f t="shared" ca="1" si="0"/>
        <v>0.01</v>
      </c>
      <c r="I64" s="1462" t="s">
        <v>865</v>
      </c>
      <c r="J64" s="1463">
        <v>50</v>
      </c>
      <c r="K64" s="1463">
        <v>35</v>
      </c>
      <c r="L64" s="1463">
        <v>60</v>
      </c>
      <c r="M64" s="1464">
        <v>0</v>
      </c>
      <c r="O64" s="1411" t="s">
        <v>810</v>
      </c>
      <c r="P64" s="1412" t="s">
        <v>811</v>
      </c>
      <c r="Q64" s="1413" t="s">
        <v>812</v>
      </c>
      <c r="R64" s="1413" t="s">
        <v>813</v>
      </c>
    </row>
    <row r="65" spans="1:18" s="1384" customFormat="1" ht="13.5" thickBot="1">
      <c r="A65" s="982" t="s">
        <v>791</v>
      </c>
      <c r="B65" s="950" t="s">
        <v>741</v>
      </c>
      <c r="C65" s="21">
        <f ca="1">ROUND(C56*F65,2)</f>
        <v>37.36</v>
      </c>
      <c r="D65" s="964" t="s">
        <v>742</v>
      </c>
      <c r="E65" s="950" t="s">
        <v>743</v>
      </c>
      <c r="F65" s="330">
        <f t="shared" ca="1" si="0"/>
        <v>1E-3</v>
      </c>
      <c r="I65" s="1462" t="s">
        <v>866</v>
      </c>
      <c r="J65" s="1463">
        <v>40</v>
      </c>
      <c r="K65" s="1463">
        <v>30</v>
      </c>
      <c r="L65" s="1463">
        <v>50</v>
      </c>
      <c r="M65" s="1465">
        <v>0.02</v>
      </c>
      <c r="O65" s="1418" t="s">
        <v>403</v>
      </c>
      <c r="P65" s="1419" t="s">
        <v>867</v>
      </c>
      <c r="Q65" s="1420">
        <f ca="1">C40+J29</f>
        <v>290426</v>
      </c>
      <c r="R65" s="1420" t="s">
        <v>817</v>
      </c>
    </row>
    <row r="66" spans="1:18" s="1384" customFormat="1" ht="16.5" thickBot="1">
      <c r="A66" s="982" t="s">
        <v>792</v>
      </c>
      <c r="B66" s="950" t="s">
        <v>727</v>
      </c>
      <c r="C66" s="21">
        <f ca="1">ROUND(C48*F66,2)</f>
        <v>0</v>
      </c>
      <c r="D66" s="964" t="s">
        <v>793</v>
      </c>
      <c r="E66" s="950" t="s">
        <v>711</v>
      </c>
      <c r="F66" s="312">
        <f t="shared" ca="1" si="0"/>
        <v>0.02</v>
      </c>
      <c r="O66" s="1418" t="s">
        <v>404</v>
      </c>
      <c r="P66" s="1419" t="s">
        <v>845</v>
      </c>
      <c r="Q66" s="1420">
        <f ca="1">L60</f>
        <v>0</v>
      </c>
      <c r="R66" s="1420" t="s">
        <v>868</v>
      </c>
    </row>
    <row r="67" spans="1:18" s="1384" customFormat="1" ht="16.5" thickBot="1">
      <c r="A67" s="957" t="s">
        <v>394</v>
      </c>
      <c r="B67" s="967" t="s">
        <v>751</v>
      </c>
      <c r="C67" s="316">
        <f ca="1">C48-C58</f>
        <v>-559</v>
      </c>
      <c r="D67" s="963" t="s">
        <v>752</v>
      </c>
      <c r="E67" s="968"/>
      <c r="F67" s="969"/>
      <c r="O67" s="1428" t="s">
        <v>405</v>
      </c>
      <c r="P67" s="1419" t="s">
        <v>849</v>
      </c>
      <c r="Q67" s="1466">
        <f ca="1">L51</f>
        <v>201969</v>
      </c>
      <c r="R67" s="1420" t="s">
        <v>869</v>
      </c>
    </row>
    <row r="68" spans="1:18" s="1384" customFormat="1" ht="16.5" thickBot="1">
      <c r="A68" s="947" t="s">
        <v>395</v>
      </c>
      <c r="B68" s="948" t="s">
        <v>773</v>
      </c>
      <c r="C68" s="301">
        <f ca="1">ROUND(C67*(1-((1+F70)/(1+F68))^F69)/(F68-F70),0)</f>
        <v>-8460</v>
      </c>
      <c r="D68" s="965" t="s">
        <v>757</v>
      </c>
      <c r="E68" s="950" t="s">
        <v>758</v>
      </c>
      <c r="F68" s="312">
        <f ca="1">F40</f>
        <v>5.5E-2</v>
      </c>
      <c r="O68" s="1428" t="s">
        <v>406</v>
      </c>
      <c r="P68" s="1467" t="s">
        <v>870</v>
      </c>
      <c r="Q68" s="1420">
        <f ca="1">ROUND(Q69-Q70*Q71,0)</f>
        <v>11296</v>
      </c>
      <c r="R68" s="1420" t="s">
        <v>414</v>
      </c>
    </row>
    <row r="69" spans="1:18" s="1384" customFormat="1" ht="13.5" thickBot="1">
      <c r="A69" s="951"/>
      <c r="B69" s="952"/>
      <c r="C69" s="306"/>
      <c r="D69" s="970" t="s">
        <v>761</v>
      </c>
      <c r="E69" s="950" t="s">
        <v>762</v>
      </c>
      <c r="F69" s="333">
        <f ca="1">F41</f>
        <v>33.36</v>
      </c>
      <c r="O69" s="1428" t="s">
        <v>411</v>
      </c>
      <c r="P69" s="1467" t="s">
        <v>871</v>
      </c>
      <c r="Q69" s="1420">
        <f ca="1">C39</f>
        <v>14098</v>
      </c>
      <c r="R69" s="1420" t="s">
        <v>817</v>
      </c>
    </row>
    <row r="70" spans="1:18" s="1384" customFormat="1" ht="13.5" thickBot="1">
      <c r="A70" s="954"/>
      <c r="B70" s="955"/>
      <c r="C70" s="310"/>
      <c r="D70" s="966"/>
      <c r="E70" s="950" t="s">
        <v>765</v>
      </c>
      <c r="F70" s="1054"/>
      <c r="O70" s="1428" t="s">
        <v>412</v>
      </c>
      <c r="P70" s="1467" t="s">
        <v>872</v>
      </c>
      <c r="Q70" s="1420">
        <f ca="1">C13</f>
        <v>37363</v>
      </c>
      <c r="R70" s="1420" t="s">
        <v>817</v>
      </c>
    </row>
    <row r="71" spans="1:18" s="1384" customFormat="1" ht="13.5" thickBot="1">
      <c r="A71" s="971" t="s">
        <v>396</v>
      </c>
      <c r="B71" s="972" t="s">
        <v>775</v>
      </c>
      <c r="C71" s="336">
        <f ca="1">ROUND(C68*10000/F71,0)</f>
        <v>-741</v>
      </c>
      <c r="D71" s="973" t="s">
        <v>776</v>
      </c>
      <c r="E71" s="974" t="s">
        <v>777</v>
      </c>
      <c r="F71" s="339">
        <f ca="1">F43</f>
        <v>114107.98000000001</v>
      </c>
      <c r="O71" s="1428" t="s">
        <v>413</v>
      </c>
      <c r="P71" s="1467" t="s">
        <v>873</v>
      </c>
      <c r="Q71" s="1431">
        <f ca="1">C76</f>
        <v>7.4999999999999997E-2</v>
      </c>
      <c r="R71" s="1420"/>
    </row>
    <row r="72" spans="1:18" s="1384" customFormat="1" ht="13.5" thickBot="1">
      <c r="B72" s="726"/>
      <c r="C72" s="726"/>
      <c r="O72" s="1428" t="s">
        <v>407</v>
      </c>
      <c r="P72" s="1419" t="s">
        <v>851</v>
      </c>
      <c r="Q72" s="1431">
        <f>L52</f>
        <v>0</v>
      </c>
      <c r="R72" s="1420"/>
    </row>
    <row r="73" spans="1:18" ht="16.5" thickBot="1">
      <c r="A73" s="1384"/>
      <c r="B73" s="726"/>
      <c r="C73" s="726"/>
      <c r="D73" s="1384"/>
      <c r="E73" s="1384"/>
      <c r="F73" s="1384"/>
      <c r="O73" s="1428" t="s">
        <v>408</v>
      </c>
      <c r="P73" s="1419" t="s">
        <v>854</v>
      </c>
      <c r="Q73" s="1420" t="e">
        <f ca="1">L58</f>
        <v>#DIV/0!</v>
      </c>
      <c r="R73" s="1420" t="s">
        <v>855</v>
      </c>
    </row>
    <row r="74" spans="1:18" ht="13.5" thickBot="1">
      <c r="A74" s="1384"/>
      <c r="B74" s="273" t="s">
        <v>874</v>
      </c>
      <c r="C74" s="1469"/>
      <c r="D74" s="1384"/>
      <c r="E74" s="1384"/>
      <c r="F74" s="1384"/>
      <c r="O74" s="1428" t="s">
        <v>415</v>
      </c>
      <c r="P74" s="1419" t="str">
        <f>K59</f>
        <v>建筑物剩余耐用年限下的土地年期修正系数Kn</v>
      </c>
      <c r="Q74" s="1420" t="e">
        <f ca="1">L59</f>
        <v>#DIV/0!</v>
      </c>
      <c r="R74" s="1420" t="s">
        <v>856</v>
      </c>
    </row>
    <row r="75" spans="1:18" ht="13.5" thickBot="1">
      <c r="A75" s="1384"/>
      <c r="B75" s="340" t="s">
        <v>794</v>
      </c>
      <c r="C75" s="341">
        <f ca="1">ROUND(C13*C76,0)</f>
        <v>2802</v>
      </c>
      <c r="D75" s="1384"/>
      <c r="E75" s="1384"/>
      <c r="F75" s="1384"/>
      <c r="K75" s="1402"/>
      <c r="L75" s="1384"/>
      <c r="O75" s="1418" t="s">
        <v>409</v>
      </c>
      <c r="P75" s="1419" t="s">
        <v>837</v>
      </c>
      <c r="Q75" s="1420">
        <f ca="1">Q65+Q66</f>
        <v>290426</v>
      </c>
      <c r="R75" s="1420" t="s">
        <v>410</v>
      </c>
    </row>
    <row r="76" spans="1:18">
      <c r="B76" s="342" t="s">
        <v>795</v>
      </c>
      <c r="C76" s="343">
        <f ca="1">INDIRECT("'数据-取费表'!j"&amp;$G$1)</f>
        <v>7.4999999999999997E-2</v>
      </c>
      <c r="I76" s="1384"/>
      <c r="J76" s="1384"/>
      <c r="K76" s="1402"/>
      <c r="L76" s="1384"/>
    </row>
    <row r="77" spans="1:18">
      <c r="B77" s="344" t="s">
        <v>796</v>
      </c>
      <c r="C77" s="345"/>
      <c r="I77" s="1384"/>
      <c r="J77" s="1384"/>
      <c r="K77" s="1402"/>
      <c r="L77" s="1384"/>
    </row>
    <row r="78" spans="1:18">
      <c r="B78" s="270" t="s">
        <v>797</v>
      </c>
      <c r="C78" s="346"/>
    </row>
    <row r="79" spans="1:18">
      <c r="B79" s="340" t="s">
        <v>798</v>
      </c>
      <c r="C79" s="274">
        <f ca="1">1-C80</f>
        <v>0.80099999999999993</v>
      </c>
    </row>
    <row r="80" spans="1:18">
      <c r="B80" s="340" t="s">
        <v>799</v>
      </c>
      <c r="C80" s="274">
        <f ca="1">ROUND(C75/C39,3)</f>
        <v>0.19900000000000001</v>
      </c>
    </row>
    <row r="81" spans="2:3">
      <c r="B81" s="270" t="s">
        <v>800</v>
      </c>
      <c r="C81" s="238"/>
    </row>
    <row r="82" spans="2:3">
      <c r="B82" s="273" t="s">
        <v>801</v>
      </c>
      <c r="C82" s="275">
        <f ca="1">1-C83</f>
        <v>0.871</v>
      </c>
    </row>
    <row r="83" spans="2:3">
      <c r="B83" s="273" t="s">
        <v>802</v>
      </c>
      <c r="C83" s="274">
        <f ca="1">ROUND(C13/C40,3)</f>
        <v>0.129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876</v>
      </c>
      <c r="B1" s="713"/>
      <c r="C1" s="1379"/>
      <c r="D1" s="1362" t="s">
        <v>43</v>
      </c>
      <c r="E1" s="1363" t="s">
        <v>677</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877</v>
      </c>
      <c r="B2" s="3424" t="e">
        <f ca="1">ROUND(D2/10000,4)</f>
        <v>#DIV/0!</v>
      </c>
      <c r="C2" s="1387" t="s">
        <v>878</v>
      </c>
      <c r="D2" s="1471" t="e">
        <f ca="1">C40+J29+L46</f>
        <v>#DIV/0!</v>
      </c>
      <c r="E2" s="1388" t="s">
        <v>879</v>
      </c>
      <c r="F2" s="1389"/>
      <c r="G2" s="2705"/>
      <c r="H2" s="2694"/>
      <c r="I2" s="2694"/>
      <c r="J2" s="2694"/>
      <c r="K2" s="2695"/>
      <c r="L2" s="2694"/>
      <c r="M2" s="2694"/>
    </row>
    <row r="3" spans="1:37" ht="18" customHeight="1" thickBot="1">
      <c r="A3" s="1390" t="s">
        <v>880</v>
      </c>
      <c r="B3" s="1391">
        <f ca="1">IF(ISERROR(D2/F43),0,ROUND(D2/F43,0))</f>
        <v>0</v>
      </c>
      <c r="C3" s="1387" t="s">
        <v>881</v>
      </c>
      <c r="D3" s="1387"/>
      <c r="E3" s="1388"/>
      <c r="F3" s="1389"/>
      <c r="G3" s="2705"/>
      <c r="H3" s="683" t="s">
        <v>875</v>
      </c>
      <c r="I3" s="1382"/>
      <c r="J3" s="1382"/>
      <c r="K3" s="1383"/>
      <c r="L3" s="1382"/>
      <c r="M3" s="1382"/>
    </row>
    <row r="4" spans="1:37" ht="18" customHeight="1">
      <c r="A4" s="295" t="s">
        <v>882</v>
      </c>
      <c r="B4" s="296" t="s">
        <v>883</v>
      </c>
      <c r="C4" s="296" t="s">
        <v>884</v>
      </c>
      <c r="D4" s="296" t="s">
        <v>885</v>
      </c>
      <c r="E4" s="297" t="s">
        <v>886</v>
      </c>
      <c r="F4" s="298"/>
      <c r="G4" s="1384"/>
      <c r="H4" s="295" t="s">
        <v>882</v>
      </c>
      <c r="I4" s="296" t="s">
        <v>883</v>
      </c>
      <c r="J4" s="296" t="s">
        <v>884</v>
      </c>
      <c r="K4" s="296" t="s">
        <v>885</v>
      </c>
      <c r="L4" s="297" t="s">
        <v>886</v>
      </c>
      <c r="M4" s="298"/>
    </row>
    <row r="5" spans="1:37" ht="18" customHeight="1">
      <c r="A5" s="299">
        <v>1</v>
      </c>
      <c r="B5" s="300" t="s">
        <v>887</v>
      </c>
      <c r="C5" s="1070">
        <f ca="1">C6+C10+C12</f>
        <v>0</v>
      </c>
      <c r="D5" s="1364" t="s">
        <v>888</v>
      </c>
      <c r="E5" s="1071"/>
      <c r="F5" s="1072"/>
      <c r="G5" s="1384"/>
      <c r="H5" s="299">
        <v>1</v>
      </c>
      <c r="I5" s="300" t="s">
        <v>887</v>
      </c>
      <c r="J5" s="1070">
        <f ca="1">J6+J10+J12</f>
        <v>0</v>
      </c>
      <c r="K5" s="1364" t="s">
        <v>888</v>
      </c>
      <c r="L5" s="1071"/>
      <c r="M5" s="1072"/>
    </row>
    <row r="6" spans="1:37" ht="18" customHeight="1">
      <c r="A6" s="1069" t="s">
        <v>398</v>
      </c>
      <c r="B6" s="3672" t="s">
        <v>693</v>
      </c>
      <c r="C6" s="1074">
        <f ca="1">ROUND(F6*F8*F7*(1-F9),0)</f>
        <v>0</v>
      </c>
      <c r="D6" s="155" t="s">
        <v>2105</v>
      </c>
      <c r="E6" s="302" t="s">
        <v>695</v>
      </c>
      <c r="F6" s="303">
        <f ca="1">INDIRECT("'数据-取费表'!u"&amp;$G$1)</f>
        <v>0</v>
      </c>
      <c r="G6" s="1384"/>
      <c r="H6" s="1069" t="s">
        <v>398</v>
      </c>
      <c r="I6" s="3672" t="s">
        <v>693</v>
      </c>
      <c r="J6" s="301">
        <f ca="1">ROUND(M6*M8*M7*(1-M9),0)</f>
        <v>0</v>
      </c>
      <c r="K6" s="1376" t="s">
        <v>2106</v>
      </c>
      <c r="L6" s="302" t="s">
        <v>695</v>
      </c>
      <c r="M6" s="303">
        <f ca="1">INDIRECT("'数据-取费表'!z"&amp;$G$1)</f>
        <v>0</v>
      </c>
    </row>
    <row r="7" spans="1:37" ht="18" customHeight="1">
      <c r="A7" s="1073"/>
      <c r="B7" s="3673"/>
      <c r="C7" s="1075"/>
      <c r="D7" s="307"/>
      <c r="E7" s="1076" t="s">
        <v>696</v>
      </c>
      <c r="F7" s="303">
        <f ca="1">IF(INDIRECT("'数据-取费表'!ah"&amp;$G$1)="",INDIRECT("'数据-取费表'!k"&amp;$G$1),INDIRECT("'数据-取费表'!ah"&amp;$G$1))</f>
        <v>0</v>
      </c>
      <c r="G7" s="1384"/>
      <c r="H7" s="304"/>
      <c r="I7" s="3673"/>
      <c r="J7" s="306"/>
      <c r="K7" s="307"/>
      <c r="L7" s="302" t="s">
        <v>696</v>
      </c>
      <c r="M7" s="303">
        <f ca="1">F7</f>
        <v>0</v>
      </c>
    </row>
    <row r="8" spans="1:37" ht="18" customHeight="1">
      <c r="A8" s="304"/>
      <c r="B8" s="3673"/>
      <c r="C8" s="306"/>
      <c r="D8" s="307"/>
      <c r="E8" s="302" t="s">
        <v>697</v>
      </c>
      <c r="F8" s="303">
        <f ca="1">INDIRECT("'数据-取费表'!ai"&amp;$G$1)</f>
        <v>0</v>
      </c>
      <c r="G8" s="1384"/>
      <c r="H8" s="304"/>
      <c r="I8" s="3673"/>
      <c r="J8" s="306"/>
      <c r="K8" s="307"/>
      <c r="L8" s="302" t="s">
        <v>697</v>
      </c>
      <c r="M8" s="303">
        <f ca="1">INDIRECT("'数据-取费表'!ai"&amp;$G$1)</f>
        <v>0</v>
      </c>
    </row>
    <row r="9" spans="1:37" ht="18" customHeight="1">
      <c r="A9" s="304"/>
      <c r="B9" s="3674"/>
      <c r="C9" s="306"/>
      <c r="D9" s="307"/>
      <c r="E9" s="302" t="s">
        <v>698</v>
      </c>
      <c r="F9" s="312">
        <f ca="1">INDIRECT("'数据-取费表'!w"&amp;$G$1)</f>
        <v>0</v>
      </c>
      <c r="G9" s="1384"/>
      <c r="H9" s="304"/>
      <c r="I9" s="3674"/>
      <c r="J9" s="306"/>
      <c r="K9" s="307"/>
      <c r="L9" s="313" t="s">
        <v>698</v>
      </c>
      <c r="M9" s="314">
        <f ca="1">INDIRECT("'数据-取费表'!ab"&amp;$G$1)</f>
        <v>0</v>
      </c>
    </row>
    <row r="10" spans="1:37" ht="18" customHeight="1">
      <c r="A10" s="1069" t="s">
        <v>402</v>
      </c>
      <c r="B10" s="1365" t="s">
        <v>699</v>
      </c>
      <c r="C10" s="316">
        <f ca="1">ROUND(IF(F10="押一",C6/12*F11,IF(F10="押二",C6/12*2*F11,IF(F10="押三",C6/12*3*F11,C11*F11))),0)</f>
        <v>0</v>
      </c>
      <c r="D10" s="1366" t="s">
        <v>2115</v>
      </c>
      <c r="E10" s="313" t="s">
        <v>700</v>
      </c>
      <c r="F10" s="1116"/>
      <c r="G10" s="1384"/>
      <c r="H10" s="1069" t="s">
        <v>402</v>
      </c>
      <c r="I10" s="1365" t="s">
        <v>699</v>
      </c>
      <c r="J10" s="301">
        <f ca="1">ROUND(IF(M10="押一",J6/12*M11,IF(M10="押二",J6/12*2*M11,IF(M10="押三",J6/12*3*M11,J11*M11))),0)</f>
        <v>0</v>
      </c>
      <c r="K10" s="1377" t="s">
        <v>2117</v>
      </c>
      <c r="L10" s="313" t="s">
        <v>700</v>
      </c>
      <c r="M10" s="1116"/>
    </row>
    <row r="11" spans="1:37" ht="18" customHeight="1">
      <c r="A11" s="308"/>
      <c r="B11" s="1367" t="s">
        <v>889</v>
      </c>
      <c r="C11" s="959"/>
      <c r="D11" s="307"/>
      <c r="E11" s="313" t="s">
        <v>701</v>
      </c>
      <c r="F11" s="314">
        <f ca="1">'数据-取费表'!B39</f>
        <v>1.4999999999999999E-2</v>
      </c>
      <c r="G11" s="1384"/>
      <c r="H11" s="1077"/>
      <c r="I11" s="1367" t="s">
        <v>890</v>
      </c>
      <c r="J11" s="959"/>
      <c r="K11" s="684"/>
      <c r="L11" s="313" t="s">
        <v>701</v>
      </c>
      <c r="M11" s="862">
        <f ca="1">'数据-取费表'!B39</f>
        <v>1.4999999999999999E-2</v>
      </c>
    </row>
    <row r="12" spans="1:37" ht="18" customHeight="1" thickBot="1">
      <c r="A12" s="1083" t="s">
        <v>437</v>
      </c>
      <c r="B12" s="1369" t="s">
        <v>702</v>
      </c>
      <c r="C12" s="1084"/>
      <c r="D12" s="1085"/>
      <c r="E12" s="1090"/>
      <c r="F12" s="1086"/>
      <c r="G12" s="1384"/>
      <c r="H12" s="1083" t="s">
        <v>437</v>
      </c>
      <c r="I12" s="1369" t="s">
        <v>702</v>
      </c>
      <c r="J12" s="1084"/>
      <c r="K12" s="1098"/>
      <c r="L12" s="1090"/>
      <c r="M12" s="1099"/>
    </row>
    <row r="13" spans="1:37" ht="18" customHeight="1" thickTop="1">
      <c r="A13" s="1079">
        <v>2</v>
      </c>
      <c r="B13" s="1080" t="s">
        <v>703</v>
      </c>
      <c r="C13" s="310">
        <f ca="1">ROUND(C29*F13,0)</f>
        <v>0</v>
      </c>
      <c r="D13" s="1081" t="s">
        <v>704</v>
      </c>
      <c r="E13" s="1081" t="s">
        <v>705</v>
      </c>
      <c r="F13" s="1082">
        <f ca="1">INDIRECT("'数据-取费表'!y"&amp;$G$1)</f>
        <v>0</v>
      </c>
      <c r="G13" s="1384"/>
      <c r="H13" s="1079">
        <v>2</v>
      </c>
      <c r="I13" s="1080" t="s">
        <v>703</v>
      </c>
      <c r="J13" s="1068">
        <f ca="1">ROUND(J14*J15,0)</f>
        <v>0</v>
      </c>
      <c r="K13" s="1087" t="s">
        <v>704</v>
      </c>
      <c r="L13" s="1392"/>
      <c r="M13" s="1393"/>
    </row>
    <row r="14" spans="1:37" ht="18" customHeight="1">
      <c r="A14" s="982" t="s">
        <v>397</v>
      </c>
      <c r="B14" s="302" t="s">
        <v>706</v>
      </c>
      <c r="C14" s="318">
        <f ca="1">ROUND(INDIRECT("'数据-取费表'!l"&amp;$G$1)*F43+'数据-取费表'!L14*INDIRECT("'数据-取费表'!S"&amp;$G$1),0)</f>
        <v>0</v>
      </c>
      <c r="D14" s="1345" t="s">
        <v>707</v>
      </c>
      <c r="E14" s="1342"/>
      <c r="F14" s="319"/>
      <c r="G14" s="1384"/>
      <c r="H14" s="982" t="s">
        <v>398</v>
      </c>
      <c r="I14" s="302" t="s">
        <v>708</v>
      </c>
      <c r="J14" s="21">
        <f ca="1">C29</f>
        <v>0</v>
      </c>
      <c r="K14" s="12"/>
      <c r="L14" s="807"/>
      <c r="M14" s="808"/>
    </row>
    <row r="15" spans="1:37" s="1397" customFormat="1" ht="18" customHeight="1" thickBot="1">
      <c r="A15" s="982" t="s">
        <v>399</v>
      </c>
      <c r="B15" s="302" t="s">
        <v>709</v>
      </c>
      <c r="C15" s="21">
        <f ca="1">ROUND(C14*F15,0)</f>
        <v>0</v>
      </c>
      <c r="D15" s="320" t="s">
        <v>710</v>
      </c>
      <c r="E15" s="320" t="s">
        <v>711</v>
      </c>
      <c r="F15" s="321">
        <f>'数据-取费表'!B33</f>
        <v>0.03</v>
      </c>
      <c r="G15" s="1396"/>
      <c r="H15" s="1089" t="s">
        <v>402</v>
      </c>
      <c r="I15" s="1090" t="s">
        <v>705</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679</v>
      </c>
      <c r="B16" s="302" t="s">
        <v>712</v>
      </c>
      <c r="C16" s="21">
        <f ca="1">ROUND(INDIRECT("'数据-取费表'!l"&amp;$G$1)*F43*F16,0)</f>
        <v>0</v>
      </c>
      <c r="D16" s="302" t="s">
        <v>710</v>
      </c>
      <c r="E16" s="302" t="s">
        <v>711</v>
      </c>
      <c r="F16" s="322">
        <f ca="1">IF(INDIRECT("'数据-取费表'!c"&amp;$G$1)="住宅",'数据-取费表'!B34,0)</f>
        <v>0</v>
      </c>
      <c r="G16" s="1384"/>
      <c r="H16" s="1079" t="s">
        <v>393</v>
      </c>
      <c r="I16" s="1080" t="s">
        <v>713</v>
      </c>
      <c r="J16" s="310">
        <f ca="1">ROUND(J17+J22+J23+J24,0)</f>
        <v>0</v>
      </c>
      <c r="K16" s="1087" t="s">
        <v>714</v>
      </c>
      <c r="L16" s="1088"/>
      <c r="M16" s="1072"/>
    </row>
    <row r="17" spans="1:37" s="1397" customFormat="1" ht="18" customHeight="1">
      <c r="A17" s="982" t="s">
        <v>680</v>
      </c>
      <c r="B17" s="302" t="s">
        <v>715</v>
      </c>
      <c r="C17" s="21">
        <f ca="1">ROUND(F17*(F43+INDIRECT("'数据-取费表'!S"&amp;$G$1)),0)</f>
        <v>0</v>
      </c>
      <c r="D17" s="302" t="s">
        <v>716</v>
      </c>
      <c r="E17" s="302" t="s">
        <v>717</v>
      </c>
      <c r="F17" s="23">
        <f>'数据-取费表'!B35</f>
        <v>200</v>
      </c>
      <c r="G17" s="1396"/>
      <c r="H17" s="982" t="s">
        <v>398</v>
      </c>
      <c r="I17" s="302" t="s">
        <v>718</v>
      </c>
      <c r="J17" s="2316">
        <f ca="1">ROUND(IF(AND(项目基本情况!B11="自然人",项目基本情况!B10="北京市"),J6*M17/(1+'数据-取费表'!C42),J18+J19+J20),0)</f>
        <v>0</v>
      </c>
      <c r="K17" s="1345" t="s">
        <v>719</v>
      </c>
      <c r="L17" s="1344" t="s">
        <v>720</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681</v>
      </c>
      <c r="B18" s="302" t="s">
        <v>721</v>
      </c>
      <c r="C18" s="21">
        <f ca="1">ROUND(C14*F18,0)</f>
        <v>0</v>
      </c>
      <c r="D18" s="302" t="s">
        <v>710</v>
      </c>
      <c r="E18" s="302" t="s">
        <v>711</v>
      </c>
      <c r="F18" s="322">
        <f>'数据-取费表'!B36</f>
        <v>1.4999999999999999E-2</v>
      </c>
      <c r="G18" s="1396"/>
      <c r="H18" s="982" t="s">
        <v>397</v>
      </c>
      <c r="I18" s="302" t="s">
        <v>722</v>
      </c>
      <c r="J18" s="21">
        <f ca="1">ROUND(J6*M18/(1+'数据-取费表'!C42),0)</f>
        <v>0</v>
      </c>
      <c r="K18" s="1344" t="s">
        <v>723</v>
      </c>
      <c r="L18" s="302" t="s">
        <v>711</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724</v>
      </c>
      <c r="C19" s="21">
        <f ca="1">SUM(C14:C18)</f>
        <v>0</v>
      </c>
      <c r="D19" s="131" t="s">
        <v>725</v>
      </c>
      <c r="E19" s="1360"/>
      <c r="F19" s="23"/>
      <c r="G19" s="1384"/>
      <c r="H19" s="982" t="s">
        <v>399</v>
      </c>
      <c r="I19" s="302" t="s">
        <v>726</v>
      </c>
      <c r="J19" s="21">
        <f ca="1">IF(K19="按租金收入计税",ROUND(J6*M19/(1+'数据-取费表'!C42),0),ROUND(C29*M19*0.7,0))</f>
        <v>0</v>
      </c>
      <c r="K19" s="1370" t="s">
        <v>3342</v>
      </c>
      <c r="L19" s="302" t="s">
        <v>711</v>
      </c>
      <c r="M19" s="322">
        <f>IF(K19="按租金收入计税",'数据-取费表'!B51,'数据-取费表'!B50)</f>
        <v>0.12</v>
      </c>
    </row>
    <row r="20" spans="1:37" s="1397" customFormat="1" ht="18" customHeight="1">
      <c r="A20" s="982" t="s">
        <v>402</v>
      </c>
      <c r="B20" s="302" t="s">
        <v>727</v>
      </c>
      <c r="C20" s="21">
        <f ca="1">ROUND(C19*F20,0)</f>
        <v>0</v>
      </c>
      <c r="D20" s="323" t="s">
        <v>728</v>
      </c>
      <c r="E20" s="302" t="s">
        <v>711</v>
      </c>
      <c r="F20" s="322">
        <f>'数据-取费表'!B37</f>
        <v>0.02</v>
      </c>
      <c r="G20" s="1396"/>
      <c r="H20" s="982" t="s">
        <v>679</v>
      </c>
      <c r="I20" s="155" t="s">
        <v>729</v>
      </c>
      <c r="J20" s="22">
        <f ca="1">ROUND(M20*M21,0)</f>
        <v>0</v>
      </c>
      <c r="K20" s="324" t="s">
        <v>730</v>
      </c>
      <c r="L20" s="302" t="s">
        <v>731</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732</v>
      </c>
      <c r="C21" s="21" t="s">
        <v>0</v>
      </c>
      <c r="D21" s="323" t="s">
        <v>733</v>
      </c>
      <c r="E21" s="302" t="s">
        <v>734</v>
      </c>
      <c r="F21" s="322">
        <f>'数据-取费表'!B38</f>
        <v>0.02</v>
      </c>
      <c r="G21" s="1396"/>
      <c r="H21" s="326"/>
      <c r="I21" s="311"/>
      <c r="J21" s="26"/>
      <c r="K21" s="327"/>
      <c r="L21" s="302" t="s">
        <v>735</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682</v>
      </c>
      <c r="B22" s="302" t="s">
        <v>736</v>
      </c>
      <c r="C22" s="21"/>
      <c r="D22" s="131" t="str">
        <f>IF(F23&lt;=1,"单利计息。","复利计息。")&amp;"建造成本、管理费用、销售费用产生的利息。"</f>
        <v>复利计息。建造成本、管理费用、销售费用产生的利息。</v>
      </c>
      <c r="E22" s="1360"/>
      <c r="F22" s="23"/>
      <c r="G22" s="1384"/>
      <c r="H22" s="982" t="s">
        <v>402</v>
      </c>
      <c r="I22" s="302" t="s">
        <v>737</v>
      </c>
      <c r="J22" s="21">
        <f ca="1">ROUND(J14*M22,0)</f>
        <v>0</v>
      </c>
      <c r="K22" s="1344" t="s">
        <v>738</v>
      </c>
      <c r="L22" s="302" t="s">
        <v>711</v>
      </c>
      <c r="M22" s="328">
        <f ca="1">INDIRECT("'数据-取费表'!Ak"&amp;$G$1)</f>
        <v>0</v>
      </c>
    </row>
    <row r="23" spans="1:37" s="1397" customFormat="1" ht="18" customHeight="1">
      <c r="A23" s="982" t="s">
        <v>397</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1.5</v>
      </c>
      <c r="G23" s="1396"/>
      <c r="H23" s="982" t="s">
        <v>437</v>
      </c>
      <c r="I23" s="302" t="s">
        <v>741</v>
      </c>
      <c r="J23" s="21">
        <f ca="1">ROUND(J13*M23,0)</f>
        <v>0</v>
      </c>
      <c r="K23" s="1344" t="s">
        <v>742</v>
      </c>
      <c r="L23" s="302" t="s">
        <v>743</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744</v>
      </c>
      <c r="B24" s="302" t="s">
        <v>745</v>
      </c>
      <c r="C24" s="21">
        <f ca="1">ROUND(IF('数据-取费表'!B22&lt;=1,F21*F24*F23/2,F21*(POWER((1+F24),F23/2)-1)),4)</f>
        <v>5.9999999999999995E-4</v>
      </c>
      <c r="D24" s="329" t="str">
        <f>IF(F23&lt;=1,"销售费用×利率×(建设周期÷2)","销售费用×((1+利率)^(建设周期÷2)-1)")</f>
        <v>销售费用×((1+利率)^(建设周期÷2)-1)</v>
      </c>
      <c r="E24" s="302" t="s">
        <v>746</v>
      </c>
      <c r="F24" s="331">
        <f ca="1">'数据-取费表'!B40</f>
        <v>4.1499999999999995E-2</v>
      </c>
      <c r="G24" s="1396"/>
      <c r="H24" s="1089" t="s">
        <v>683</v>
      </c>
      <c r="I24" s="1090" t="s">
        <v>727</v>
      </c>
      <c r="J24" s="1091">
        <f ca="1">ROUND(J5*M24,0)</f>
        <v>0</v>
      </c>
      <c r="K24" s="1092" t="s">
        <v>747</v>
      </c>
      <c r="L24" s="1090" t="s">
        <v>743</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748</v>
      </c>
      <c r="B25" s="302" t="s">
        <v>749</v>
      </c>
      <c r="C25" s="21"/>
      <c r="D25" s="131" t="s">
        <v>750</v>
      </c>
      <c r="E25" s="1360"/>
      <c r="F25" s="23"/>
      <c r="G25" s="1384"/>
      <c r="H25" s="1079" t="s">
        <v>394</v>
      </c>
      <c r="I25" s="1094" t="s">
        <v>751</v>
      </c>
      <c r="J25" s="310">
        <f ca="1">J5-J16</f>
        <v>0</v>
      </c>
      <c r="K25" s="1095" t="s">
        <v>752</v>
      </c>
      <c r="L25" s="1096"/>
      <c r="M25" s="1097"/>
    </row>
    <row r="26" spans="1:37" ht="18" customHeight="1">
      <c r="A26" s="982" t="s">
        <v>397</v>
      </c>
      <c r="B26" s="302" t="s">
        <v>753</v>
      </c>
      <c r="C26" s="21">
        <f ca="1">ROUND((C19+C20)*F26,0)</f>
        <v>0</v>
      </c>
      <c r="D26" s="323" t="s">
        <v>754</v>
      </c>
      <c r="E26" s="313" t="s">
        <v>755</v>
      </c>
      <c r="F26" s="312">
        <f ca="1">INDIRECT("'数据-取费表'!q"&amp;$G$1)</f>
        <v>0</v>
      </c>
      <c r="G26" s="1384"/>
      <c r="H26" s="299" t="s">
        <v>395</v>
      </c>
      <c r="I26" s="300" t="s">
        <v>756</v>
      </c>
      <c r="J26" s="301">
        <f ca="1">IF(J5&lt;&gt;0,ROUND(J25*(1-((1+M28)/(1+M26))^M27)/(M26-M28),0),0)</f>
        <v>0</v>
      </c>
      <c r="K26" s="324" t="s">
        <v>757</v>
      </c>
      <c r="L26" s="302" t="s">
        <v>758</v>
      </c>
      <c r="M26" s="312">
        <f ca="1">INDIRECT("'数据-取费表'!I"&amp;$G$1)</f>
        <v>0</v>
      </c>
    </row>
    <row r="27" spans="1:37" ht="18" customHeight="1">
      <c r="A27" s="982" t="s">
        <v>399</v>
      </c>
      <c r="B27" s="302" t="s">
        <v>759</v>
      </c>
      <c r="C27" s="21">
        <f ca="1">ROUND(F21*F26,4)</f>
        <v>0</v>
      </c>
      <c r="D27" s="323" t="s">
        <v>760</v>
      </c>
      <c r="E27" s="320"/>
      <c r="F27" s="321"/>
      <c r="G27" s="1384"/>
      <c r="H27" s="304"/>
      <c r="I27" s="305"/>
      <c r="J27" s="306"/>
      <c r="K27" s="332" t="s">
        <v>761</v>
      </c>
      <c r="L27" s="302" t="s">
        <v>762</v>
      </c>
      <c r="M27" s="333">
        <f ca="1">INDIRECT("'数据-取费表'!ag"&amp;$G$1)</f>
        <v>0</v>
      </c>
    </row>
    <row r="28" spans="1:37" s="1397" customFormat="1" ht="18" customHeight="1">
      <c r="A28" s="982" t="s">
        <v>400</v>
      </c>
      <c r="B28" s="302" t="s">
        <v>763</v>
      </c>
      <c r="C28" s="21">
        <f>ROUND(F28/(1+'数据-取费表'!C42),4)</f>
        <v>5.2400000000000002E-2</v>
      </c>
      <c r="D28" s="323" t="s">
        <v>764</v>
      </c>
      <c r="E28" s="302" t="s">
        <v>711</v>
      </c>
      <c r="F28" s="322">
        <f>'数据-取费表'!B41</f>
        <v>5.5000000000000007E-2</v>
      </c>
      <c r="G28" s="1396"/>
      <c r="H28" s="308"/>
      <c r="I28" s="309"/>
      <c r="J28" s="310"/>
      <c r="K28" s="327"/>
      <c r="L28" s="302" t="s">
        <v>765</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766</v>
      </c>
      <c r="C29" s="1091">
        <f ca="1">ROUND((C19+C20+C23+C26)/(1-F21-C24-C27-C28),0)</f>
        <v>0</v>
      </c>
      <c r="D29" s="1092"/>
      <c r="E29" s="1090"/>
      <c r="F29" s="1093"/>
      <c r="G29" s="1396"/>
      <c r="H29" s="334" t="s">
        <v>396</v>
      </c>
      <c r="I29" s="335" t="s">
        <v>767</v>
      </c>
      <c r="J29" s="336">
        <f ca="1">ROUND(J26/(1+F40)^F41,0)</f>
        <v>0</v>
      </c>
      <c r="K29" s="337" t="s">
        <v>768</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713</v>
      </c>
      <c r="C30" s="310">
        <f ca="1">ROUND(C31+C36+C37+C38,0)</f>
        <v>0</v>
      </c>
      <c r="D30" s="1087" t="s">
        <v>714</v>
      </c>
      <c r="E30" s="1088"/>
      <c r="F30" s="1072"/>
      <c r="G30" s="1384"/>
      <c r="H30" s="2696"/>
      <c r="I30" s="1398"/>
      <c r="J30" s="1399"/>
      <c r="K30" s="2474"/>
      <c r="L30" s="2697"/>
      <c r="M30" s="2698"/>
    </row>
    <row r="31" spans="1:37" ht="18" customHeight="1">
      <c r="A31" s="982" t="s">
        <v>398</v>
      </c>
      <c r="B31" s="302" t="s">
        <v>718</v>
      </c>
      <c r="C31" s="2316">
        <f ca="1">ROUND(IF(AND(项目基本情况!B11="自然人",项目基本情况!B10="北京市"),C6*F31/(1+'数据-取费表'!C42),C32+C33+C34),0)</f>
        <v>0</v>
      </c>
      <c r="D31" s="1345" t="s">
        <v>719</v>
      </c>
      <c r="E31" s="1344" t="s">
        <v>769</v>
      </c>
      <c r="F31" s="2315"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722</v>
      </c>
      <c r="C32" s="21">
        <f ca="1">IF(项目基本情况!B11="自然人","——",ROUND(C6*F32/(1+'数据-取费表'!C42),0))</f>
        <v>0</v>
      </c>
      <c r="D32" s="1344" t="s">
        <v>723</v>
      </c>
      <c r="E32" s="302" t="s">
        <v>711</v>
      </c>
      <c r="F32" s="331">
        <f>'数据-取费表'!B41</f>
        <v>5.5000000000000007E-2</v>
      </c>
      <c r="G32" s="1384"/>
      <c r="H32" s="2696"/>
      <c r="I32" s="1398"/>
      <c r="J32" s="1399"/>
      <c r="K32" s="2474"/>
      <c r="L32" s="2697"/>
      <c r="M32" s="2698"/>
    </row>
    <row r="33" spans="1:18" ht="18" customHeight="1">
      <c r="A33" s="982" t="s">
        <v>399</v>
      </c>
      <c r="B33" s="302" t="s">
        <v>726</v>
      </c>
      <c r="C33" s="21">
        <f ca="1">IF(项目基本情况!B11="自然人","——",IF(D33="按租金收入计税",ROUND(C6*F33/(1+'数据-取费表'!C42),0),IF(D33="按房产原值计税",ROUND(C29*F33*0.7,0),INDIRECT("'数据-取费表'!Aj"&amp;$G$1))))</f>
        <v>0</v>
      </c>
      <c r="D33" s="1370" t="s">
        <v>3342</v>
      </c>
      <c r="E33" s="302" t="s">
        <v>711</v>
      </c>
      <c r="F33" s="322">
        <f>IF(D33="按票据","——",IF(D33="按租金收入计税",'数据-取费表'!B51,'数据-取费表'!B50))</f>
        <v>0.12</v>
      </c>
      <c r="G33" s="1384"/>
      <c r="H33" s="2699"/>
      <c r="I33" s="1398"/>
      <c r="J33" s="1399"/>
      <c r="K33" s="2700"/>
      <c r="L33" s="2699"/>
      <c r="M33" s="2699"/>
    </row>
    <row r="34" spans="1:18" ht="18" customHeight="1">
      <c r="A34" s="1069" t="s">
        <v>679</v>
      </c>
      <c r="B34" s="155" t="s">
        <v>729</v>
      </c>
      <c r="C34" s="22">
        <f ca="1">IF(项目基本情况!B11="自然人","——",ROUND(F34*F35,0))</f>
        <v>0</v>
      </c>
      <c r="D34" s="324" t="s">
        <v>730</v>
      </c>
      <c r="E34" s="302" t="s">
        <v>731</v>
      </c>
      <c r="F34" s="325">
        <f>'数据-取费表'!B52</f>
        <v>1.5</v>
      </c>
      <c r="G34" s="1384"/>
      <c r="H34" s="2696"/>
      <c r="I34" s="1398"/>
      <c r="J34" s="1399"/>
      <c r="K34" s="2701"/>
      <c r="L34" s="2702"/>
      <c r="M34" s="2702"/>
    </row>
    <row r="35" spans="1:18" ht="18" customHeight="1">
      <c r="A35" s="1103"/>
      <c r="B35" s="1101"/>
      <c r="C35" s="26"/>
      <c r="D35" s="327"/>
      <c r="E35" s="302" t="s">
        <v>735</v>
      </c>
      <c r="F35" s="303">
        <f ca="1">INDIRECT("'数据-取费表'!r"&amp;$G$1)</f>
        <v>0</v>
      </c>
      <c r="G35" s="1384"/>
      <c r="H35" s="2696"/>
      <c r="I35" s="1398"/>
      <c r="J35" s="1399"/>
      <c r="K35" s="2700"/>
      <c r="L35" s="2699"/>
      <c r="M35" s="2699"/>
    </row>
    <row r="36" spans="1:18" ht="18" customHeight="1">
      <c r="A36" s="1102" t="s">
        <v>402</v>
      </c>
      <c r="B36" s="302" t="s">
        <v>737</v>
      </c>
      <c r="C36" s="21">
        <f ca="1">ROUND(C29*F36,0)</f>
        <v>0</v>
      </c>
      <c r="D36" s="1344" t="s">
        <v>770</v>
      </c>
      <c r="E36" s="302" t="s">
        <v>711</v>
      </c>
      <c r="F36" s="328">
        <f ca="1">INDIRECT("'数据-取费表'!Ak"&amp;$G$1)</f>
        <v>0</v>
      </c>
      <c r="G36" s="1384"/>
      <c r="H36" s="2699"/>
      <c r="I36" s="1398"/>
      <c r="J36" s="1399"/>
      <c r="K36" s="2543"/>
      <c r="L36" s="2699"/>
      <c r="M36" s="2699"/>
    </row>
    <row r="37" spans="1:18" ht="18" customHeight="1">
      <c r="A37" s="982" t="s">
        <v>437</v>
      </c>
      <c r="B37" s="302" t="s">
        <v>741</v>
      </c>
      <c r="C37" s="21">
        <f ca="1">ROUND(C13*F37,0)</f>
        <v>0</v>
      </c>
      <c r="D37" s="1344" t="s">
        <v>742</v>
      </c>
      <c r="E37" s="302" t="s">
        <v>743</v>
      </c>
      <c r="F37" s="330">
        <f ca="1">INDIRECT("'数据-取费表'!Al"&amp;$G$1)</f>
        <v>0</v>
      </c>
      <c r="G37" s="1384"/>
      <c r="H37" s="2699"/>
      <c r="I37" s="1398"/>
      <c r="J37" s="1399"/>
      <c r="K37" s="2543"/>
      <c r="L37" s="2699"/>
      <c r="M37" s="2699"/>
    </row>
    <row r="38" spans="1:18" ht="18" customHeight="1" thickBot="1">
      <c r="A38" s="1089" t="s">
        <v>683</v>
      </c>
      <c r="B38" s="1090" t="s">
        <v>727</v>
      </c>
      <c r="C38" s="1091">
        <f ca="1">ROUND(C5*F38,0)</f>
        <v>0</v>
      </c>
      <c r="D38" s="1092" t="s">
        <v>747</v>
      </c>
      <c r="E38" s="1090" t="s">
        <v>743</v>
      </c>
      <c r="F38" s="1086">
        <f ca="1">INDIRECT("'数据-取费表'!Am"&amp;$G$1)</f>
        <v>0</v>
      </c>
      <c r="G38" s="1384"/>
      <c r="H38" s="2699"/>
      <c r="I38" s="1398"/>
      <c r="J38" s="1399"/>
      <c r="K38" s="2703"/>
      <c r="L38" s="2699"/>
      <c r="M38" s="2699"/>
    </row>
    <row r="39" spans="1:18" ht="24.6" customHeight="1" thickTop="1">
      <c r="A39" s="1079" t="s">
        <v>394</v>
      </c>
      <c r="B39" s="1094" t="s">
        <v>771</v>
      </c>
      <c r="C39" s="310">
        <f ca="1">C5-C30</f>
        <v>0</v>
      </c>
      <c r="D39" s="1095" t="s">
        <v>772</v>
      </c>
      <c r="E39" s="1096"/>
      <c r="F39" s="1097"/>
      <c r="G39" s="1384"/>
      <c r="H39" s="2699"/>
      <c r="I39" s="1398"/>
      <c r="J39" s="1399"/>
      <c r="K39" s="2703"/>
      <c r="L39" s="2699"/>
      <c r="M39" s="2699"/>
    </row>
    <row r="40" spans="1:18" ht="18" customHeight="1">
      <c r="A40" s="299" t="s">
        <v>395</v>
      </c>
      <c r="B40" s="300" t="s">
        <v>773</v>
      </c>
      <c r="C40" s="301" t="e">
        <f ca="1">ROUND(C39*(1-((1+F42)/(1+F40))^F41)/(F40-F42),0)</f>
        <v>#DIV/0!</v>
      </c>
      <c r="D40" s="324" t="s">
        <v>757</v>
      </c>
      <c r="E40" s="302" t="s">
        <v>758</v>
      </c>
      <c r="F40" s="312">
        <f ca="1">INDIRECT("'数据-取费表'!I"&amp;$G$1)</f>
        <v>0</v>
      </c>
      <c r="G40" s="1384"/>
      <c r="H40" s="1461"/>
      <c r="I40" s="1398"/>
      <c r="J40" s="1399"/>
      <c r="K40" s="2703"/>
      <c r="L40" s="1461"/>
      <c r="M40" s="1461"/>
    </row>
    <row r="41" spans="1:18" ht="18" customHeight="1">
      <c r="A41" s="304"/>
      <c r="B41" s="305"/>
      <c r="C41" s="306"/>
      <c r="D41" s="332" t="s">
        <v>774</v>
      </c>
      <c r="E41" s="302" t="s">
        <v>762</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765</v>
      </c>
      <c r="F42" s="312">
        <f ca="1">INDIRECT("'数据-取费表'!v"&amp;$G$1)</f>
        <v>0</v>
      </c>
      <c r="G42" s="1384"/>
      <c r="H42" s="1191"/>
      <c r="I42" s="1398"/>
      <c r="J42" s="1399"/>
      <c r="K42" s="2543"/>
      <c r="L42" s="1191"/>
      <c r="M42" s="1191"/>
    </row>
    <row r="43" spans="1:18" ht="18" customHeight="1" thickBot="1">
      <c r="A43" s="334" t="s">
        <v>396</v>
      </c>
      <c r="B43" s="335" t="s">
        <v>775</v>
      </c>
      <c r="C43" s="336" t="e">
        <f ca="1">ROUND(C40/F43,0)</f>
        <v>#DIV/0!</v>
      </c>
      <c r="D43" s="337" t="s">
        <v>776</v>
      </c>
      <c r="E43" s="338" t="s">
        <v>777</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t="e">
        <f ca="1">ROUND((C68-C40)/10000,4)</f>
        <v>#DIV/0!</v>
      </c>
      <c r="D45" s="3431" t="s">
        <v>3359</v>
      </c>
      <c r="E45" s="1400"/>
      <c r="F45" s="1400"/>
      <c r="O45" s="1403" t="s">
        <v>807</v>
      </c>
      <c r="P45" s="1461"/>
      <c r="Q45" s="1461"/>
      <c r="R45" s="1461"/>
    </row>
    <row r="46" spans="1:18" s="1384" customFormat="1" ht="13.5" thickBot="1">
      <c r="A46" s="1404" t="s">
        <v>808</v>
      </c>
      <c r="C46" s="1405" t="e">
        <f ca="1">ROUND(C45,0)</f>
        <v>#DIV/0!</v>
      </c>
      <c r="D46" s="1406" t="str">
        <f>C2</f>
        <v>万元</v>
      </c>
      <c r="I46" s="1407" t="s">
        <v>809</v>
      </c>
      <c r="J46" s="1408"/>
      <c r="K46" s="1409"/>
      <c r="L46" s="1410" t="e">
        <f ca="1">IF(M47="住宅",0,IF(L48&gt;J51,L60,J60))</f>
        <v>#DIV/0!</v>
      </c>
      <c r="O46" s="1411" t="s">
        <v>810</v>
      </c>
      <c r="P46" s="1412" t="s">
        <v>811</v>
      </c>
      <c r="Q46" s="1413" t="s">
        <v>812</v>
      </c>
      <c r="R46" s="1413" t="s">
        <v>813</v>
      </c>
    </row>
    <row r="47" spans="1:18" s="1384" customFormat="1" ht="13.5" thickBot="1">
      <c r="A47" s="946" t="s">
        <v>686</v>
      </c>
      <c r="B47" s="978" t="s">
        <v>687</v>
      </c>
      <c r="C47" s="978" t="s">
        <v>688</v>
      </c>
      <c r="D47" s="978" t="s">
        <v>689</v>
      </c>
      <c r="E47" s="1058" t="s">
        <v>690</v>
      </c>
      <c r="F47" s="1059"/>
      <c r="G47" s="722"/>
      <c r="I47" s="1414" t="s">
        <v>814</v>
      </c>
      <c r="J47" s="1415"/>
      <c r="K47" s="1416" t="s">
        <v>815</v>
      </c>
      <c r="L47" s="1417">
        <f ca="1">INDIRECT("'数据-取费表'!d"&amp;$G$1)</f>
        <v>0</v>
      </c>
      <c r="M47" s="1380" t="str">
        <f>IF(ISNUMBER(FIND("住宅",C1)),"住宅","非住宅")</f>
        <v>非住宅</v>
      </c>
      <c r="O47" s="1418" t="s">
        <v>403</v>
      </c>
      <c r="P47" s="1419" t="s">
        <v>816</v>
      </c>
      <c r="Q47" s="1420" t="e">
        <f ca="1">C40+J29</f>
        <v>#DIV/0!</v>
      </c>
      <c r="R47" s="1420" t="s">
        <v>817</v>
      </c>
    </row>
    <row r="48" spans="1:18" s="1384" customFormat="1" ht="28.5" thickBot="1">
      <c r="A48" s="1110" t="s">
        <v>438</v>
      </c>
      <c r="B48" s="300" t="s">
        <v>691</v>
      </c>
      <c r="C48" s="1359">
        <f ca="1">C49+C53+C55</f>
        <v>0</v>
      </c>
      <c r="D48" s="1112"/>
      <c r="E48" s="1113"/>
      <c r="F48" s="962"/>
      <c r="G48" s="722"/>
      <c r="H48" s="723"/>
      <c r="I48" s="1421" t="s">
        <v>818</v>
      </c>
      <c r="J48" s="1422"/>
      <c r="K48" s="1423" t="s">
        <v>819</v>
      </c>
      <c r="L48" s="1424">
        <f ca="1">INDIRECT("'数据-取费表'!f"&amp;$G$1)</f>
        <v>0</v>
      </c>
      <c r="O48" s="1418" t="s">
        <v>404</v>
      </c>
      <c r="P48" s="1419" t="s">
        <v>820</v>
      </c>
      <c r="Q48" s="1420" t="e">
        <f ca="1">J60</f>
        <v>#DIV/0!</v>
      </c>
      <c r="R48" s="1420" t="s">
        <v>821</v>
      </c>
    </row>
    <row r="49" spans="1:18" s="1384" customFormat="1" ht="13.5" thickBot="1">
      <c r="A49" s="975" t="s">
        <v>439</v>
      </c>
      <c r="B49" s="1371" t="s">
        <v>778</v>
      </c>
      <c r="C49" s="1114">
        <f ca="1">ROUND(F49*F51*F50*(1-F52),0)</f>
        <v>0</v>
      </c>
      <c r="D49" s="1055" t="s">
        <v>694</v>
      </c>
      <c r="E49" s="1372" t="s">
        <v>779</v>
      </c>
      <c r="F49" s="1060"/>
      <c r="G49" s="1425"/>
      <c r="H49" s="723"/>
      <c r="I49" s="1421" t="s">
        <v>822</v>
      </c>
      <c r="J49" s="1426"/>
      <c r="K49" s="1423" t="s">
        <v>823</v>
      </c>
      <c r="L49" s="1427"/>
      <c r="O49" s="1428" t="s">
        <v>405</v>
      </c>
      <c r="P49" s="1419" t="s">
        <v>824</v>
      </c>
      <c r="Q49" s="1420">
        <f ca="1">C29</f>
        <v>0</v>
      </c>
      <c r="R49" s="1420" t="s">
        <v>817</v>
      </c>
    </row>
    <row r="50" spans="1:18" s="1384" customFormat="1" ht="13.5" thickBot="1">
      <c r="A50" s="976"/>
      <c r="B50" s="979"/>
      <c r="C50" s="980"/>
      <c r="D50" s="953"/>
      <c r="E50" s="1056" t="s">
        <v>696</v>
      </c>
      <c r="F50" s="1057">
        <f ca="1">F7</f>
        <v>0</v>
      </c>
      <c r="H50" s="723"/>
      <c r="I50" s="1421" t="s">
        <v>825</v>
      </c>
      <c r="J50" s="1429">
        <f>SUMPRODUCT((I63:I65=J47)*(J62:L62=J48)*(J63:L65))</f>
        <v>0</v>
      </c>
      <c r="K50" s="1423" t="s">
        <v>826</v>
      </c>
      <c r="L50" s="1427"/>
      <c r="M50" s="1430"/>
      <c r="O50" s="1428" t="s">
        <v>406</v>
      </c>
      <c r="P50" s="1419" t="s">
        <v>827</v>
      </c>
      <c r="Q50" s="1431" t="e">
        <f ca="1">J58</f>
        <v>#DIV/0!</v>
      </c>
      <c r="R50" s="1420"/>
    </row>
    <row r="51" spans="1:18" s="1384" customFormat="1" ht="13.5" thickBot="1">
      <c r="A51" s="977"/>
      <c r="B51" s="979"/>
      <c r="C51" s="980"/>
      <c r="D51" s="953"/>
      <c r="E51" s="981" t="s">
        <v>697</v>
      </c>
      <c r="F51" s="303">
        <f ca="1">F8</f>
        <v>0</v>
      </c>
      <c r="I51" s="1432" t="s">
        <v>828</v>
      </c>
      <c r="J51" s="1433">
        <f>IF(J49="",J50,J49+J50-YEAR('数据-取费表'!B2))</f>
        <v>0</v>
      </c>
      <c r="K51" s="1434" t="s">
        <v>829</v>
      </c>
      <c r="L51" s="1435">
        <f ca="1">ROUND(-PV(INDIRECT("'数据-取费表'!h"&amp;$G$1),J51,(C39-C13*C76),0),0)</f>
        <v>0</v>
      </c>
      <c r="M51" s="1436"/>
      <c r="O51" s="1428" t="s">
        <v>407</v>
      </c>
      <c r="P51" s="1419" t="s">
        <v>830</v>
      </c>
      <c r="Q51" s="1431">
        <f>J52</f>
        <v>0</v>
      </c>
      <c r="R51" s="1420"/>
    </row>
    <row r="52" spans="1:18" s="1384" customFormat="1" ht="13.5" thickBot="1">
      <c r="A52" s="977"/>
      <c r="B52" s="979"/>
      <c r="C52" s="980"/>
      <c r="D52" s="953"/>
      <c r="E52" s="981" t="s">
        <v>698</v>
      </c>
      <c r="F52" s="1054"/>
      <c r="I52" s="1437" t="s">
        <v>831</v>
      </c>
      <c r="J52" s="1438"/>
      <c r="K52" s="1437" t="s">
        <v>832</v>
      </c>
      <c r="L52" s="1438"/>
      <c r="O52" s="1428" t="s">
        <v>408</v>
      </c>
      <c r="P52" s="1419" t="s">
        <v>833</v>
      </c>
      <c r="Q52" s="1420">
        <f ca="1">J53</f>
        <v>0</v>
      </c>
      <c r="R52" s="1420" t="s">
        <v>834</v>
      </c>
    </row>
    <row r="53" spans="1:18" s="1384" customFormat="1" ht="30.75" customHeight="1" thickBot="1">
      <c r="A53" s="1111" t="s">
        <v>440</v>
      </c>
      <c r="B53" s="323" t="s">
        <v>699</v>
      </c>
      <c r="C53" s="316">
        <f ca="1">ROUND(IF(F53="押一",C49/12*F11,IF(F53="押二",C49/12*2*F11,IF(F53="押三",C49/12*3*F11,C54*F11))),0)</f>
        <v>0</v>
      </c>
      <c r="D53" s="1366" t="s">
        <v>2118</v>
      </c>
      <c r="E53" s="313" t="s">
        <v>700</v>
      </c>
      <c r="F53" s="1116"/>
      <c r="I53" s="1439" t="s">
        <v>835</v>
      </c>
      <c r="J53" s="2168">
        <f ca="1">IF(M47="住宅",IF(D1="——",MAX(J51,L48),MAX(J51,L48-'数据-取费表'!B24)),IF(D1="——",MIN(J51,L48),MIN(J51,L48-'数据-取费表'!B24)))</f>
        <v>0</v>
      </c>
      <c r="K53" s="3670" t="s">
        <v>836</v>
      </c>
      <c r="L53" s="3671"/>
      <c r="O53" s="1418" t="s">
        <v>409</v>
      </c>
      <c r="P53" s="1419" t="s">
        <v>837</v>
      </c>
      <c r="Q53" s="1420" t="e">
        <f ca="1">Q47+Q48</f>
        <v>#DIV/0!</v>
      </c>
      <c r="R53" s="1420" t="s">
        <v>410</v>
      </c>
    </row>
    <row r="54" spans="1:18" s="1384" customFormat="1" ht="13.5" thickBot="1">
      <c r="A54" s="975"/>
      <c r="B54" s="1473" t="s">
        <v>890</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838</v>
      </c>
      <c r="P54" s="1381"/>
      <c r="Q54" s="1381"/>
      <c r="R54" s="1381"/>
    </row>
    <row r="55" spans="1:18" s="1384" customFormat="1" ht="13.5" thickBot="1">
      <c r="A55" s="1083" t="s">
        <v>437</v>
      </c>
      <c r="B55" s="1369" t="s">
        <v>702</v>
      </c>
      <c r="C55" s="1084"/>
      <c r="D55" s="1366"/>
      <c r="E55" s="1374"/>
      <c r="F55" s="1440"/>
      <c r="I55" s="1443" t="s">
        <v>839</v>
      </c>
      <c r="J55" s="1444" t="e">
        <f ca="1">ROUND(IF(J47="钢混",J57/J50,1-(1-2%)*(J50-J57)/J50),3)</f>
        <v>#DIV/0!</v>
      </c>
      <c r="K55" s="1445" t="s">
        <v>840</v>
      </c>
      <c r="L55" s="1446"/>
      <c r="O55" s="1411" t="s">
        <v>810</v>
      </c>
      <c r="P55" s="1412" t="s">
        <v>811</v>
      </c>
      <c r="Q55" s="1413" t="s">
        <v>812</v>
      </c>
      <c r="R55" s="1413" t="s">
        <v>813</v>
      </c>
    </row>
    <row r="56" spans="1:18" s="1384" customFormat="1" ht="36" customHeight="1" thickTop="1" thickBot="1">
      <c r="A56" s="957">
        <v>2</v>
      </c>
      <c r="B56" s="958" t="s">
        <v>703</v>
      </c>
      <c r="C56" s="232">
        <f ca="1">C13</f>
        <v>0</v>
      </c>
      <c r="D56" s="1447"/>
      <c r="E56" s="1448"/>
      <c r="F56" s="1440"/>
      <c r="I56" s="1449" t="s">
        <v>841</v>
      </c>
      <c r="J56" s="1450"/>
      <c r="K56" s="1421" t="s">
        <v>842</v>
      </c>
      <c r="L56" s="1424">
        <f ca="1">IF(L48&lt;J51,"——",L48-J51)</f>
        <v>0</v>
      </c>
      <c r="O56" s="1418" t="s">
        <v>403</v>
      </c>
      <c r="P56" s="1419" t="s">
        <v>816</v>
      </c>
      <c r="Q56" s="1420" t="e">
        <f ca="1">C40+J29</f>
        <v>#DIV/0!</v>
      </c>
      <c r="R56" s="1420" t="s">
        <v>817</v>
      </c>
    </row>
    <row r="57" spans="1:18" s="1384" customFormat="1" ht="24.75" thickBot="1">
      <c r="A57" s="1451"/>
      <c r="B57" s="950" t="s">
        <v>766</v>
      </c>
      <c r="C57" s="238">
        <f ca="1">C29</f>
        <v>0</v>
      </c>
      <c r="D57" s="1452"/>
      <c r="E57" s="1453"/>
      <c r="F57" s="1454"/>
      <c r="I57" s="1455" t="s">
        <v>843</v>
      </c>
      <c r="J57" s="1456">
        <f ca="1">IF(OR(M47="住宅",J51&lt;L48,J56="是"),"——",J51-L48)</f>
        <v>0</v>
      </c>
      <c r="K57" s="1421" t="s">
        <v>891</v>
      </c>
      <c r="L57" s="1424">
        <f ca="1">IF(L48&lt;J51,"——",IF(L55="比较法",L49,IF(L55="基准地价",L50,L51)))</f>
        <v>0</v>
      </c>
      <c r="O57" s="1418" t="s">
        <v>404</v>
      </c>
      <c r="P57" s="1419" t="s">
        <v>892</v>
      </c>
      <c r="Q57" s="1420" t="e">
        <f ca="1">L60</f>
        <v>#DIV/0!</v>
      </c>
      <c r="R57" s="1420" t="s">
        <v>893</v>
      </c>
    </row>
    <row r="58" spans="1:18" s="1384" customFormat="1" ht="24.75" thickBot="1">
      <c r="A58" s="315" t="s">
        <v>393</v>
      </c>
      <c r="B58" s="958" t="s">
        <v>713</v>
      </c>
      <c r="C58" s="316">
        <f ca="1">ROUND(C59+C64+C65+C66,0)</f>
        <v>0</v>
      </c>
      <c r="D58" s="960" t="s">
        <v>714</v>
      </c>
      <c r="E58" s="961"/>
      <c r="F58" s="962"/>
      <c r="I58" s="1455" t="s">
        <v>847</v>
      </c>
      <c r="J58" s="1457" t="e">
        <f ca="1">IF(J55&lt;0.4,0.4,J55)</f>
        <v>#DIV/0!</v>
      </c>
      <c r="K58" s="1434" t="s">
        <v>894</v>
      </c>
      <c r="L58" s="1424" t="e">
        <f ca="1">ROUND(POWER(1+L52,L47-L48)*(POWER(1+L52,L48)-1)/(POWER(1+L52,L47)-1),4)</f>
        <v>#DIV/0!</v>
      </c>
      <c r="O58" s="1428" t="s">
        <v>405</v>
      </c>
      <c r="P58" s="1419" t="s">
        <v>849</v>
      </c>
      <c r="Q58" s="1420">
        <f>IF(L55="比较法",L49,IF(L55="基准地价",L50,0))</f>
        <v>0</v>
      </c>
      <c r="R58" s="1420" t="s">
        <v>817</v>
      </c>
    </row>
    <row r="59" spans="1:18" s="1384" customFormat="1" ht="24.75" thickBot="1">
      <c r="A59" s="982" t="s">
        <v>398</v>
      </c>
      <c r="B59" s="950" t="s">
        <v>718</v>
      </c>
      <c r="C59" s="2316">
        <f ca="1">ROUND(IF(AND(项目基本情况!B11="自然人",项目基本情况!B10="北京市"),C49*F59/(1+'数据-取费表'!C42),C60+C61+C62),0)</f>
        <v>0</v>
      </c>
      <c r="D59" s="963" t="s">
        <v>719</v>
      </c>
      <c r="E59" s="964" t="s">
        <v>720</v>
      </c>
      <c r="F59" s="2315" t="str">
        <f>IF(项目基本情况!B11="企业","——",IF('数据-取费表'!B10="住宅",IF(F49*F50*F51/12/(1+'数据-取费表'!F30)&gt;100000,4%,2.5%),IF(F49*F50*F51/12/(1+'数据-取费表'!F30)&gt;100000,12%,7%)))</f>
        <v>——</v>
      </c>
      <c r="I59" s="1455" t="s">
        <v>850</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851</v>
      </c>
      <c r="Q59" s="1431">
        <f>L52</f>
        <v>0</v>
      </c>
      <c r="R59" s="1420"/>
    </row>
    <row r="60" spans="1:18" s="1384" customFormat="1" ht="16.5" thickBot="1">
      <c r="A60" s="982" t="s">
        <v>397</v>
      </c>
      <c r="B60" s="950" t="s">
        <v>722</v>
      </c>
      <c r="C60" s="21">
        <f ca="1">IF(项目基本情况!B11="自然人","——",ROUND(C48*F60/(1+'数据-取费表'!C42),0))</f>
        <v>0</v>
      </c>
      <c r="D60" s="964" t="s">
        <v>723</v>
      </c>
      <c r="E60" s="950" t="s">
        <v>711</v>
      </c>
      <c r="F60" s="331">
        <f t="shared" ref="F60:F66" si="0">F32</f>
        <v>5.5000000000000007E-2</v>
      </c>
      <c r="I60" s="1458" t="s">
        <v>852</v>
      </c>
      <c r="J60" s="1459" t="e">
        <f ca="1">IF(OR(M47="住宅",J51&lt;L48,J56="是"),"0",ROUND(J59/(1+J52)^J53,0))</f>
        <v>#DIV/0!</v>
      </c>
      <c r="K60" s="1460" t="s">
        <v>853</v>
      </c>
      <c r="L60" s="1459" t="e">
        <f ca="1">IF(OR(M47="住宅",L48&lt;J51),0,ROUND(L57*(L58/L59-1),0))</f>
        <v>#DIV/0!</v>
      </c>
      <c r="O60" s="1428" t="s">
        <v>407</v>
      </c>
      <c r="P60" s="1419" t="s">
        <v>854</v>
      </c>
      <c r="Q60" s="1420" t="e">
        <f ca="1">L58</f>
        <v>#DIV/0!</v>
      </c>
      <c r="R60" s="1420" t="s">
        <v>855</v>
      </c>
    </row>
    <row r="61" spans="1:18" s="1384" customFormat="1" ht="13.5" thickBot="1">
      <c r="A61" s="982" t="s">
        <v>780</v>
      </c>
      <c r="B61" s="950" t="s">
        <v>781</v>
      </c>
      <c r="C61" s="21">
        <f ca="1">IF(项目基本情况!B11="自然人","——",IF(D61="按租金收入计税",ROUND(C49*F61/(1+'数据-取费表'!C42),0),IF(D61="按房产原值计税",ROUND(C57*F61*0.7,0),INDIRECT("'数据-取费表'!Aj"&amp;$G$1))))</f>
        <v>0</v>
      </c>
      <c r="D61" s="1370" t="s">
        <v>3342</v>
      </c>
      <c r="E61" s="950" t="s">
        <v>782</v>
      </c>
      <c r="F61" s="322">
        <f t="shared" si="0"/>
        <v>0.12</v>
      </c>
      <c r="I61" s="1461"/>
      <c r="J61" s="1461"/>
      <c r="K61" s="1461"/>
      <c r="L61" s="1461"/>
      <c r="O61" s="1428" t="s">
        <v>408</v>
      </c>
      <c r="P61" s="1419" t="str">
        <f>K59</f>
        <v>建筑物剩余耐用年限下的土地年期修正系数Kn</v>
      </c>
      <c r="Q61" s="1420" t="e">
        <f ca="1">L59</f>
        <v>#DIV/0!</v>
      </c>
      <c r="R61" s="1420" t="s">
        <v>856</v>
      </c>
    </row>
    <row r="62" spans="1:18" s="1384" customFormat="1" ht="13.5" thickBot="1">
      <c r="A62" s="982" t="s">
        <v>783</v>
      </c>
      <c r="B62" s="949" t="s">
        <v>784</v>
      </c>
      <c r="C62" s="22">
        <f ca="1">IF(项目基本情况!B11="自然人","——",ROUND(F62*F63,0))</f>
        <v>0</v>
      </c>
      <c r="D62" s="965" t="s">
        <v>785</v>
      </c>
      <c r="E62" s="950" t="s">
        <v>786</v>
      </c>
      <c r="F62" s="325">
        <f t="shared" si="0"/>
        <v>1.5</v>
      </c>
      <c r="I62" s="1462" t="s">
        <v>857</v>
      </c>
      <c r="J62" s="1463" t="s">
        <v>858</v>
      </c>
      <c r="K62" s="1463" t="s">
        <v>859</v>
      </c>
      <c r="L62" s="1463" t="s">
        <v>860</v>
      </c>
      <c r="M62" s="1464" t="s">
        <v>861</v>
      </c>
      <c r="O62" s="1418" t="s">
        <v>409</v>
      </c>
      <c r="P62" s="1419" t="s">
        <v>862</v>
      </c>
      <c r="Q62" s="1420" t="e">
        <f ca="1">Q56+Q57</f>
        <v>#DIV/0!</v>
      </c>
      <c r="R62" s="1420" t="s">
        <v>410</v>
      </c>
    </row>
    <row r="63" spans="1:18" s="1384" customFormat="1" ht="13.5" thickBot="1">
      <c r="A63" s="326"/>
      <c r="B63" s="956"/>
      <c r="C63" s="26"/>
      <c r="D63" s="966"/>
      <c r="E63" s="950" t="s">
        <v>787</v>
      </c>
      <c r="F63" s="303">
        <f t="shared" ca="1" si="0"/>
        <v>0</v>
      </c>
      <c r="I63" s="1462" t="s">
        <v>863</v>
      </c>
      <c r="J63" s="1463">
        <v>70</v>
      </c>
      <c r="K63" s="1463">
        <v>50</v>
      </c>
      <c r="L63" s="1463">
        <v>80</v>
      </c>
      <c r="M63" s="1465">
        <v>0.02</v>
      </c>
      <c r="O63" s="1403" t="s">
        <v>864</v>
      </c>
      <c r="P63" s="1381"/>
      <c r="Q63" s="1381"/>
      <c r="R63" s="1381"/>
    </row>
    <row r="64" spans="1:18" s="1384" customFormat="1" ht="13.5" thickBot="1">
      <c r="A64" s="982" t="s">
        <v>788</v>
      </c>
      <c r="B64" s="950" t="s">
        <v>789</v>
      </c>
      <c r="C64" s="21">
        <f ca="1">ROUND(C57*F64,0)</f>
        <v>0</v>
      </c>
      <c r="D64" s="964" t="s">
        <v>790</v>
      </c>
      <c r="E64" s="950" t="s">
        <v>782</v>
      </c>
      <c r="F64" s="328">
        <f t="shared" ca="1" si="0"/>
        <v>0</v>
      </c>
      <c r="I64" s="1462" t="s">
        <v>865</v>
      </c>
      <c r="J64" s="1463">
        <v>50</v>
      </c>
      <c r="K64" s="1463">
        <v>35</v>
      </c>
      <c r="L64" s="1463">
        <v>60</v>
      </c>
      <c r="M64" s="1464">
        <v>0</v>
      </c>
      <c r="O64" s="1411" t="s">
        <v>810</v>
      </c>
      <c r="P64" s="1412" t="s">
        <v>811</v>
      </c>
      <c r="Q64" s="1413" t="s">
        <v>812</v>
      </c>
      <c r="R64" s="1413" t="s">
        <v>813</v>
      </c>
    </row>
    <row r="65" spans="1:18" s="1384" customFormat="1" ht="13.5" thickBot="1">
      <c r="A65" s="982" t="s">
        <v>791</v>
      </c>
      <c r="B65" s="950" t="s">
        <v>741</v>
      </c>
      <c r="C65" s="21">
        <f ca="1">ROUND(C56*F65,0)</f>
        <v>0</v>
      </c>
      <c r="D65" s="964" t="s">
        <v>742</v>
      </c>
      <c r="E65" s="950" t="s">
        <v>743</v>
      </c>
      <c r="F65" s="330">
        <f t="shared" ca="1" si="0"/>
        <v>0</v>
      </c>
      <c r="I65" s="1462" t="s">
        <v>866</v>
      </c>
      <c r="J65" s="1463">
        <v>40</v>
      </c>
      <c r="K65" s="1463">
        <v>30</v>
      </c>
      <c r="L65" s="1463">
        <v>50</v>
      </c>
      <c r="M65" s="1465">
        <v>0.02</v>
      </c>
      <c r="O65" s="1418" t="s">
        <v>403</v>
      </c>
      <c r="P65" s="1419" t="s">
        <v>867</v>
      </c>
      <c r="Q65" s="1420" t="e">
        <f ca="1">C40+J29</f>
        <v>#DIV/0!</v>
      </c>
      <c r="R65" s="1420" t="s">
        <v>817</v>
      </c>
    </row>
    <row r="66" spans="1:18" s="1384" customFormat="1" ht="16.5" thickBot="1">
      <c r="A66" s="982" t="s">
        <v>792</v>
      </c>
      <c r="B66" s="950" t="s">
        <v>727</v>
      </c>
      <c r="C66" s="21">
        <f ca="1">ROUND(C48*F66,0)</f>
        <v>0</v>
      </c>
      <c r="D66" s="964" t="s">
        <v>793</v>
      </c>
      <c r="E66" s="950" t="s">
        <v>711</v>
      </c>
      <c r="F66" s="312">
        <f t="shared" ca="1" si="0"/>
        <v>0</v>
      </c>
      <c r="O66" s="1418" t="s">
        <v>404</v>
      </c>
      <c r="P66" s="1419" t="s">
        <v>845</v>
      </c>
      <c r="Q66" s="1420" t="e">
        <f ca="1">L60</f>
        <v>#DIV/0!</v>
      </c>
      <c r="R66" s="1420" t="s">
        <v>868</v>
      </c>
    </row>
    <row r="67" spans="1:18" s="1384" customFormat="1" ht="16.5" thickBot="1">
      <c r="A67" s="957" t="s">
        <v>394</v>
      </c>
      <c r="B67" s="967" t="s">
        <v>751</v>
      </c>
      <c r="C67" s="316">
        <f ca="1">C48-C58</f>
        <v>0</v>
      </c>
      <c r="D67" s="963" t="s">
        <v>752</v>
      </c>
      <c r="E67" s="968"/>
      <c r="F67" s="969"/>
      <c r="O67" s="1428" t="s">
        <v>405</v>
      </c>
      <c r="P67" s="1419" t="s">
        <v>849</v>
      </c>
      <c r="Q67" s="1466">
        <f ca="1">L51</f>
        <v>0</v>
      </c>
      <c r="R67" s="1420" t="s">
        <v>869</v>
      </c>
    </row>
    <row r="68" spans="1:18" s="1384" customFormat="1" ht="16.5" thickBot="1">
      <c r="A68" s="947" t="s">
        <v>395</v>
      </c>
      <c r="B68" s="948" t="s">
        <v>773</v>
      </c>
      <c r="C68" s="301" t="e">
        <f ca="1">ROUND(C67*(1-((1+F70)/(1+F68))^F69)/(F68-F70),0)</f>
        <v>#DIV/0!</v>
      </c>
      <c r="D68" s="965" t="s">
        <v>757</v>
      </c>
      <c r="E68" s="950" t="s">
        <v>758</v>
      </c>
      <c r="F68" s="312">
        <f ca="1">F40</f>
        <v>0</v>
      </c>
      <c r="O68" s="1428" t="s">
        <v>406</v>
      </c>
      <c r="P68" s="1467" t="s">
        <v>870</v>
      </c>
      <c r="Q68" s="1420">
        <f ca="1">ROUND(Q69-Q70*Q71,0)</f>
        <v>0</v>
      </c>
      <c r="R68" s="1420" t="s">
        <v>414</v>
      </c>
    </row>
    <row r="69" spans="1:18" s="1384" customFormat="1" ht="13.5" thickBot="1">
      <c r="A69" s="951"/>
      <c r="B69" s="952"/>
      <c r="C69" s="306"/>
      <c r="D69" s="970" t="s">
        <v>761</v>
      </c>
      <c r="E69" s="950" t="s">
        <v>762</v>
      </c>
      <c r="F69" s="333">
        <f ca="1">F41</f>
        <v>0</v>
      </c>
      <c r="O69" s="1428" t="s">
        <v>411</v>
      </c>
      <c r="P69" s="1467" t="s">
        <v>871</v>
      </c>
      <c r="Q69" s="1420">
        <f ca="1">C39</f>
        <v>0</v>
      </c>
      <c r="R69" s="1420" t="s">
        <v>817</v>
      </c>
    </row>
    <row r="70" spans="1:18" s="1384" customFormat="1" ht="13.5" thickBot="1">
      <c r="A70" s="954"/>
      <c r="B70" s="955"/>
      <c r="C70" s="310"/>
      <c r="D70" s="966"/>
      <c r="E70" s="950" t="s">
        <v>765</v>
      </c>
      <c r="F70" s="1054"/>
      <c r="O70" s="1428" t="s">
        <v>412</v>
      </c>
      <c r="P70" s="1467" t="s">
        <v>872</v>
      </c>
      <c r="Q70" s="1420">
        <f ca="1">C13</f>
        <v>0</v>
      </c>
      <c r="R70" s="1420" t="s">
        <v>817</v>
      </c>
    </row>
    <row r="71" spans="1:18" s="1384" customFormat="1" ht="13.5" thickBot="1">
      <c r="A71" s="971" t="s">
        <v>396</v>
      </c>
      <c r="B71" s="972" t="s">
        <v>775</v>
      </c>
      <c r="C71" s="336" t="e">
        <f ca="1">ROUND(C68/F71,0)</f>
        <v>#DIV/0!</v>
      </c>
      <c r="D71" s="973" t="s">
        <v>776</v>
      </c>
      <c r="E71" s="974" t="s">
        <v>777</v>
      </c>
      <c r="F71" s="339">
        <f ca="1">F43</f>
        <v>0</v>
      </c>
      <c r="O71" s="1428" t="s">
        <v>413</v>
      </c>
      <c r="P71" s="1467" t="s">
        <v>873</v>
      </c>
      <c r="Q71" s="1431">
        <f ca="1">C76</f>
        <v>0</v>
      </c>
      <c r="R71" s="1420"/>
    </row>
    <row r="72" spans="1:18" s="1384" customFormat="1" ht="13.5" thickBot="1">
      <c r="B72" s="726"/>
      <c r="C72" s="726"/>
      <c r="O72" s="1428" t="s">
        <v>407</v>
      </c>
      <c r="P72" s="1419" t="s">
        <v>851</v>
      </c>
      <c r="Q72" s="1431">
        <f>L52</f>
        <v>0</v>
      </c>
      <c r="R72" s="1420"/>
    </row>
    <row r="73" spans="1:18" ht="16.5" thickBot="1">
      <c r="A73" s="1384"/>
      <c r="B73" s="726"/>
      <c r="C73" s="726"/>
      <c r="D73" s="1384"/>
      <c r="E73" s="1384"/>
      <c r="F73" s="1384"/>
      <c r="O73" s="1428" t="s">
        <v>408</v>
      </c>
      <c r="P73" s="1419" t="s">
        <v>854</v>
      </c>
      <c r="Q73" s="1420" t="e">
        <f ca="1">L58</f>
        <v>#DIV/0!</v>
      </c>
      <c r="R73" s="1420" t="s">
        <v>855</v>
      </c>
    </row>
    <row r="74" spans="1:18" ht="13.5" thickBot="1">
      <c r="A74" s="1384"/>
      <c r="B74" s="273" t="s">
        <v>874</v>
      </c>
      <c r="C74" s="1469"/>
      <c r="D74" s="1384"/>
      <c r="E74" s="1384"/>
      <c r="F74" s="1384"/>
      <c r="O74" s="1428" t="s">
        <v>415</v>
      </c>
      <c r="P74" s="1419" t="str">
        <f>K59</f>
        <v>建筑物剩余耐用年限下的土地年期修正系数Kn</v>
      </c>
      <c r="Q74" s="1420" t="e">
        <f ca="1">L59</f>
        <v>#DIV/0!</v>
      </c>
      <c r="R74" s="1420" t="s">
        <v>856</v>
      </c>
    </row>
    <row r="75" spans="1:18" ht="13.5" thickBot="1">
      <c r="A75" s="1384"/>
      <c r="B75" s="340" t="s">
        <v>794</v>
      </c>
      <c r="C75" s="341">
        <f ca="1">ROUND(C13*C76,0)</f>
        <v>0</v>
      </c>
      <c r="D75" s="1384"/>
      <c r="E75" s="1384"/>
      <c r="F75" s="1384"/>
      <c r="K75" s="1402"/>
      <c r="L75" s="1384"/>
      <c r="O75" s="1418" t="s">
        <v>409</v>
      </c>
      <c r="P75" s="1419" t="s">
        <v>837</v>
      </c>
      <c r="Q75" s="1420" t="e">
        <f ca="1">Q65+Q66</f>
        <v>#DIV/0!</v>
      </c>
      <c r="R75" s="1420" t="s">
        <v>410</v>
      </c>
    </row>
    <row r="76" spans="1:18">
      <c r="B76" s="342" t="s">
        <v>795</v>
      </c>
      <c r="C76" s="343">
        <f ca="1">INDIRECT("'数据-取费表'!j"&amp;$G$1)</f>
        <v>0</v>
      </c>
      <c r="I76" s="1384"/>
      <c r="J76" s="1384"/>
      <c r="K76" s="1402"/>
      <c r="L76" s="1384"/>
    </row>
    <row r="77" spans="1:18">
      <c r="B77" s="344" t="s">
        <v>796</v>
      </c>
      <c r="C77" s="345"/>
      <c r="I77" s="1384"/>
      <c r="J77" s="1384"/>
      <c r="K77" s="1402"/>
      <c r="L77" s="1384"/>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3365</v>
      </c>
      <c r="E2" s="3443"/>
      <c r="F2" s="2845"/>
      <c r="G2" s="2846"/>
      <c r="H2" s="2847"/>
      <c r="I2" s="2848"/>
      <c r="J2" s="3675" t="s">
        <v>2319</v>
      </c>
      <c r="K2" s="3676"/>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77" t="s">
        <v>2329</v>
      </c>
      <c r="K3" s="3678"/>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77" t="s">
        <v>2331</v>
      </c>
      <c r="K4" s="3678"/>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79" t="s">
        <v>2335</v>
      </c>
      <c r="B6" s="3680"/>
      <c r="C6" s="3681"/>
      <c r="D6" s="2869"/>
      <c r="E6" s="2870"/>
      <c r="F6" s="2871"/>
      <c r="G6" s="2872"/>
      <c r="H6" s="2847"/>
      <c r="I6" s="2848"/>
      <c r="J6" s="3682">
        <v>1</v>
      </c>
      <c r="K6" s="3683"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82"/>
      <c r="K7" s="3684"/>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86" t="s">
        <v>2349</v>
      </c>
      <c r="C8" s="3687"/>
      <c r="D8" s="2888" t="s">
        <v>2350</v>
      </c>
      <c r="E8" s="2889" t="s">
        <v>2351</v>
      </c>
      <c r="F8" s="2890" t="s">
        <v>2352</v>
      </c>
      <c r="G8" s="2891"/>
      <c r="H8" s="2847"/>
      <c r="I8" s="2848"/>
      <c r="J8" s="3682"/>
      <c r="K8" s="3684"/>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86" t="s">
        <v>2355</v>
      </c>
      <c r="C9" s="3687"/>
      <c r="D9" s="2888">
        <f>ROUND(D6*E9,0)</f>
        <v>0</v>
      </c>
      <c r="E9" s="2892"/>
      <c r="F9" s="2893" t="s">
        <v>2356</v>
      </c>
      <c r="G9" s="2872"/>
      <c r="H9" s="2847"/>
      <c r="I9" s="2848"/>
      <c r="J9" s="3682"/>
      <c r="K9" s="3684"/>
      <c r="L9" s="2882" t="s">
        <v>2357</v>
      </c>
      <c r="M9" s="2883"/>
      <c r="N9" s="2859"/>
      <c r="O9" s="2884"/>
      <c r="P9" s="2884"/>
      <c r="Q9" s="2885">
        <v>365</v>
      </c>
      <c r="R9" s="2886">
        <f t="shared" si="0"/>
        <v>0</v>
      </c>
      <c r="S9" s="2840"/>
      <c r="T9" s="2840"/>
      <c r="U9" s="2840"/>
      <c r="V9" s="2848"/>
    </row>
    <row r="10" spans="1:22" s="2852" customFormat="1" ht="13.15" customHeight="1">
      <c r="A10" s="2887">
        <v>2</v>
      </c>
      <c r="B10" s="3686" t="s">
        <v>2358</v>
      </c>
      <c r="C10" s="3687"/>
      <c r="D10" s="2888">
        <f>ROUND(D6*E10,0)</f>
        <v>0</v>
      </c>
      <c r="E10" s="2892"/>
      <c r="F10" s="2893" t="s">
        <v>2359</v>
      </c>
      <c r="G10" s="2872"/>
      <c r="H10" s="2847"/>
      <c r="I10" s="2848"/>
      <c r="J10" s="3682"/>
      <c r="K10" s="3684"/>
      <c r="L10" s="2882" t="s">
        <v>2360</v>
      </c>
      <c r="M10" s="2883"/>
      <c r="N10" s="2859"/>
      <c r="O10" s="2884"/>
      <c r="P10" s="2884"/>
      <c r="Q10" s="2885">
        <v>365</v>
      </c>
      <c r="R10" s="2886">
        <f t="shared" si="0"/>
        <v>0</v>
      </c>
      <c r="S10" s="2840"/>
      <c r="T10" s="2840"/>
      <c r="U10" s="2840"/>
      <c r="V10" s="2848"/>
    </row>
    <row r="11" spans="1:22" s="2852" customFormat="1" ht="13.15" customHeight="1">
      <c r="A11" s="2887">
        <v>3</v>
      </c>
      <c r="B11" s="3686" t="s">
        <v>2361</v>
      </c>
      <c r="C11" s="3687"/>
      <c r="D11" s="2888">
        <f>D12+D14+D15+D16</f>
        <v>0</v>
      </c>
      <c r="E11" s="2894" t="e">
        <f>D11/D6</f>
        <v>#DIV/0!</v>
      </c>
      <c r="F11" s="2890"/>
      <c r="G11" s="2891"/>
      <c r="H11" s="2847"/>
      <c r="I11" s="2848"/>
      <c r="J11" s="3682"/>
      <c r="K11" s="3684"/>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88" t="s">
        <v>2364</v>
      </c>
      <c r="C12" s="3689"/>
      <c r="D12" s="2896">
        <f>ROUND(D13*1.2%*(1-30%),0)</f>
        <v>0</v>
      </c>
      <c r="E12" s="2897">
        <v>1.2E-2</v>
      </c>
      <c r="F12" s="2890" t="s">
        <v>2365</v>
      </c>
      <c r="G12" s="2891"/>
      <c r="H12" s="2847"/>
      <c r="I12" s="2848"/>
      <c r="J12" s="3682"/>
      <c r="K12" s="3684"/>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82"/>
      <c r="K13" s="3684"/>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88" t="s">
        <v>2370</v>
      </c>
      <c r="C14" s="3689"/>
      <c r="D14" s="2896">
        <f>ROUND(E14*B5/10000,0)</f>
        <v>0</v>
      </c>
      <c r="E14" s="2885"/>
      <c r="F14" s="2890" t="s">
        <v>2371</v>
      </c>
      <c r="G14" s="2891"/>
      <c r="H14" s="2847"/>
      <c r="I14" s="2848"/>
      <c r="J14" s="3682"/>
      <c r="K14" s="3685"/>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88" t="s">
        <v>2374</v>
      </c>
      <c r="C15" s="3689"/>
      <c r="D15" s="2896">
        <f>ROUND(D6*E15,0)</f>
        <v>0</v>
      </c>
      <c r="E15" s="2897">
        <v>5.5E-2</v>
      </c>
      <c r="F15" s="2890" t="s">
        <v>2375</v>
      </c>
      <c r="G15" s="2872"/>
      <c r="H15" s="2847"/>
      <c r="I15" s="2848"/>
      <c r="J15" s="3682">
        <v>2</v>
      </c>
      <c r="K15" s="3683"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88" t="s">
        <v>2383</v>
      </c>
      <c r="C16" s="3689"/>
      <c r="D16" s="2907">
        <f>D6*E16</f>
        <v>0</v>
      </c>
      <c r="E16" s="2908"/>
      <c r="F16" s="2893" t="s">
        <v>2384</v>
      </c>
      <c r="G16" s="2872"/>
      <c r="H16" s="2847"/>
      <c r="I16" s="2848"/>
      <c r="J16" s="3682"/>
      <c r="K16" s="3684"/>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90" t="s">
        <v>2386</v>
      </c>
      <c r="C17" s="3691"/>
      <c r="D17" s="2910">
        <f>ROUND(D6*E17,0)</f>
        <v>0</v>
      </c>
      <c r="E17" s="2911"/>
      <c r="F17" s="2912" t="s">
        <v>2387</v>
      </c>
      <c r="G17" s="2872"/>
      <c r="H17" s="2847"/>
      <c r="I17" s="2848"/>
      <c r="J17" s="3682"/>
      <c r="K17" s="3684"/>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82"/>
      <c r="K18" s="3684"/>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82"/>
      <c r="K19" s="3685"/>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2">
        <v>3</v>
      </c>
      <c r="K20" s="3683"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82"/>
      <c r="K21" s="3684"/>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82"/>
      <c r="K22" s="3684"/>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82"/>
      <c r="K23" s="3684"/>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82"/>
      <c r="K24" s="3685"/>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92">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9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75" t="s">
        <v>2319</v>
      </c>
      <c r="K32" s="3676"/>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77" t="s">
        <v>2329</v>
      </c>
      <c r="K33" s="3678"/>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77" t="s">
        <v>2331</v>
      </c>
      <c r="K34" s="367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82">
        <v>1</v>
      </c>
      <c r="K36" s="3683"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82"/>
      <c r="K37" s="3684"/>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2"/>
      <c r="K38" s="3684"/>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82"/>
      <c r="K39" s="3684"/>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82"/>
      <c r="K40" s="3685"/>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2">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9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6"/>
      <c r="G1" s="1489"/>
      <c r="H1" s="1489"/>
      <c r="I1" s="1489"/>
      <c r="J1" s="1489"/>
      <c r="K1" s="1489"/>
      <c r="L1" s="1489"/>
      <c r="M1" s="1489"/>
      <c r="N1" s="1489"/>
      <c r="O1" s="1489"/>
      <c r="P1" s="1489"/>
      <c r="Q1" s="1489"/>
      <c r="R1" s="1489"/>
      <c r="S1" s="1489"/>
    </row>
    <row r="2" spans="1:22" ht="15.75">
      <c r="A2" s="1870" t="s">
        <v>1461</v>
      </c>
      <c r="B2" s="1871">
        <f ca="1">SUMIF(B6:B13,"&lt;&gt;#ref!",B6:B13)</f>
        <v>291915</v>
      </c>
      <c r="C2" s="1872" t="s">
        <v>1650</v>
      </c>
      <c r="D2" s="1873" t="s">
        <v>1651</v>
      </c>
      <c r="E2" s="2606">
        <f>SUM(E6:E13)</f>
        <v>114107.98000000001</v>
      </c>
      <c r="F2" s="2706"/>
      <c r="G2" s="1489"/>
      <c r="H2" s="1489"/>
      <c r="I2" s="1489"/>
      <c r="J2" s="1489"/>
      <c r="K2" s="1489"/>
      <c r="L2" s="1489"/>
      <c r="M2" s="1489"/>
      <c r="N2" s="1489"/>
      <c r="O2" s="1489"/>
      <c r="P2" s="1489"/>
      <c r="Q2" s="1489"/>
      <c r="R2" s="1489"/>
      <c r="S2" s="1489"/>
    </row>
    <row r="3" spans="1:22" ht="15.75">
      <c r="A3" s="1870" t="s">
        <v>685</v>
      </c>
      <c r="B3" s="2600">
        <f ca="1">ROUND(B2*10000/E2,0)</f>
        <v>25582</v>
      </c>
      <c r="C3" s="1872" t="s">
        <v>1658</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1652</v>
      </c>
      <c r="B5" s="3694" t="s">
        <v>1653</v>
      </c>
      <c r="C5" s="3695"/>
      <c r="D5" s="2707"/>
      <c r="E5" s="1874" t="s">
        <v>1654</v>
      </c>
      <c r="F5" s="1875" t="s">
        <v>1655</v>
      </c>
      <c r="G5" s="1489"/>
      <c r="H5" s="1489"/>
      <c r="I5" s="1489"/>
      <c r="J5" s="1489"/>
      <c r="K5" s="1489"/>
      <c r="L5" s="1489"/>
      <c r="M5" s="1489"/>
      <c r="N5" s="1489"/>
      <c r="O5" s="1489"/>
      <c r="P5" s="1489"/>
      <c r="Q5" s="1489"/>
      <c r="R5" s="1489"/>
      <c r="S5" s="1489"/>
    </row>
    <row r="6" spans="1:22">
      <c r="A6" s="2603" t="str">
        <f>'数据-取费表'!AN6</f>
        <v>收益法</v>
      </c>
      <c r="B6" s="2601">
        <f ca="1">IF(F6="是",'数据-取费表'!AO6,0)</f>
        <v>291915</v>
      </c>
      <c r="C6" s="1872" t="s">
        <v>1650</v>
      </c>
      <c r="D6" s="2708"/>
      <c r="E6" s="2605">
        <f>IF(OR(A6=0,F6="否"),0,'数据-取费表'!K6+'数据-取费表'!S6)</f>
        <v>114107.98000000001</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684</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685</v>
      </c>
      <c r="B3" s="353">
        <f>IF(C2="——",C49,ROUND(B2*10000/D3,0))</f>
        <v>0</v>
      </c>
      <c r="C3" s="354" t="s">
        <v>1664</v>
      </c>
      <c r="D3" s="353">
        <f>IF(D1="",'数据-汇总表'!E3,SUMIF('数据-汇总表'!$C19:$C33,D1,'数据-汇总表'!$E19:$E33))</f>
        <v>114107.98000000001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1665</v>
      </c>
      <c r="B4" s="356"/>
      <c r="C4" s="3714" t="s">
        <v>1666</v>
      </c>
      <c r="D4" s="3715"/>
      <c r="E4" s="3716" t="s">
        <v>1667</v>
      </c>
      <c r="F4" s="3717"/>
      <c r="G4" s="3714" t="s">
        <v>1668</v>
      </c>
      <c r="H4" s="3715"/>
      <c r="I4" s="3714" t="s">
        <v>1669</v>
      </c>
      <c r="J4" s="3715"/>
      <c r="K4" s="1889" t="s">
        <v>1670</v>
      </c>
      <c r="L4" s="2714"/>
      <c r="M4" s="2715"/>
      <c r="N4" s="2715"/>
      <c r="O4" s="2715"/>
      <c r="P4" s="3718" t="s">
        <v>1671</v>
      </c>
      <c r="Q4" s="3719"/>
      <c r="R4" s="3701" t="s">
        <v>1667</v>
      </c>
      <c r="S4" s="3702"/>
      <c r="T4" s="3701" t="s">
        <v>1668</v>
      </c>
      <c r="U4" s="3702"/>
      <c r="V4" s="3726" t="s">
        <v>1669</v>
      </c>
      <c r="W4" s="3726"/>
      <c r="X4" s="1355"/>
      <c r="Y4" s="3701" t="s">
        <v>1671</v>
      </c>
      <c r="Z4" s="3702"/>
      <c r="AA4" s="3696" t="s">
        <v>1667</v>
      </c>
      <c r="AB4" s="3696" t="s">
        <v>1668</v>
      </c>
      <c r="AC4" s="3696" t="s">
        <v>1669</v>
      </c>
    </row>
    <row r="5" spans="1:29" ht="15">
      <c r="A5" s="358"/>
      <c r="B5" s="359"/>
      <c r="C5" s="3707" t="s">
        <v>1672</v>
      </c>
      <c r="D5" s="3708"/>
      <c r="E5" s="3705" t="s">
        <v>1673</v>
      </c>
      <c r="F5" s="3706"/>
      <c r="G5" s="3707" t="s">
        <v>1674</v>
      </c>
      <c r="H5" s="3708"/>
      <c r="I5" s="3707" t="s">
        <v>1675</v>
      </c>
      <c r="J5" s="3708"/>
      <c r="K5" s="1890"/>
      <c r="L5" s="2714"/>
      <c r="M5" s="2715"/>
      <c r="N5" s="2715"/>
      <c r="O5" s="2715"/>
      <c r="P5" s="3720"/>
      <c r="Q5" s="3721"/>
      <c r="R5" s="3703"/>
      <c r="S5" s="3704"/>
      <c r="T5" s="3703"/>
      <c r="U5" s="3704"/>
      <c r="V5" s="3726"/>
      <c r="W5" s="3726"/>
      <c r="X5" s="1355"/>
      <c r="Y5" s="3703"/>
      <c r="Z5" s="3704"/>
      <c r="AA5" s="3697"/>
      <c r="AB5" s="3697"/>
      <c r="AC5" s="3697"/>
    </row>
    <row r="6" spans="1:29" ht="15.75" thickBot="1">
      <c r="A6" s="360"/>
      <c r="B6" s="361"/>
      <c r="C6" s="3709" t="s">
        <v>1676</v>
      </c>
      <c r="D6" s="3710"/>
      <c r="E6" s="3711" t="s">
        <v>1676</v>
      </c>
      <c r="F6" s="3712"/>
      <c r="G6" s="3709" t="s">
        <v>1676</v>
      </c>
      <c r="H6" s="3710"/>
      <c r="I6" s="3709" t="s">
        <v>1676</v>
      </c>
      <c r="J6" s="3710"/>
      <c r="K6" s="1890" t="s">
        <v>1677</v>
      </c>
      <c r="L6" s="2714"/>
      <c r="M6" s="2715"/>
      <c r="N6" s="2715"/>
      <c r="O6" s="2715"/>
      <c r="P6" s="3722"/>
      <c r="Q6" s="3723"/>
      <c r="R6" s="3703"/>
      <c r="S6" s="3704"/>
      <c r="T6" s="3724"/>
      <c r="U6" s="3725"/>
      <c r="V6" s="3726"/>
      <c r="W6" s="3726"/>
      <c r="X6" s="1355"/>
      <c r="Y6" s="3724"/>
      <c r="Z6" s="3725"/>
      <c r="AA6" s="3698"/>
      <c r="AB6" s="3698"/>
      <c r="AC6" s="3698"/>
    </row>
    <row r="7" spans="1:29" s="108" customFormat="1" ht="15.75" thickBot="1">
      <c r="A7" s="362" t="s">
        <v>1678</v>
      </c>
      <c r="B7" s="363"/>
      <c r="C7" s="364">
        <f>'数据-取费表'!B2</f>
        <v>45002</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99" t="s">
        <v>1679</v>
      </c>
      <c r="Q7" s="3727"/>
      <c r="R7" s="701" t="s">
        <v>20</v>
      </c>
      <c r="S7" s="702">
        <f t="shared" ref="S7:S15" si="0">F7</f>
        <v>0</v>
      </c>
      <c r="T7" s="701" t="s">
        <v>20</v>
      </c>
      <c r="U7" s="702">
        <f t="shared" ref="U7:U15" si="1">H7</f>
        <v>0</v>
      </c>
      <c r="V7" s="701" t="s">
        <v>20</v>
      </c>
      <c r="W7" s="702">
        <f t="shared" ref="W7:W15"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99" t="s">
        <v>1682</v>
      </c>
      <c r="Q8" s="3700"/>
      <c r="R8" s="701" t="s">
        <v>20</v>
      </c>
      <c r="S8" s="702">
        <f t="shared" si="0"/>
        <v>100</v>
      </c>
      <c r="T8" s="701" t="s">
        <v>20</v>
      </c>
      <c r="U8" s="702">
        <f t="shared" si="1"/>
        <v>100</v>
      </c>
      <c r="V8" s="701" t="s">
        <v>20</v>
      </c>
      <c r="W8" s="702">
        <f t="shared" si="2"/>
        <v>100</v>
      </c>
      <c r="X8" s="703"/>
      <c r="Y8" s="3699" t="s">
        <v>1682</v>
      </c>
      <c r="Z8" s="370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13" t="s">
        <v>1685</v>
      </c>
      <c r="Q9" s="1343" t="str">
        <f t="shared" ref="Q9:Q15" si="6">B9</f>
        <v>用途</v>
      </c>
      <c r="R9" s="701" t="s">
        <v>14</v>
      </c>
      <c r="S9" s="702">
        <f t="shared" si="0"/>
        <v>100</v>
      </c>
      <c r="T9" s="701" t="s">
        <v>14</v>
      </c>
      <c r="U9" s="702">
        <f t="shared" si="1"/>
        <v>100</v>
      </c>
      <c r="V9" s="701" t="s">
        <v>14</v>
      </c>
      <c r="W9" s="702">
        <f t="shared" si="2"/>
        <v>100</v>
      </c>
      <c r="X9" s="703"/>
      <c r="Y9" s="3643"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3"/>
      <c r="Q11" s="1343" t="str">
        <f t="shared" si="6"/>
        <v>容积率</v>
      </c>
      <c r="R11" s="701" t="s">
        <v>18</v>
      </c>
      <c r="S11" s="702" t="e">
        <f t="shared" si="0"/>
        <v>#N/A</v>
      </c>
      <c r="T11" s="701" t="s">
        <v>18</v>
      </c>
      <c r="U11" s="702" t="e">
        <f t="shared" si="1"/>
        <v>#N/A</v>
      </c>
      <c r="V11" s="701" t="s">
        <v>18</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3"/>
      <c r="Q12" s="1343">
        <f t="shared" si="6"/>
        <v>111</v>
      </c>
      <c r="R12" s="701" t="s">
        <v>18</v>
      </c>
      <c r="S12" s="702">
        <f t="shared" si="0"/>
        <v>100</v>
      </c>
      <c r="T12" s="701" t="s">
        <v>18</v>
      </c>
      <c r="U12" s="702">
        <f t="shared" si="1"/>
        <v>100</v>
      </c>
      <c r="V12" s="701" t="s">
        <v>18</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3"/>
      <c r="Q13" s="1343">
        <f t="shared" si="6"/>
        <v>111</v>
      </c>
      <c r="R13" s="701" t="s">
        <v>18</v>
      </c>
      <c r="S13" s="702">
        <f t="shared" si="0"/>
        <v>100</v>
      </c>
      <c r="T13" s="701" t="s">
        <v>18</v>
      </c>
      <c r="U13" s="702">
        <f t="shared" si="1"/>
        <v>100</v>
      </c>
      <c r="V13" s="701" t="s">
        <v>18</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3"/>
      <c r="Q14" s="1343">
        <f t="shared" si="6"/>
        <v>111</v>
      </c>
      <c r="R14" s="701" t="s">
        <v>18</v>
      </c>
      <c r="S14" s="702">
        <f t="shared" si="0"/>
        <v>100</v>
      </c>
      <c r="T14" s="701" t="s">
        <v>18</v>
      </c>
      <c r="U14" s="702">
        <f t="shared" si="1"/>
        <v>100</v>
      </c>
      <c r="V14" s="701" t="s">
        <v>18</v>
      </c>
      <c r="W14" s="702">
        <f t="shared" si="2"/>
        <v>100</v>
      </c>
      <c r="X14" s="703"/>
      <c r="Y14" s="3643"/>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0" t="s">
        <v>1690</v>
      </c>
      <c r="Q15" s="1352" t="str">
        <f t="shared" si="6"/>
        <v>居住社区成熟度</v>
      </c>
      <c r="R15" s="705" t="s">
        <v>18</v>
      </c>
      <c r="S15" s="706">
        <f t="shared" si="0"/>
        <v>100</v>
      </c>
      <c r="T15" s="705" t="s">
        <v>18</v>
      </c>
      <c r="U15" s="706">
        <f t="shared" si="1"/>
        <v>100</v>
      </c>
      <c r="V15" s="705" t="s">
        <v>18</v>
      </c>
      <c r="W15" s="706">
        <f t="shared" si="2"/>
        <v>100</v>
      </c>
      <c r="X15" s="1355"/>
      <c r="Y15" s="3733"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1"/>
      <c r="Q16" s="1352"/>
      <c r="R16" s="705"/>
      <c r="S16" s="706"/>
      <c r="T16" s="705"/>
      <c r="U16" s="706"/>
      <c r="V16" s="705"/>
      <c r="W16" s="706"/>
      <c r="X16" s="1355"/>
      <c r="Y16" s="3734"/>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1"/>
      <c r="Q17" s="1352" t="str">
        <f>B17</f>
        <v>交通便捷度</v>
      </c>
      <c r="R17" s="705" t="s">
        <v>18</v>
      </c>
      <c r="S17" s="706">
        <f>F17</f>
        <v>100</v>
      </c>
      <c r="T17" s="705" t="s">
        <v>18</v>
      </c>
      <c r="U17" s="706">
        <f>H17</f>
        <v>100</v>
      </c>
      <c r="V17" s="705" t="s">
        <v>18</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1"/>
      <c r="Q18" s="1352"/>
      <c r="R18" s="705"/>
      <c r="S18" s="706"/>
      <c r="T18" s="705"/>
      <c r="U18" s="706"/>
      <c r="V18" s="705"/>
      <c r="W18" s="706"/>
      <c r="X18" s="1355"/>
      <c r="Y18" s="3734"/>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1"/>
      <c r="Q19" s="1352" t="str">
        <f>B19</f>
        <v>公共配套设施</v>
      </c>
      <c r="R19" s="705" t="s">
        <v>18</v>
      </c>
      <c r="S19" s="706">
        <f>F19</f>
        <v>100</v>
      </c>
      <c r="T19" s="705" t="s">
        <v>18</v>
      </c>
      <c r="U19" s="706">
        <f>H19</f>
        <v>100</v>
      </c>
      <c r="V19" s="705" t="s">
        <v>18</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1"/>
      <c r="Q20" s="1352"/>
      <c r="R20" s="705"/>
      <c r="S20" s="706"/>
      <c r="T20" s="705"/>
      <c r="U20" s="706"/>
      <c r="V20" s="705"/>
      <c r="W20" s="706"/>
      <c r="X20" s="1355"/>
      <c r="Y20" s="3734"/>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1"/>
      <c r="Q22" s="1352"/>
      <c r="R22" s="705"/>
      <c r="S22" s="706"/>
      <c r="T22" s="705"/>
      <c r="U22" s="706"/>
      <c r="V22" s="705"/>
      <c r="W22" s="706"/>
      <c r="X22" s="1355"/>
      <c r="Y22" s="3734"/>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1"/>
      <c r="Q23" s="1352" t="str">
        <f>B23</f>
        <v>自然及人文环境</v>
      </c>
      <c r="R23" s="705" t="s">
        <v>18</v>
      </c>
      <c r="S23" s="706">
        <f>F23</f>
        <v>100</v>
      </c>
      <c r="T23" s="705" t="s">
        <v>18</v>
      </c>
      <c r="U23" s="706">
        <f>H23</f>
        <v>100</v>
      </c>
      <c r="V23" s="705" t="s">
        <v>18</v>
      </c>
      <c r="W23" s="706">
        <f>J23</f>
        <v>100</v>
      </c>
      <c r="X23" s="1355"/>
      <c r="Y23" s="373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1"/>
      <c r="Q24" s="1352"/>
      <c r="R24" s="705"/>
      <c r="S24" s="706"/>
      <c r="T24" s="705"/>
      <c r="U24" s="706"/>
      <c r="V24" s="705"/>
      <c r="W24" s="706"/>
      <c r="X24" s="1355"/>
      <c r="Y24" s="3734"/>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4"/>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41"/>
      <c r="Q26" s="1352" t="str">
        <f t="shared" si="11"/>
        <v>朝向</v>
      </c>
      <c r="R26" s="705" t="s">
        <v>18</v>
      </c>
      <c r="S26" s="706">
        <f t="shared" si="12"/>
        <v>100</v>
      </c>
      <c r="T26" s="705" t="s">
        <v>18</v>
      </c>
      <c r="U26" s="706">
        <f t="shared" si="13"/>
        <v>100</v>
      </c>
      <c r="V26" s="705" t="s">
        <v>18</v>
      </c>
      <c r="W26" s="706">
        <f t="shared" si="14"/>
        <v>100</v>
      </c>
      <c r="X26" s="1355"/>
      <c r="Y26" s="373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41"/>
      <c r="Q27" s="1343">
        <f t="shared" si="11"/>
        <v>111</v>
      </c>
      <c r="R27" s="701" t="s">
        <v>18</v>
      </c>
      <c r="S27" s="702">
        <f t="shared" si="12"/>
        <v>100</v>
      </c>
      <c r="T27" s="701" t="s">
        <v>18</v>
      </c>
      <c r="U27" s="702">
        <f t="shared" si="13"/>
        <v>100</v>
      </c>
      <c r="V27" s="701" t="s">
        <v>18</v>
      </c>
      <c r="W27" s="702">
        <f t="shared" si="14"/>
        <v>100</v>
      </c>
      <c r="X27" s="703"/>
      <c r="Y27" s="373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1"/>
      <c r="Q28" s="1352">
        <f t="shared" si="11"/>
        <v>111</v>
      </c>
      <c r="R28" s="705" t="s">
        <v>18</v>
      </c>
      <c r="S28" s="706">
        <f t="shared" si="12"/>
        <v>100</v>
      </c>
      <c r="T28" s="705" t="s">
        <v>18</v>
      </c>
      <c r="U28" s="706">
        <f t="shared" si="13"/>
        <v>100</v>
      </c>
      <c r="V28" s="705" t="s">
        <v>18</v>
      </c>
      <c r="W28" s="706">
        <f t="shared" si="14"/>
        <v>100</v>
      </c>
      <c r="X28" s="1355"/>
      <c r="Y28" s="373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1"/>
      <c r="Q29" s="1352">
        <f t="shared" si="11"/>
        <v>111</v>
      </c>
      <c r="R29" s="705" t="s">
        <v>18</v>
      </c>
      <c r="S29" s="706">
        <f t="shared" si="12"/>
        <v>100</v>
      </c>
      <c r="T29" s="705" t="s">
        <v>18</v>
      </c>
      <c r="U29" s="706">
        <f t="shared" si="13"/>
        <v>100</v>
      </c>
      <c r="V29" s="705" t="s">
        <v>18</v>
      </c>
      <c r="W29" s="706">
        <f t="shared" si="14"/>
        <v>100</v>
      </c>
      <c r="X29" s="1355"/>
      <c r="Y29" s="373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1"/>
      <c r="Q30" s="1352">
        <f t="shared" si="11"/>
        <v>111</v>
      </c>
      <c r="R30" s="705" t="s">
        <v>18</v>
      </c>
      <c r="S30" s="706">
        <f t="shared" si="12"/>
        <v>100</v>
      </c>
      <c r="T30" s="705" t="s">
        <v>18</v>
      </c>
      <c r="U30" s="706">
        <f t="shared" si="13"/>
        <v>100</v>
      </c>
      <c r="V30" s="705" t="s">
        <v>18</v>
      </c>
      <c r="W30" s="706">
        <f t="shared" si="14"/>
        <v>100</v>
      </c>
      <c r="X30" s="1355"/>
      <c r="Y30" s="373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1"/>
      <c r="Q31" s="1352">
        <f t="shared" si="11"/>
        <v>111</v>
      </c>
      <c r="R31" s="705" t="s">
        <v>18</v>
      </c>
      <c r="S31" s="706">
        <f t="shared" si="12"/>
        <v>100</v>
      </c>
      <c r="T31" s="705" t="s">
        <v>18</v>
      </c>
      <c r="U31" s="706">
        <f t="shared" si="13"/>
        <v>100</v>
      </c>
      <c r="V31" s="705" t="s">
        <v>18</v>
      </c>
      <c r="W31" s="706">
        <f t="shared" si="14"/>
        <v>100</v>
      </c>
      <c r="X31" s="1355"/>
      <c r="Y31" s="3734"/>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35" t="s">
        <v>1695</v>
      </c>
      <c r="Q32" s="1352" t="str">
        <f t="shared" si="11"/>
        <v>建筑类型</v>
      </c>
      <c r="R32" s="705" t="s">
        <v>18</v>
      </c>
      <c r="S32" s="706">
        <f t="shared" si="12"/>
        <v>100</v>
      </c>
      <c r="T32" s="705" t="s">
        <v>18</v>
      </c>
      <c r="U32" s="706">
        <f t="shared" si="13"/>
        <v>100</v>
      </c>
      <c r="V32" s="705" t="s">
        <v>18</v>
      </c>
      <c r="W32" s="706">
        <f t="shared" si="14"/>
        <v>100</v>
      </c>
      <c r="X32" s="1355"/>
      <c r="Y32" s="3738"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36"/>
      <c r="Q33" s="707" t="str">
        <f t="shared" si="11"/>
        <v>项目建筑规模</v>
      </c>
      <c r="R33" s="708" t="s">
        <v>18</v>
      </c>
      <c r="S33" s="709" t="e">
        <f t="shared" si="12"/>
        <v>#N/A</v>
      </c>
      <c r="T33" s="708" t="s">
        <v>18</v>
      </c>
      <c r="U33" s="709" t="e">
        <f t="shared" si="13"/>
        <v>#N/A</v>
      </c>
      <c r="V33" s="708" t="s">
        <v>18</v>
      </c>
      <c r="W33" s="709" t="e">
        <f t="shared" si="14"/>
        <v>#N/A</v>
      </c>
      <c r="X33" s="710"/>
      <c r="Y33" s="3738"/>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36"/>
      <c r="Q34" s="1352" t="str">
        <f t="shared" si="11"/>
        <v>建筑结构</v>
      </c>
      <c r="R34" s="705" t="s">
        <v>18</v>
      </c>
      <c r="S34" s="706">
        <f t="shared" si="12"/>
        <v>100</v>
      </c>
      <c r="T34" s="705" t="s">
        <v>18</v>
      </c>
      <c r="U34" s="706">
        <f t="shared" si="13"/>
        <v>100</v>
      </c>
      <c r="V34" s="705" t="s">
        <v>18</v>
      </c>
      <c r="W34" s="706">
        <f t="shared" si="14"/>
        <v>100</v>
      </c>
      <c r="X34" s="1355"/>
      <c r="Y34" s="3738"/>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6"/>
      <c r="Q35" s="1352" t="str">
        <f t="shared" si="11"/>
        <v>建筑品质</v>
      </c>
      <c r="R35" s="705" t="s">
        <v>18</v>
      </c>
      <c r="S35" s="706">
        <f t="shared" si="12"/>
        <v>100</v>
      </c>
      <c r="T35" s="705" t="s">
        <v>18</v>
      </c>
      <c r="U35" s="706">
        <f t="shared" si="13"/>
        <v>100</v>
      </c>
      <c r="V35" s="705" t="s">
        <v>18</v>
      </c>
      <c r="W35" s="706">
        <f t="shared" si="14"/>
        <v>100</v>
      </c>
      <c r="X35" s="1355"/>
      <c r="Y35" s="3738"/>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36"/>
      <c r="Q36" s="1352" t="str">
        <f t="shared" si="11"/>
        <v>公共部分装修</v>
      </c>
      <c r="R36" s="705" t="s">
        <v>18</v>
      </c>
      <c r="S36" s="706">
        <f t="shared" si="12"/>
        <v>100</v>
      </c>
      <c r="T36" s="705" t="s">
        <v>18</v>
      </c>
      <c r="U36" s="706">
        <f t="shared" si="13"/>
        <v>100</v>
      </c>
      <c r="V36" s="705" t="s">
        <v>18</v>
      </c>
      <c r="W36" s="706">
        <f t="shared" si="14"/>
        <v>100</v>
      </c>
      <c r="X36" s="1355"/>
      <c r="Y36" s="3738"/>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6"/>
      <c r="Q37" s="1343" t="str">
        <f t="shared" si="11"/>
        <v>成新度</v>
      </c>
      <c r="R37" s="701" t="s">
        <v>18</v>
      </c>
      <c r="S37" s="702" t="e">
        <f t="shared" si="12"/>
        <v>#N/A</v>
      </c>
      <c r="T37" s="701" t="s">
        <v>18</v>
      </c>
      <c r="U37" s="702" t="e">
        <f t="shared" si="13"/>
        <v>#N/A</v>
      </c>
      <c r="V37" s="701" t="s">
        <v>18</v>
      </c>
      <c r="W37" s="702" t="e">
        <f t="shared" si="14"/>
        <v>#N/A</v>
      </c>
      <c r="X37" s="703"/>
      <c r="Y37" s="3738"/>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36" t="s">
        <v>1695</v>
      </c>
      <c r="Q38" s="1352" t="str">
        <f t="shared" si="11"/>
        <v>物业管理</v>
      </c>
      <c r="R38" s="705" t="s">
        <v>18</v>
      </c>
      <c r="S38" s="706">
        <f t="shared" si="12"/>
        <v>100</v>
      </c>
      <c r="T38" s="705" t="s">
        <v>18</v>
      </c>
      <c r="U38" s="706">
        <f t="shared" si="13"/>
        <v>100</v>
      </c>
      <c r="V38" s="705" t="s">
        <v>18</v>
      </c>
      <c r="W38" s="706">
        <f t="shared" si="14"/>
        <v>100</v>
      </c>
      <c r="X38" s="1355"/>
      <c r="Y38" s="3738"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36"/>
      <c r="Q39" s="1352" t="str">
        <f t="shared" si="11"/>
        <v>市政基础设施</v>
      </c>
      <c r="R39" s="705" t="s">
        <v>18</v>
      </c>
      <c r="S39" s="706">
        <f t="shared" si="12"/>
        <v>100</v>
      </c>
      <c r="T39" s="705" t="s">
        <v>18</v>
      </c>
      <c r="U39" s="706">
        <f t="shared" si="13"/>
        <v>100</v>
      </c>
      <c r="V39" s="705" t="s">
        <v>18</v>
      </c>
      <c r="W39" s="706">
        <f t="shared" si="14"/>
        <v>100</v>
      </c>
      <c r="X39" s="1355"/>
      <c r="Y39" s="3738"/>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36"/>
      <c r="Q40" s="1352" t="str">
        <f t="shared" si="11"/>
        <v>房型</v>
      </c>
      <c r="R40" s="705" t="s">
        <v>18</v>
      </c>
      <c r="S40" s="706">
        <f t="shared" si="12"/>
        <v>100</v>
      </c>
      <c r="T40" s="705" t="s">
        <v>18</v>
      </c>
      <c r="U40" s="706">
        <f t="shared" si="13"/>
        <v>100</v>
      </c>
      <c r="V40" s="705" t="s">
        <v>18</v>
      </c>
      <c r="W40" s="706">
        <f t="shared" si="14"/>
        <v>100</v>
      </c>
      <c r="X40" s="1355"/>
      <c r="Y40" s="3738"/>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6"/>
      <c r="Q41" s="707" t="str">
        <f t="shared" si="11"/>
        <v>单套/主力户型建筑面积</v>
      </c>
      <c r="R41" s="708" t="s">
        <v>18</v>
      </c>
      <c r="S41" s="709">
        <f t="shared" si="12"/>
        <v>100</v>
      </c>
      <c r="T41" s="708" t="s">
        <v>18</v>
      </c>
      <c r="U41" s="709">
        <f t="shared" si="13"/>
        <v>100</v>
      </c>
      <c r="V41" s="708" t="s">
        <v>18</v>
      </c>
      <c r="W41" s="709">
        <f t="shared" si="14"/>
        <v>100</v>
      </c>
      <c r="X41" s="710"/>
      <c r="Y41" s="3738"/>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36"/>
      <c r="Q42" s="1352" t="str">
        <f t="shared" si="11"/>
        <v>内部装修</v>
      </c>
      <c r="R42" s="705" t="s">
        <v>18</v>
      </c>
      <c r="S42" s="706">
        <f t="shared" si="12"/>
        <v>100</v>
      </c>
      <c r="T42" s="705" t="s">
        <v>18</v>
      </c>
      <c r="U42" s="706">
        <f t="shared" si="13"/>
        <v>100</v>
      </c>
      <c r="V42" s="705" t="s">
        <v>18</v>
      </c>
      <c r="W42" s="706">
        <f t="shared" si="14"/>
        <v>100</v>
      </c>
      <c r="X42" s="1355"/>
      <c r="Y42" s="3738"/>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36"/>
      <c r="Q43" s="1352" t="str">
        <f t="shared" si="11"/>
        <v>内部装修维护情况</v>
      </c>
      <c r="R43" s="705" t="s">
        <v>18</v>
      </c>
      <c r="S43" s="706">
        <f t="shared" si="12"/>
        <v>100</v>
      </c>
      <c r="T43" s="705" t="s">
        <v>18</v>
      </c>
      <c r="U43" s="706">
        <f t="shared" si="13"/>
        <v>100</v>
      </c>
      <c r="V43" s="705" t="s">
        <v>18</v>
      </c>
      <c r="W43" s="706">
        <f t="shared" si="14"/>
        <v>100</v>
      </c>
      <c r="X43" s="1355"/>
      <c r="Y43" s="373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36"/>
      <c r="Q44" s="1343">
        <f t="shared" si="11"/>
        <v>111</v>
      </c>
      <c r="R44" s="701" t="s">
        <v>18</v>
      </c>
      <c r="S44" s="702">
        <f t="shared" si="12"/>
        <v>100</v>
      </c>
      <c r="T44" s="701" t="s">
        <v>18</v>
      </c>
      <c r="U44" s="702">
        <f t="shared" si="13"/>
        <v>100</v>
      </c>
      <c r="V44" s="701" t="s">
        <v>18</v>
      </c>
      <c r="W44" s="702">
        <f t="shared" si="14"/>
        <v>100</v>
      </c>
      <c r="X44" s="703"/>
      <c r="Y44" s="373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6"/>
      <c r="Q45" s="1352">
        <f t="shared" si="11"/>
        <v>111</v>
      </c>
      <c r="R45" s="705" t="s">
        <v>18</v>
      </c>
      <c r="S45" s="706">
        <f t="shared" si="12"/>
        <v>100</v>
      </c>
      <c r="T45" s="705" t="s">
        <v>18</v>
      </c>
      <c r="U45" s="706">
        <f t="shared" si="13"/>
        <v>100</v>
      </c>
      <c r="V45" s="705" t="s">
        <v>18</v>
      </c>
      <c r="W45" s="706">
        <f t="shared" si="14"/>
        <v>100</v>
      </c>
      <c r="X45" s="1355"/>
      <c r="Y45" s="373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7"/>
      <c r="Q46" s="1352">
        <f t="shared" si="11"/>
        <v>111</v>
      </c>
      <c r="R46" s="705" t="s">
        <v>17</v>
      </c>
      <c r="S46" s="706">
        <f t="shared" si="12"/>
        <v>100</v>
      </c>
      <c r="T46" s="705" t="s">
        <v>17</v>
      </c>
      <c r="U46" s="706">
        <f t="shared" si="13"/>
        <v>100</v>
      </c>
      <c r="V46" s="705" t="s">
        <v>17</v>
      </c>
      <c r="W46" s="706">
        <f t="shared" si="14"/>
        <v>100</v>
      </c>
      <c r="X46" s="1355"/>
      <c r="Y46" s="3739"/>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3"/>
      <c r="M47" s="2724"/>
      <c r="N47" s="2715"/>
      <c r="O47" s="2724"/>
      <c r="P47" s="3731" t="str">
        <f>A47</f>
        <v>成交单价（元/平方米）</v>
      </c>
      <c r="Q47" s="3731"/>
      <c r="R47" s="3732">
        <f>E47</f>
        <v>0</v>
      </c>
      <c r="S47" s="3732"/>
      <c r="T47" s="3732">
        <f>G47</f>
        <v>0</v>
      </c>
      <c r="U47" s="3732"/>
      <c r="V47" s="3732">
        <f>I47</f>
        <v>0</v>
      </c>
      <c r="W47" s="3732"/>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3"/>
      <c r="M49" s="2724"/>
      <c r="N49" s="2724"/>
      <c r="O49" s="2724"/>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114107.98000000001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714" t="s">
        <v>1769</v>
      </c>
      <c r="D4" s="3715"/>
      <c r="E4" s="3716" t="s">
        <v>1770</v>
      </c>
      <c r="F4" s="3717"/>
      <c r="G4" s="3714" t="s">
        <v>1771</v>
      </c>
      <c r="H4" s="3715"/>
      <c r="I4" s="3714" t="s">
        <v>1772</v>
      </c>
      <c r="J4" s="3715"/>
      <c r="K4" s="559" t="s">
        <v>1773</v>
      </c>
      <c r="L4" s="2714"/>
      <c r="M4" s="2715"/>
      <c r="N4" s="2715"/>
      <c r="O4" s="2715"/>
      <c r="P4" s="3718" t="s">
        <v>1774</v>
      </c>
      <c r="Q4" s="3719"/>
      <c r="R4" s="3701" t="s">
        <v>1770</v>
      </c>
      <c r="S4" s="3702"/>
      <c r="T4" s="3701" t="s">
        <v>1771</v>
      </c>
      <c r="U4" s="3702"/>
      <c r="V4" s="3726" t="s">
        <v>1772</v>
      </c>
      <c r="W4" s="3726"/>
      <c r="X4" s="1355"/>
      <c r="Y4" s="3701" t="s">
        <v>1774</v>
      </c>
      <c r="Z4" s="3702"/>
      <c r="AA4" s="3696" t="s">
        <v>1770</v>
      </c>
      <c r="AB4" s="3726" t="s">
        <v>1771</v>
      </c>
      <c r="AC4" s="3696" t="s">
        <v>1772</v>
      </c>
    </row>
    <row r="5" spans="1:29" ht="15">
      <c r="A5" s="358"/>
      <c r="B5" s="359"/>
      <c r="C5" s="3707" t="s">
        <v>1672</v>
      </c>
      <c r="D5" s="3708"/>
      <c r="E5" s="3705" t="s">
        <v>1673</v>
      </c>
      <c r="F5" s="3706"/>
      <c r="G5" s="3707" t="s">
        <v>1674</v>
      </c>
      <c r="H5" s="3708"/>
      <c r="I5" s="3707" t="s">
        <v>1675</v>
      </c>
      <c r="J5" s="3708"/>
      <c r="K5" s="559"/>
      <c r="L5" s="2714"/>
      <c r="M5" s="2715"/>
      <c r="N5" s="2715"/>
      <c r="O5" s="2715"/>
      <c r="P5" s="3720"/>
      <c r="Q5" s="3721"/>
      <c r="R5" s="3703"/>
      <c r="S5" s="3704"/>
      <c r="T5" s="3703"/>
      <c r="U5" s="3704"/>
      <c r="V5" s="3726"/>
      <c r="W5" s="3726"/>
      <c r="X5" s="1355"/>
      <c r="Y5" s="3703"/>
      <c r="Z5" s="3704"/>
      <c r="AA5" s="3697"/>
      <c r="AB5" s="3726"/>
      <c r="AC5" s="3697"/>
    </row>
    <row r="6" spans="1:29" ht="15.75" thickBot="1">
      <c r="A6" s="360"/>
      <c r="B6" s="361"/>
      <c r="C6" s="3709" t="s">
        <v>1676</v>
      </c>
      <c r="D6" s="3710"/>
      <c r="E6" s="3711" t="s">
        <v>1676</v>
      </c>
      <c r="F6" s="3712"/>
      <c r="G6" s="3709" t="s">
        <v>1676</v>
      </c>
      <c r="H6" s="3710"/>
      <c r="I6" s="3709" t="s">
        <v>1676</v>
      </c>
      <c r="J6" s="3710"/>
      <c r="K6" s="559" t="s">
        <v>1677</v>
      </c>
      <c r="L6" s="2714"/>
      <c r="M6" s="2715"/>
      <c r="N6" s="2715"/>
      <c r="O6" s="2715"/>
      <c r="P6" s="3722"/>
      <c r="Q6" s="3723"/>
      <c r="R6" s="3703"/>
      <c r="S6" s="3704"/>
      <c r="T6" s="3724"/>
      <c r="U6" s="3725"/>
      <c r="V6" s="3726"/>
      <c r="W6" s="3726"/>
      <c r="X6" s="1355"/>
      <c r="Y6" s="3724"/>
      <c r="Z6" s="3725"/>
      <c r="AA6" s="3698"/>
      <c r="AB6" s="3726"/>
      <c r="AC6" s="3698"/>
    </row>
    <row r="7" spans="1:29" s="108" customFormat="1" ht="15.75" thickBot="1">
      <c r="A7" s="362" t="s">
        <v>1678</v>
      </c>
      <c r="B7" s="363"/>
      <c r="C7" s="364">
        <f>'数据-取费表'!B2</f>
        <v>45002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9" t="s">
        <v>1679</v>
      </c>
      <c r="Q7" s="3727"/>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9" t="s">
        <v>1682</v>
      </c>
      <c r="Q8" s="3700"/>
      <c r="R8" s="701" t="s">
        <v>14</v>
      </c>
      <c r="S8" s="702">
        <f t="shared" si="0"/>
        <v>100</v>
      </c>
      <c r="T8" s="701" t="s">
        <v>14</v>
      </c>
      <c r="U8" s="702">
        <f t="shared" si="1"/>
        <v>100</v>
      </c>
      <c r="V8" s="701" t="s">
        <v>14</v>
      </c>
      <c r="W8" s="702">
        <f t="shared" si="2"/>
        <v>100</v>
      </c>
      <c r="X8" s="703"/>
      <c r="Y8" s="3699" t="s">
        <v>1682</v>
      </c>
      <c r="Z8" s="3700"/>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3" t="s">
        <v>1685</v>
      </c>
      <c r="Q9" s="1343" t="str">
        <f t="shared" ref="Q9:Q15" si="6">B9</f>
        <v>用途</v>
      </c>
      <c r="R9" s="701" t="s">
        <v>14</v>
      </c>
      <c r="S9" s="702">
        <f t="shared" si="0"/>
        <v>100</v>
      </c>
      <c r="T9" s="701" t="s">
        <v>14</v>
      </c>
      <c r="U9" s="702">
        <f t="shared" si="1"/>
        <v>100</v>
      </c>
      <c r="V9" s="701" t="s">
        <v>14</v>
      </c>
      <c r="W9" s="702">
        <f t="shared" si="2"/>
        <v>100</v>
      </c>
      <c r="X9" s="703"/>
      <c r="Y9" s="3643"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3"/>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3"/>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3"/>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3"/>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0" t="s">
        <v>1690</v>
      </c>
      <c r="Q15" s="1352" t="str">
        <f t="shared" si="6"/>
        <v>商业繁华度</v>
      </c>
      <c r="R15" s="705" t="s">
        <v>14</v>
      </c>
      <c r="S15" s="706">
        <f t="shared" si="0"/>
        <v>100</v>
      </c>
      <c r="T15" s="705" t="s">
        <v>14</v>
      </c>
      <c r="U15" s="706">
        <f t="shared" si="1"/>
        <v>100</v>
      </c>
      <c r="V15" s="705" t="s">
        <v>14</v>
      </c>
      <c r="W15" s="706">
        <f t="shared" si="2"/>
        <v>100</v>
      </c>
      <c r="X15" s="1355"/>
      <c r="Y15" s="3733"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1"/>
      <c r="Q16" s="1352"/>
      <c r="R16" s="705"/>
      <c r="S16" s="706"/>
      <c r="T16" s="705"/>
      <c r="U16" s="706"/>
      <c r="V16" s="705"/>
      <c r="W16" s="706"/>
      <c r="X16" s="1355"/>
      <c r="Y16" s="3734"/>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1"/>
      <c r="Q18" s="1352"/>
      <c r="R18" s="705"/>
      <c r="S18" s="706"/>
      <c r="T18" s="705"/>
      <c r="U18" s="706"/>
      <c r="V18" s="705"/>
      <c r="W18" s="706"/>
      <c r="X18" s="1355"/>
      <c r="Y18" s="3734"/>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1"/>
      <c r="Q20" s="1352"/>
      <c r="R20" s="705"/>
      <c r="S20" s="706"/>
      <c r="T20" s="705"/>
      <c r="U20" s="706"/>
      <c r="V20" s="705"/>
      <c r="W20" s="706"/>
      <c r="X20" s="1355"/>
      <c r="Y20" s="3734"/>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1"/>
      <c r="Q22" s="1352"/>
      <c r="R22" s="705"/>
      <c r="S22" s="706"/>
      <c r="T22" s="705"/>
      <c r="U22" s="706"/>
      <c r="V22" s="705"/>
      <c r="W22" s="706"/>
      <c r="X22" s="1355"/>
      <c r="Y22" s="3734"/>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1"/>
      <c r="Q23" s="1352" t="str">
        <f>B23</f>
        <v>自然及人文环境</v>
      </c>
      <c r="R23" s="705" t="s">
        <v>14</v>
      </c>
      <c r="S23" s="706">
        <f>F23</f>
        <v>100</v>
      </c>
      <c r="T23" s="705" t="s">
        <v>14</v>
      </c>
      <c r="U23" s="706">
        <f>H23</f>
        <v>100</v>
      </c>
      <c r="V23" s="705" t="s">
        <v>14</v>
      </c>
      <c r="W23" s="706">
        <f>J23</f>
        <v>100</v>
      </c>
      <c r="X23" s="1355"/>
      <c r="Y23" s="373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1"/>
      <c r="Q24" s="1352"/>
      <c r="R24" s="705"/>
      <c r="S24" s="706"/>
      <c r="T24" s="705"/>
      <c r="U24" s="706"/>
      <c r="V24" s="705"/>
      <c r="W24" s="706"/>
      <c r="X24" s="1355"/>
      <c r="Y24" s="3734"/>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1"/>
      <c r="Q25" s="1352" t="str">
        <f t="shared" ref="Q25:Q46" si="11">B25</f>
        <v>临街状况</v>
      </c>
      <c r="R25" s="705" t="s">
        <v>14</v>
      </c>
      <c r="S25" s="706">
        <f>F25</f>
        <v>100</v>
      </c>
      <c r="T25" s="705" t="s">
        <v>14</v>
      </c>
      <c r="U25" s="706">
        <f>H25</f>
        <v>100</v>
      </c>
      <c r="V25" s="705" t="s">
        <v>14</v>
      </c>
      <c r="W25" s="706">
        <f>J25</f>
        <v>100</v>
      </c>
      <c r="X25" s="1355"/>
      <c r="Y25" s="3734"/>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1"/>
      <c r="Q26" s="1352" t="str">
        <f t="shared" si="11"/>
        <v>平面位置/可视性</v>
      </c>
      <c r="R26" s="705" t="s">
        <v>14</v>
      </c>
      <c r="S26" s="706">
        <f>F26</f>
        <v>100</v>
      </c>
      <c r="T26" s="705" t="s">
        <v>14</v>
      </c>
      <c r="U26" s="706">
        <f>H26</f>
        <v>100</v>
      </c>
      <c r="V26" s="705" t="s">
        <v>14</v>
      </c>
      <c r="W26" s="706">
        <f>J26</f>
        <v>100</v>
      </c>
      <c r="X26" s="1355"/>
      <c r="Y26" s="3734"/>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1"/>
      <c r="Q27" s="1343" t="str">
        <f t="shared" si="11"/>
        <v>人流量</v>
      </c>
      <c r="R27" s="701" t="s">
        <v>14</v>
      </c>
      <c r="S27" s="702">
        <f>F27</f>
        <v>100</v>
      </c>
      <c r="T27" s="701" t="s">
        <v>14</v>
      </c>
      <c r="U27" s="702">
        <f>H27</f>
        <v>100</v>
      </c>
      <c r="V27" s="701" t="s">
        <v>14</v>
      </c>
      <c r="W27" s="702">
        <f>J27</f>
        <v>100</v>
      </c>
      <c r="X27" s="703"/>
      <c r="Y27" s="3734"/>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1"/>
      <c r="Q29" s="1352">
        <f t="shared" si="11"/>
        <v>111</v>
      </c>
      <c r="R29" s="705" t="s">
        <v>14</v>
      </c>
      <c r="S29" s="706">
        <f t="shared" si="12"/>
        <v>100</v>
      </c>
      <c r="T29" s="705" t="s">
        <v>14</v>
      </c>
      <c r="U29" s="706">
        <f t="shared" si="13"/>
        <v>100</v>
      </c>
      <c r="V29" s="705" t="s">
        <v>14</v>
      </c>
      <c r="W29" s="706">
        <f t="shared" si="14"/>
        <v>100</v>
      </c>
      <c r="X29" s="1355"/>
      <c r="Y29" s="373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5" t="s">
        <v>1695</v>
      </c>
      <c r="Q32" s="1352" t="str">
        <f t="shared" si="11"/>
        <v>商业类型</v>
      </c>
      <c r="R32" s="705" t="s">
        <v>14</v>
      </c>
      <c r="S32" s="706">
        <f t="shared" si="12"/>
        <v>100</v>
      </c>
      <c r="T32" s="705" t="s">
        <v>14</v>
      </c>
      <c r="U32" s="706">
        <f t="shared" si="13"/>
        <v>100</v>
      </c>
      <c r="V32" s="705" t="s">
        <v>14</v>
      </c>
      <c r="W32" s="706">
        <f t="shared" si="14"/>
        <v>100</v>
      </c>
      <c r="X32" s="1355"/>
      <c r="Y32" s="3738"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6"/>
      <c r="Q33" s="707" t="str">
        <f t="shared" si="11"/>
        <v>项目建筑规模</v>
      </c>
      <c r="R33" s="708" t="s">
        <v>14</v>
      </c>
      <c r="S33" s="709" t="e">
        <f t="shared" si="12"/>
        <v>#N/A</v>
      </c>
      <c r="T33" s="708" t="s">
        <v>14</v>
      </c>
      <c r="U33" s="709" t="e">
        <f t="shared" si="13"/>
        <v>#N/A</v>
      </c>
      <c r="V33" s="708" t="s">
        <v>14</v>
      </c>
      <c r="W33" s="709" t="e">
        <f t="shared" si="14"/>
        <v>#N/A</v>
      </c>
      <c r="X33" s="710"/>
      <c r="Y33" s="3738"/>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6"/>
      <c r="Q34" s="1352" t="str">
        <f t="shared" si="11"/>
        <v>建筑结构</v>
      </c>
      <c r="R34" s="705" t="s">
        <v>14</v>
      </c>
      <c r="S34" s="706">
        <f t="shared" si="12"/>
        <v>100</v>
      </c>
      <c r="T34" s="705" t="s">
        <v>14</v>
      </c>
      <c r="U34" s="706">
        <f t="shared" si="13"/>
        <v>100</v>
      </c>
      <c r="V34" s="705" t="s">
        <v>14</v>
      </c>
      <c r="W34" s="706">
        <f t="shared" si="14"/>
        <v>100</v>
      </c>
      <c r="X34" s="1355"/>
      <c r="Y34" s="3738"/>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6"/>
      <c r="Q35" s="1352" t="str">
        <f t="shared" si="11"/>
        <v>公共部分装修</v>
      </c>
      <c r="R35" s="705" t="s">
        <v>14</v>
      </c>
      <c r="S35" s="706">
        <f t="shared" si="12"/>
        <v>100</v>
      </c>
      <c r="T35" s="705" t="s">
        <v>14</v>
      </c>
      <c r="U35" s="706">
        <f t="shared" si="13"/>
        <v>100</v>
      </c>
      <c r="V35" s="705" t="s">
        <v>14</v>
      </c>
      <c r="W35" s="706">
        <f t="shared" si="14"/>
        <v>100</v>
      </c>
      <c r="X35" s="1355"/>
      <c r="Y35" s="3738"/>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6"/>
      <c r="Q36" s="1352" t="str">
        <f t="shared" si="11"/>
        <v>成新度</v>
      </c>
      <c r="R36" s="705" t="s">
        <v>14</v>
      </c>
      <c r="S36" s="706" t="e">
        <f t="shared" si="12"/>
        <v>#N/A</v>
      </c>
      <c r="T36" s="705" t="s">
        <v>14</v>
      </c>
      <c r="U36" s="706" t="e">
        <f t="shared" si="13"/>
        <v>#N/A</v>
      </c>
      <c r="V36" s="705" t="s">
        <v>14</v>
      </c>
      <c r="W36" s="706" t="e">
        <f t="shared" si="14"/>
        <v>#N/A</v>
      </c>
      <c r="X36" s="1355"/>
      <c r="Y36" s="3738"/>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6"/>
      <c r="Q37" s="1343" t="str">
        <f t="shared" si="11"/>
        <v>市政基础设施</v>
      </c>
      <c r="R37" s="701" t="s">
        <v>14</v>
      </c>
      <c r="S37" s="702">
        <f t="shared" si="12"/>
        <v>100</v>
      </c>
      <c r="T37" s="701" t="s">
        <v>14</v>
      </c>
      <c r="U37" s="702">
        <f t="shared" si="13"/>
        <v>100</v>
      </c>
      <c r="V37" s="701" t="s">
        <v>14</v>
      </c>
      <c r="W37" s="702">
        <f t="shared" si="14"/>
        <v>100</v>
      </c>
      <c r="X37" s="703"/>
      <c r="Y37" s="3738"/>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6" t="s">
        <v>1695</v>
      </c>
      <c r="Q38" s="1352" t="str">
        <f t="shared" si="11"/>
        <v>业态</v>
      </c>
      <c r="R38" s="705" t="s">
        <v>14</v>
      </c>
      <c r="S38" s="706">
        <f t="shared" si="12"/>
        <v>100</v>
      </c>
      <c r="T38" s="705" t="s">
        <v>14</v>
      </c>
      <c r="U38" s="706">
        <f t="shared" si="13"/>
        <v>100</v>
      </c>
      <c r="V38" s="705" t="s">
        <v>14</v>
      </c>
      <c r="W38" s="706">
        <f t="shared" si="14"/>
        <v>100</v>
      </c>
      <c r="X38" s="1355"/>
      <c r="Y38" s="373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6"/>
      <c r="Q39" s="1352" t="str">
        <f t="shared" si="11"/>
        <v>层高</v>
      </c>
      <c r="R39" s="705" t="s">
        <v>14</v>
      </c>
      <c r="S39" s="706">
        <f t="shared" si="12"/>
        <v>100</v>
      </c>
      <c r="T39" s="705" t="s">
        <v>14</v>
      </c>
      <c r="U39" s="706">
        <f t="shared" si="13"/>
        <v>100</v>
      </c>
      <c r="V39" s="705" t="s">
        <v>14</v>
      </c>
      <c r="W39" s="706">
        <f t="shared" si="14"/>
        <v>100</v>
      </c>
      <c r="X39" s="1355"/>
      <c r="Y39" s="373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6"/>
      <c r="Q40" s="1352" t="str">
        <f t="shared" si="11"/>
        <v>单套建筑面积</v>
      </c>
      <c r="R40" s="705" t="s">
        <v>14</v>
      </c>
      <c r="S40" s="706">
        <f t="shared" si="12"/>
        <v>100</v>
      </c>
      <c r="T40" s="705" t="s">
        <v>14</v>
      </c>
      <c r="U40" s="706">
        <f t="shared" si="13"/>
        <v>100</v>
      </c>
      <c r="V40" s="705" t="s">
        <v>14</v>
      </c>
      <c r="W40" s="706">
        <f t="shared" si="14"/>
        <v>100</v>
      </c>
      <c r="X40" s="1355"/>
      <c r="Y40" s="373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6"/>
      <c r="Q41" s="707" t="str">
        <f t="shared" si="11"/>
        <v>进深比</v>
      </c>
      <c r="R41" s="708" t="s">
        <v>14</v>
      </c>
      <c r="S41" s="709">
        <f t="shared" si="12"/>
        <v>100</v>
      </c>
      <c r="T41" s="708" t="s">
        <v>14</v>
      </c>
      <c r="U41" s="709">
        <f t="shared" si="13"/>
        <v>100</v>
      </c>
      <c r="V41" s="708" t="s">
        <v>14</v>
      </c>
      <c r="W41" s="709">
        <f t="shared" si="14"/>
        <v>100</v>
      </c>
      <c r="X41" s="710"/>
      <c r="Y41" s="3738"/>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6"/>
      <c r="Q42" s="1352" t="str">
        <f t="shared" si="11"/>
        <v>内部装修</v>
      </c>
      <c r="R42" s="705" t="s">
        <v>14</v>
      </c>
      <c r="S42" s="706">
        <f t="shared" si="12"/>
        <v>100</v>
      </c>
      <c r="T42" s="705" t="s">
        <v>14</v>
      </c>
      <c r="U42" s="706">
        <f t="shared" si="13"/>
        <v>100</v>
      </c>
      <c r="V42" s="705" t="s">
        <v>14</v>
      </c>
      <c r="W42" s="706">
        <f t="shared" si="14"/>
        <v>100</v>
      </c>
      <c r="X42" s="1355"/>
      <c r="Y42" s="3738"/>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6"/>
      <c r="Q43" s="1352" t="str">
        <f t="shared" si="11"/>
        <v>内部装修维护情况</v>
      </c>
      <c r="R43" s="705" t="s">
        <v>14</v>
      </c>
      <c r="S43" s="706">
        <f t="shared" si="12"/>
        <v>100</v>
      </c>
      <c r="T43" s="705" t="s">
        <v>14</v>
      </c>
      <c r="U43" s="706">
        <f t="shared" si="13"/>
        <v>100</v>
      </c>
      <c r="V43" s="705" t="s">
        <v>14</v>
      </c>
      <c r="W43" s="706">
        <f t="shared" si="14"/>
        <v>100</v>
      </c>
      <c r="X43" s="1355"/>
      <c r="Y43" s="373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6"/>
      <c r="Q44" s="1343">
        <f t="shared" si="11"/>
        <v>111</v>
      </c>
      <c r="R44" s="701" t="s">
        <v>14</v>
      </c>
      <c r="S44" s="702">
        <f t="shared" si="12"/>
        <v>100</v>
      </c>
      <c r="T44" s="701" t="s">
        <v>14</v>
      </c>
      <c r="U44" s="702">
        <f t="shared" si="13"/>
        <v>100</v>
      </c>
      <c r="V44" s="701" t="s">
        <v>14</v>
      </c>
      <c r="W44" s="702">
        <f t="shared" si="14"/>
        <v>100</v>
      </c>
      <c r="X44" s="703"/>
      <c r="Y44" s="37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6"/>
      <c r="Q45" s="1352">
        <f t="shared" si="11"/>
        <v>111</v>
      </c>
      <c r="R45" s="705" t="s">
        <v>14</v>
      </c>
      <c r="S45" s="706">
        <f t="shared" si="12"/>
        <v>100</v>
      </c>
      <c r="T45" s="705" t="s">
        <v>14</v>
      </c>
      <c r="U45" s="706">
        <f t="shared" si="13"/>
        <v>100</v>
      </c>
      <c r="V45" s="705" t="s">
        <v>14</v>
      </c>
      <c r="W45" s="706">
        <f t="shared" si="14"/>
        <v>100</v>
      </c>
      <c r="X45" s="1355"/>
      <c r="Y45" s="373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3"/>
      <c r="M47" s="2724"/>
      <c r="N47" s="2715"/>
      <c r="O47" s="2724"/>
      <c r="P47" s="3731" t="str">
        <f>A47</f>
        <v>成交单价（元/平方米）</v>
      </c>
      <c r="Q47" s="3731"/>
      <c r="R47" s="3726">
        <f>E47</f>
        <v>0</v>
      </c>
      <c r="S47" s="3726"/>
      <c r="T47" s="3726">
        <f>G47</f>
        <v>0</v>
      </c>
      <c r="U47" s="3726"/>
      <c r="V47" s="3726">
        <f>I47</f>
        <v>0</v>
      </c>
      <c r="W47" s="3726"/>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114107.98000000001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714" t="s">
        <v>1769</v>
      </c>
      <c r="D4" s="3715"/>
      <c r="E4" s="3716" t="s">
        <v>1770</v>
      </c>
      <c r="F4" s="3717"/>
      <c r="G4" s="3714" t="s">
        <v>1771</v>
      </c>
      <c r="H4" s="3715"/>
      <c r="I4" s="3714" t="s">
        <v>1772</v>
      </c>
      <c r="J4" s="3715"/>
      <c r="K4" s="559" t="s">
        <v>1773</v>
      </c>
      <c r="L4" s="2714"/>
      <c r="M4" s="2715"/>
      <c r="N4" s="2715"/>
      <c r="O4" s="2715"/>
      <c r="P4" s="3748" t="s">
        <v>1774</v>
      </c>
      <c r="Q4" s="3749"/>
      <c r="R4" s="3743" t="s">
        <v>1770</v>
      </c>
      <c r="S4" s="3744"/>
      <c r="T4" s="3743" t="s">
        <v>1771</v>
      </c>
      <c r="U4" s="3744"/>
      <c r="V4" s="3752" t="s">
        <v>1772</v>
      </c>
      <c r="W4" s="3752"/>
      <c r="X4" s="1958"/>
      <c r="Y4" s="3743" t="s">
        <v>1774</v>
      </c>
      <c r="Z4" s="3744"/>
      <c r="AA4" s="3742" t="s">
        <v>1770</v>
      </c>
      <c r="AB4" s="3742" t="s">
        <v>1771</v>
      </c>
      <c r="AC4" s="3745" t="s">
        <v>1772</v>
      </c>
    </row>
    <row r="5" spans="1:29" ht="15">
      <c r="A5" s="358"/>
      <c r="B5" s="359"/>
      <c r="C5" s="3707" t="s">
        <v>1672</v>
      </c>
      <c r="D5" s="3708"/>
      <c r="E5" s="3705" t="s">
        <v>1673</v>
      </c>
      <c r="F5" s="3706"/>
      <c r="G5" s="3707" t="s">
        <v>1674</v>
      </c>
      <c r="H5" s="3708"/>
      <c r="I5" s="3707" t="s">
        <v>1675</v>
      </c>
      <c r="J5" s="3708"/>
      <c r="K5" s="559"/>
      <c r="L5" s="2714"/>
      <c r="M5" s="2715"/>
      <c r="N5" s="2715"/>
      <c r="O5" s="2715"/>
      <c r="P5" s="3750"/>
      <c r="Q5" s="3721"/>
      <c r="R5" s="3703"/>
      <c r="S5" s="3704"/>
      <c r="T5" s="3703"/>
      <c r="U5" s="3704"/>
      <c r="V5" s="3726"/>
      <c r="W5" s="3726"/>
      <c r="X5" s="1355"/>
      <c r="Y5" s="3703"/>
      <c r="Z5" s="3704"/>
      <c r="AA5" s="3697"/>
      <c r="AB5" s="3697"/>
      <c r="AC5" s="3746"/>
    </row>
    <row r="6" spans="1:29" ht="15.75" thickBot="1">
      <c r="A6" s="360"/>
      <c r="B6" s="361"/>
      <c r="C6" s="3709" t="s">
        <v>1676</v>
      </c>
      <c r="D6" s="3710"/>
      <c r="E6" s="3711" t="s">
        <v>1676</v>
      </c>
      <c r="F6" s="3712"/>
      <c r="G6" s="3709" t="s">
        <v>1676</v>
      </c>
      <c r="H6" s="3710"/>
      <c r="I6" s="3709" t="s">
        <v>1676</v>
      </c>
      <c r="J6" s="3710"/>
      <c r="K6" s="559" t="s">
        <v>1677</v>
      </c>
      <c r="L6" s="2714"/>
      <c r="M6" s="2715"/>
      <c r="N6" s="2715"/>
      <c r="O6" s="2715"/>
      <c r="P6" s="3751"/>
      <c r="Q6" s="3723"/>
      <c r="R6" s="3703"/>
      <c r="S6" s="3704"/>
      <c r="T6" s="3724"/>
      <c r="U6" s="3725"/>
      <c r="V6" s="3726"/>
      <c r="W6" s="3726"/>
      <c r="X6" s="1355"/>
      <c r="Y6" s="3724"/>
      <c r="Z6" s="3725"/>
      <c r="AA6" s="3698"/>
      <c r="AB6" s="3698"/>
      <c r="AC6" s="3747"/>
    </row>
    <row r="7" spans="1:29" s="108" customFormat="1" ht="15.75" thickBot="1">
      <c r="A7" s="362" t="s">
        <v>1678</v>
      </c>
      <c r="B7" s="363"/>
      <c r="C7" s="364">
        <f>'数据-取费表'!B2</f>
        <v>45002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3" t="s">
        <v>1679</v>
      </c>
      <c r="Q7" s="3727"/>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3" t="s">
        <v>1682</v>
      </c>
      <c r="Q8" s="3700"/>
      <c r="R8" s="701" t="s">
        <v>14</v>
      </c>
      <c r="S8" s="702">
        <f t="shared" si="0"/>
        <v>100</v>
      </c>
      <c r="T8" s="701" t="s">
        <v>14</v>
      </c>
      <c r="U8" s="702">
        <f t="shared" si="1"/>
        <v>100</v>
      </c>
      <c r="V8" s="701" t="s">
        <v>14</v>
      </c>
      <c r="W8" s="702">
        <f t="shared" si="2"/>
        <v>100</v>
      </c>
      <c r="X8" s="703"/>
      <c r="Y8" s="3699" t="s">
        <v>1682</v>
      </c>
      <c r="Z8" s="3700"/>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3" t="s">
        <v>1685</v>
      </c>
      <c r="Q9" s="1343" t="str">
        <f t="shared" ref="Q9:Q15" si="6">B9</f>
        <v>用途</v>
      </c>
      <c r="R9" s="701" t="s">
        <v>14</v>
      </c>
      <c r="S9" s="702">
        <f t="shared" si="0"/>
        <v>100</v>
      </c>
      <c r="T9" s="701" t="s">
        <v>14</v>
      </c>
      <c r="U9" s="702">
        <f t="shared" si="1"/>
        <v>100</v>
      </c>
      <c r="V9" s="701" t="s">
        <v>14</v>
      </c>
      <c r="W9" s="702">
        <f t="shared" si="2"/>
        <v>100</v>
      </c>
      <c r="X9" s="703"/>
      <c r="Y9" s="3643" t="s">
        <v>1686</v>
      </c>
      <c r="Z9" s="52" t="str">
        <f t="shared" ref="Z9:Z15" si="7">Q9</f>
        <v>用途</v>
      </c>
      <c r="AA9" s="704">
        <f t="shared" si="3"/>
        <v>1</v>
      </c>
      <c r="AB9" s="704">
        <f t="shared" si="4"/>
        <v>1</v>
      </c>
      <c r="AC9" s="1959">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3"/>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3"/>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3"/>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3"/>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0" t="s">
        <v>1690</v>
      </c>
      <c r="Q15" s="1352" t="str">
        <f t="shared" si="6"/>
        <v>办公集聚程度</v>
      </c>
      <c r="R15" s="705" t="s">
        <v>14</v>
      </c>
      <c r="S15" s="706">
        <f t="shared" si="0"/>
        <v>100</v>
      </c>
      <c r="T15" s="705" t="s">
        <v>14</v>
      </c>
      <c r="U15" s="706">
        <f t="shared" si="1"/>
        <v>100</v>
      </c>
      <c r="V15" s="705" t="s">
        <v>14</v>
      </c>
      <c r="W15" s="706">
        <f t="shared" si="2"/>
        <v>100</v>
      </c>
      <c r="X15" s="1355"/>
      <c r="Y15" s="3733"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41"/>
      <c r="Q16" s="1352"/>
      <c r="R16" s="705"/>
      <c r="S16" s="706"/>
      <c r="T16" s="705"/>
      <c r="U16" s="706"/>
      <c r="V16" s="705"/>
      <c r="W16" s="706"/>
      <c r="X16" s="1355"/>
      <c r="Y16" s="3734"/>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41"/>
      <c r="Q18" s="1352"/>
      <c r="R18" s="705"/>
      <c r="S18" s="706"/>
      <c r="T18" s="705"/>
      <c r="U18" s="706"/>
      <c r="V18" s="705"/>
      <c r="W18" s="706"/>
      <c r="X18" s="1355"/>
      <c r="Y18" s="3734"/>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41"/>
      <c r="Q20" s="1352"/>
      <c r="R20" s="705"/>
      <c r="S20" s="706"/>
      <c r="T20" s="705"/>
      <c r="U20" s="706"/>
      <c r="V20" s="705"/>
      <c r="W20" s="706"/>
      <c r="X20" s="1355"/>
      <c r="Y20" s="3734"/>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41"/>
      <c r="Q22" s="1352"/>
      <c r="R22" s="705"/>
      <c r="S22" s="706"/>
      <c r="T22" s="705"/>
      <c r="U22" s="706"/>
      <c r="V22" s="705"/>
      <c r="W22" s="706"/>
      <c r="X22" s="1355"/>
      <c r="Y22" s="3734"/>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1"/>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41"/>
      <c r="Q24" s="1352"/>
      <c r="R24" s="705"/>
      <c r="S24" s="706"/>
      <c r="T24" s="705"/>
      <c r="U24" s="706"/>
      <c r="V24" s="705"/>
      <c r="W24" s="706"/>
      <c r="X24" s="1355"/>
      <c r="Y24" s="3734"/>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1"/>
      <c r="Q25" s="1352" t="str">
        <f>B25</f>
        <v>毗邻道路的类型与等级</v>
      </c>
      <c r="R25" s="705" t="s">
        <v>14</v>
      </c>
      <c r="S25" s="706">
        <f>F25</f>
        <v>100</v>
      </c>
      <c r="T25" s="705" t="s">
        <v>14</v>
      </c>
      <c r="U25" s="706">
        <f>H25</f>
        <v>100</v>
      </c>
      <c r="V25" s="705" t="s">
        <v>14</v>
      </c>
      <c r="W25" s="706">
        <f>J25</f>
        <v>100</v>
      </c>
      <c r="X25" s="1355"/>
      <c r="Y25" s="373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1"/>
      <c r="Q26" s="1352"/>
      <c r="R26" s="705"/>
      <c r="S26" s="706"/>
      <c r="T26" s="705"/>
      <c r="U26" s="706"/>
      <c r="V26" s="705"/>
      <c r="W26" s="706"/>
      <c r="X26" s="1355"/>
      <c r="Y26" s="3734"/>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1"/>
      <c r="Q27" s="1352" t="str">
        <f t="shared" ref="Q27:Q47" si="11">B27</f>
        <v>楼层</v>
      </c>
      <c r="R27" s="705" t="s">
        <v>14</v>
      </c>
      <c r="S27" s="706">
        <f>F27</f>
        <v>100</v>
      </c>
      <c r="T27" s="705" t="s">
        <v>14</v>
      </c>
      <c r="U27" s="706">
        <f>H27</f>
        <v>100</v>
      </c>
      <c r="V27" s="705" t="s">
        <v>14</v>
      </c>
      <c r="W27" s="706">
        <f>J27</f>
        <v>100</v>
      </c>
      <c r="X27" s="1355"/>
      <c r="Y27" s="3734"/>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1"/>
      <c r="Q28" s="1343" t="str">
        <f t="shared" si="11"/>
        <v>朝向</v>
      </c>
      <c r="R28" s="701" t="s">
        <v>14</v>
      </c>
      <c r="S28" s="702">
        <f>F28</f>
        <v>100</v>
      </c>
      <c r="T28" s="701" t="s">
        <v>14</v>
      </c>
      <c r="U28" s="702">
        <f>H28</f>
        <v>100</v>
      </c>
      <c r="V28" s="701" t="s">
        <v>14</v>
      </c>
      <c r="W28" s="702">
        <f>J28</f>
        <v>100</v>
      </c>
      <c r="X28" s="703"/>
      <c r="Y28" s="373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1"/>
      <c r="Q29" s="1352">
        <f t="shared" si="11"/>
        <v>111</v>
      </c>
      <c r="R29" s="705" t="s">
        <v>14</v>
      </c>
      <c r="S29" s="706">
        <f t="shared" ref="S29:S47" si="12">F29</f>
        <v>100</v>
      </c>
      <c r="T29" s="705" t="s">
        <v>14</v>
      </c>
      <c r="U29" s="706">
        <f t="shared" ref="U29:U47" si="13">H29</f>
        <v>100</v>
      </c>
      <c r="V29" s="705" t="s">
        <v>14</v>
      </c>
      <c r="W29" s="706">
        <f t="shared" ref="W29:W47" si="14">J29</f>
        <v>100</v>
      </c>
      <c r="X29" s="1355"/>
      <c r="Y29" s="373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1"/>
      <c r="Q32" s="1352">
        <f t="shared" si="11"/>
        <v>111</v>
      </c>
      <c r="R32" s="705" t="s">
        <v>14</v>
      </c>
      <c r="S32" s="706">
        <f t="shared" si="12"/>
        <v>100</v>
      </c>
      <c r="T32" s="705" t="s">
        <v>14</v>
      </c>
      <c r="U32" s="706">
        <f t="shared" si="13"/>
        <v>100</v>
      </c>
      <c r="V32" s="705" t="s">
        <v>14</v>
      </c>
      <c r="W32" s="706">
        <f t="shared" si="14"/>
        <v>100</v>
      </c>
      <c r="X32" s="1355"/>
      <c r="Y32" s="3734"/>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5" t="s">
        <v>1695</v>
      </c>
      <c r="Q33" s="1352" t="str">
        <f t="shared" si="11"/>
        <v>建筑类型</v>
      </c>
      <c r="R33" s="705" t="s">
        <v>14</v>
      </c>
      <c r="S33" s="706">
        <f t="shared" si="12"/>
        <v>100</v>
      </c>
      <c r="T33" s="705" t="s">
        <v>14</v>
      </c>
      <c r="U33" s="706">
        <f t="shared" si="13"/>
        <v>100</v>
      </c>
      <c r="V33" s="705" t="s">
        <v>14</v>
      </c>
      <c r="W33" s="706">
        <f t="shared" si="14"/>
        <v>100</v>
      </c>
      <c r="X33" s="1355"/>
      <c r="Y33" s="3738"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6"/>
      <c r="Q34" s="707" t="str">
        <f t="shared" si="11"/>
        <v>项目建筑规模</v>
      </c>
      <c r="R34" s="708" t="s">
        <v>14</v>
      </c>
      <c r="S34" s="709" t="e">
        <f t="shared" si="12"/>
        <v>#N/A</v>
      </c>
      <c r="T34" s="708" t="s">
        <v>14</v>
      </c>
      <c r="U34" s="709" t="e">
        <f t="shared" si="13"/>
        <v>#N/A</v>
      </c>
      <c r="V34" s="708" t="s">
        <v>14</v>
      </c>
      <c r="W34" s="709" t="e">
        <f t="shared" si="14"/>
        <v>#N/A</v>
      </c>
      <c r="X34" s="710"/>
      <c r="Y34" s="3738"/>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6"/>
      <c r="Q35" s="1352" t="str">
        <f t="shared" si="11"/>
        <v>建筑结构</v>
      </c>
      <c r="R35" s="705" t="s">
        <v>14</v>
      </c>
      <c r="S35" s="706">
        <f t="shared" si="12"/>
        <v>100</v>
      </c>
      <c r="T35" s="705" t="s">
        <v>14</v>
      </c>
      <c r="U35" s="706">
        <f t="shared" si="13"/>
        <v>100</v>
      </c>
      <c r="V35" s="705" t="s">
        <v>14</v>
      </c>
      <c r="W35" s="706">
        <f t="shared" si="14"/>
        <v>100</v>
      </c>
      <c r="X35" s="1355"/>
      <c r="Y35" s="3738"/>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6"/>
      <c r="Q36" s="1352" t="str">
        <f t="shared" si="11"/>
        <v>公共部分装修</v>
      </c>
      <c r="R36" s="705" t="s">
        <v>14</v>
      </c>
      <c r="S36" s="706">
        <f t="shared" si="12"/>
        <v>100</v>
      </c>
      <c r="T36" s="705" t="s">
        <v>14</v>
      </c>
      <c r="U36" s="706">
        <f t="shared" si="13"/>
        <v>100</v>
      </c>
      <c r="V36" s="705" t="s">
        <v>14</v>
      </c>
      <c r="W36" s="706">
        <f t="shared" si="14"/>
        <v>100</v>
      </c>
      <c r="X36" s="1355"/>
      <c r="Y36" s="3738"/>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6"/>
      <c r="Q37" s="1352" t="str">
        <f t="shared" si="11"/>
        <v>成新度</v>
      </c>
      <c r="R37" s="705" t="s">
        <v>14</v>
      </c>
      <c r="S37" s="706" t="e">
        <f t="shared" si="12"/>
        <v>#N/A</v>
      </c>
      <c r="T37" s="705" t="s">
        <v>14</v>
      </c>
      <c r="U37" s="706" t="e">
        <f t="shared" si="13"/>
        <v>#N/A</v>
      </c>
      <c r="V37" s="705" t="s">
        <v>14</v>
      </c>
      <c r="W37" s="706" t="e">
        <f t="shared" si="14"/>
        <v>#N/A</v>
      </c>
      <c r="X37" s="1355"/>
      <c r="Y37" s="3738"/>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6"/>
      <c r="Q38" s="1343" t="str">
        <f t="shared" si="11"/>
        <v>写字楼等级</v>
      </c>
      <c r="R38" s="701" t="s">
        <v>14</v>
      </c>
      <c r="S38" s="702">
        <f t="shared" si="12"/>
        <v>100</v>
      </c>
      <c r="T38" s="701" t="s">
        <v>14</v>
      </c>
      <c r="U38" s="702">
        <f t="shared" si="13"/>
        <v>100</v>
      </c>
      <c r="V38" s="701" t="s">
        <v>14</v>
      </c>
      <c r="W38" s="702">
        <f t="shared" si="14"/>
        <v>100</v>
      </c>
      <c r="X38" s="703"/>
      <c r="Y38" s="3738"/>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6" t="s">
        <v>1695</v>
      </c>
      <c r="Q39" s="1352" t="str">
        <f t="shared" si="11"/>
        <v>物业管理</v>
      </c>
      <c r="R39" s="705" t="s">
        <v>14</v>
      </c>
      <c r="S39" s="706">
        <f t="shared" si="12"/>
        <v>100</v>
      </c>
      <c r="T39" s="705" t="s">
        <v>14</v>
      </c>
      <c r="U39" s="706">
        <f t="shared" si="13"/>
        <v>100</v>
      </c>
      <c r="V39" s="705" t="s">
        <v>14</v>
      </c>
      <c r="W39" s="706">
        <f t="shared" si="14"/>
        <v>100</v>
      </c>
      <c r="X39" s="1355"/>
      <c r="Y39" s="3738"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6"/>
      <c r="Q40" s="1352" t="str">
        <f t="shared" si="11"/>
        <v>市政基础设施</v>
      </c>
      <c r="R40" s="705" t="s">
        <v>14</v>
      </c>
      <c r="S40" s="706">
        <f t="shared" si="12"/>
        <v>100</v>
      </c>
      <c r="T40" s="705" t="s">
        <v>14</v>
      </c>
      <c r="U40" s="706">
        <f t="shared" si="13"/>
        <v>100</v>
      </c>
      <c r="V40" s="705" t="s">
        <v>14</v>
      </c>
      <c r="W40" s="706">
        <f t="shared" si="14"/>
        <v>100</v>
      </c>
      <c r="X40" s="1355"/>
      <c r="Y40" s="3738"/>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6"/>
      <c r="Q41" s="1352" t="str">
        <f t="shared" si="11"/>
        <v>层高</v>
      </c>
      <c r="R41" s="705" t="s">
        <v>14</v>
      </c>
      <c r="S41" s="706">
        <f t="shared" si="12"/>
        <v>100</v>
      </c>
      <c r="T41" s="705" t="s">
        <v>14</v>
      </c>
      <c r="U41" s="706">
        <f t="shared" si="13"/>
        <v>100</v>
      </c>
      <c r="V41" s="705" t="s">
        <v>14</v>
      </c>
      <c r="W41" s="706">
        <f t="shared" si="14"/>
        <v>100</v>
      </c>
      <c r="X41" s="1355"/>
      <c r="Y41" s="373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6"/>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6"/>
      <c r="Q43" s="1352" t="str">
        <f t="shared" si="11"/>
        <v>内部装修</v>
      </c>
      <c r="R43" s="705" t="s">
        <v>14</v>
      </c>
      <c r="S43" s="706">
        <f t="shared" si="12"/>
        <v>100</v>
      </c>
      <c r="T43" s="705" t="s">
        <v>14</v>
      </c>
      <c r="U43" s="706">
        <f t="shared" si="13"/>
        <v>100</v>
      </c>
      <c r="V43" s="705" t="s">
        <v>14</v>
      </c>
      <c r="W43" s="706">
        <f t="shared" si="14"/>
        <v>100</v>
      </c>
      <c r="X43" s="1355"/>
      <c r="Y43" s="3738"/>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6"/>
      <c r="Q44" s="1352" t="str">
        <f t="shared" si="11"/>
        <v>内部装修维护情况</v>
      </c>
      <c r="R44" s="705" t="s">
        <v>14</v>
      </c>
      <c r="S44" s="706">
        <f t="shared" si="12"/>
        <v>100</v>
      </c>
      <c r="T44" s="705" t="s">
        <v>14</v>
      </c>
      <c r="U44" s="706">
        <f t="shared" si="13"/>
        <v>100</v>
      </c>
      <c r="V44" s="705" t="s">
        <v>14</v>
      </c>
      <c r="W44" s="706">
        <f t="shared" si="14"/>
        <v>100</v>
      </c>
      <c r="X44" s="1355"/>
      <c r="Y44" s="373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6"/>
      <c r="Q45" s="1343">
        <f t="shared" si="11"/>
        <v>111</v>
      </c>
      <c r="R45" s="701" t="s">
        <v>14</v>
      </c>
      <c r="S45" s="702">
        <f t="shared" si="12"/>
        <v>100</v>
      </c>
      <c r="T45" s="701" t="s">
        <v>14</v>
      </c>
      <c r="U45" s="702">
        <f t="shared" si="13"/>
        <v>100</v>
      </c>
      <c r="V45" s="701" t="s">
        <v>14</v>
      </c>
      <c r="W45" s="702">
        <f t="shared" si="14"/>
        <v>100</v>
      </c>
      <c r="X45" s="703"/>
      <c r="Y45" s="373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7"/>
      <c r="Q47" s="1352">
        <f t="shared" si="11"/>
        <v>111</v>
      </c>
      <c r="R47" s="705" t="s">
        <v>14</v>
      </c>
      <c r="S47" s="706">
        <f t="shared" si="12"/>
        <v>100</v>
      </c>
      <c r="T47" s="705" t="s">
        <v>14</v>
      </c>
      <c r="U47" s="706">
        <f t="shared" si="13"/>
        <v>100</v>
      </c>
      <c r="V47" s="705" t="s">
        <v>14</v>
      </c>
      <c r="W47" s="706">
        <f t="shared" si="14"/>
        <v>100</v>
      </c>
      <c r="X47" s="1355"/>
      <c r="Y47" s="3739"/>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3"/>
      <c r="M48" s="2715"/>
      <c r="N48" s="2715"/>
      <c r="O48" s="2715"/>
      <c r="P48" s="3713" t="str">
        <f>A48</f>
        <v>成交单价（元/平方米）</v>
      </c>
      <c r="Q48" s="3731"/>
      <c r="R48" s="3732">
        <f>E48</f>
        <v>0</v>
      </c>
      <c r="S48" s="3732"/>
      <c r="T48" s="3732">
        <f>G48</f>
        <v>0</v>
      </c>
      <c r="U48" s="3732"/>
      <c r="V48" s="3732">
        <f>I48</f>
        <v>0</v>
      </c>
      <c r="W48" s="3732"/>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713" t="str">
        <f>A49</f>
        <v>比较价值（元/平方米）</v>
      </c>
      <c r="Q49" s="3731"/>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897</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898</v>
      </c>
    </row>
    <row r="6" spans="1:1" ht="18.75">
      <c r="A6" s="1482" t="s">
        <v>899</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估价对象为北京市房地产，为航港发展有限公司所有。根据《国有土地使用证》[]，估价对象（分摊）出让国有建设用地使用权面积为236852.67平方米，建筑面积为114107.98平方米。</v>
      </c>
    </row>
    <row r="8" spans="1:1" ht="57.75">
      <c r="A8" s="1483" t="s">
        <v>900</v>
      </c>
    </row>
    <row r="9" spans="1:1" ht="18.75">
      <c r="A9" s="1482" t="s">
        <v>901</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估价对象为北京市房地产,为航港发展有限公司开发建设的，该项目尚在开发建设中。根据《国有土地使用证》[]，估价对象（分摊）出让国有建设用地使用权面积为236852.67平方米，规划建筑面积为114107.98平方米。</v>
      </c>
    </row>
    <row r="11" spans="1:1" ht="76.5">
      <c r="A11" s="1483" t="s">
        <v>902</v>
      </c>
    </row>
    <row r="12" spans="1:1" ht="18.75">
      <c r="A12" s="1481" t="s">
        <v>903</v>
      </c>
    </row>
    <row r="13" spans="1:1" ht="38.25" customHeight="1">
      <c r="A13" s="1484" t="str">
        <f>IF(项目基本情况!B8="抵押",IF(项目基本情况!B5=项目基本情况!B6,定义!C51,定义!B51),定义!D51)</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904</v>
      </c>
    </row>
    <row r="15" spans="1:1" ht="18">
      <c r="A15" s="1486" t="str">
        <f>TEXT(项目基本情况!D3,"yyyy年m月d日;;")&amp;IF(项目基本情况!D3=项目基本情况!B3,"（评估专业人员实地查勘之日）","")</f>
        <v>2023年3月17日</v>
      </c>
    </row>
    <row r="16" spans="1:1" ht="18.75">
      <c r="A16" s="1485" t="s">
        <v>905</v>
      </c>
    </row>
    <row r="17" spans="1:1" ht="75">
      <c r="A17" s="1480" t="s">
        <v>906</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895</v>
      </c>
    </row>
    <row r="24" spans="1:1" ht="18">
      <c r="A24" s="1487" t="str">
        <f>"本次评估采用的主估价方法为"&amp;结果表!K4&amp;"和"&amp;结果表!L4&amp;"。"</f>
        <v>本次评估采用的主估价方法为成本法和收益法。</v>
      </c>
    </row>
    <row r="25" spans="1:1" ht="18">
      <c r="A25" s="1487"/>
    </row>
    <row r="26" spans="1:1" ht="18.75">
      <c r="A26" s="1488" t="s">
        <v>896</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114107.98000000001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4" t="s">
        <v>1769</v>
      </c>
      <c r="D4" s="3715"/>
      <c r="E4" s="3716" t="s">
        <v>1770</v>
      </c>
      <c r="F4" s="3717"/>
      <c r="G4" s="3714" t="s">
        <v>1771</v>
      </c>
      <c r="H4" s="3715"/>
      <c r="I4" s="3714" t="s">
        <v>1772</v>
      </c>
      <c r="J4" s="3715"/>
      <c r="K4" s="559" t="s">
        <v>1773</v>
      </c>
      <c r="L4" s="913"/>
      <c r="M4" s="914"/>
      <c r="N4" s="914"/>
      <c r="O4" s="914"/>
      <c r="P4" s="3718" t="s">
        <v>1774</v>
      </c>
      <c r="Q4" s="3719"/>
      <c r="R4" s="3701" t="s">
        <v>1770</v>
      </c>
      <c r="S4" s="3702"/>
      <c r="T4" s="3701" t="s">
        <v>1771</v>
      </c>
      <c r="U4" s="3702"/>
      <c r="V4" s="3726" t="s">
        <v>1772</v>
      </c>
      <c r="W4" s="3726"/>
      <c r="X4" s="1355"/>
      <c r="Y4" s="3701" t="s">
        <v>1774</v>
      </c>
      <c r="Z4" s="3702"/>
      <c r="AA4" s="3696" t="s">
        <v>1770</v>
      </c>
      <c r="AB4" s="3697" t="s">
        <v>1771</v>
      </c>
      <c r="AC4" s="3696" t="s">
        <v>1772</v>
      </c>
    </row>
    <row r="5" spans="1:29" ht="15">
      <c r="A5" s="358"/>
      <c r="B5" s="359"/>
      <c r="C5" s="3707" t="s">
        <v>1672</v>
      </c>
      <c r="D5" s="3708"/>
      <c r="E5" s="3705" t="s">
        <v>1673</v>
      </c>
      <c r="F5" s="3706"/>
      <c r="G5" s="3707" t="s">
        <v>1674</v>
      </c>
      <c r="H5" s="3708"/>
      <c r="I5" s="3707" t="s">
        <v>1675</v>
      </c>
      <c r="J5" s="3708"/>
      <c r="K5" s="559"/>
      <c r="L5" s="913"/>
      <c r="M5" s="914"/>
      <c r="N5" s="914"/>
      <c r="O5" s="914"/>
      <c r="P5" s="3720"/>
      <c r="Q5" s="3721"/>
      <c r="R5" s="3703"/>
      <c r="S5" s="3704"/>
      <c r="T5" s="3703"/>
      <c r="U5" s="3704"/>
      <c r="V5" s="3726"/>
      <c r="W5" s="3726"/>
      <c r="X5" s="1355"/>
      <c r="Y5" s="3703"/>
      <c r="Z5" s="3704"/>
      <c r="AA5" s="3697"/>
      <c r="AB5" s="3697"/>
      <c r="AC5" s="3697"/>
    </row>
    <row r="6" spans="1:29" ht="15.75" thickBot="1">
      <c r="A6" s="360"/>
      <c r="B6" s="361"/>
      <c r="C6" s="3709" t="s">
        <v>1676</v>
      </c>
      <c r="D6" s="3710"/>
      <c r="E6" s="3711" t="s">
        <v>1676</v>
      </c>
      <c r="F6" s="3712"/>
      <c r="G6" s="3709" t="s">
        <v>1676</v>
      </c>
      <c r="H6" s="3710"/>
      <c r="I6" s="3709" t="s">
        <v>1676</v>
      </c>
      <c r="J6" s="3710"/>
      <c r="K6" s="559" t="s">
        <v>1677</v>
      </c>
      <c r="L6" s="913"/>
      <c r="M6" s="914"/>
      <c r="N6" s="914"/>
      <c r="O6" s="914"/>
      <c r="P6" s="3722"/>
      <c r="Q6" s="3723"/>
      <c r="R6" s="3703"/>
      <c r="S6" s="3704"/>
      <c r="T6" s="3724"/>
      <c r="U6" s="3725"/>
      <c r="V6" s="3726"/>
      <c r="W6" s="3726"/>
      <c r="X6" s="1355"/>
      <c r="Y6" s="3724"/>
      <c r="Z6" s="3725"/>
      <c r="AA6" s="3698"/>
      <c r="AB6" s="3698"/>
      <c r="AC6" s="3698"/>
    </row>
    <row r="7" spans="1:29" s="108" customFormat="1" ht="15.75" thickBot="1">
      <c r="A7" s="362" t="s">
        <v>1678</v>
      </c>
      <c r="B7" s="363"/>
      <c r="C7" s="364">
        <f>'数据-取费表'!B2</f>
        <v>45002</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1679</v>
      </c>
      <c r="Q7" s="3727"/>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1682</v>
      </c>
      <c r="Q8" s="3700"/>
      <c r="R8" s="701" t="s">
        <v>14</v>
      </c>
      <c r="S8" s="702">
        <f t="shared" si="0"/>
        <v>100</v>
      </c>
      <c r="T8" s="701" t="s">
        <v>14</v>
      </c>
      <c r="U8" s="702">
        <f t="shared" si="1"/>
        <v>100</v>
      </c>
      <c r="V8" s="701" t="s">
        <v>14</v>
      </c>
      <c r="W8" s="702">
        <f t="shared" si="2"/>
        <v>100</v>
      </c>
      <c r="X8" s="703"/>
      <c r="Y8" s="3699" t="s">
        <v>1682</v>
      </c>
      <c r="Z8" s="370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1685</v>
      </c>
      <c r="Q9" s="1343" t="str">
        <f t="shared" ref="Q9:Q15" si="6">B9</f>
        <v>用途</v>
      </c>
      <c r="R9" s="701" t="s">
        <v>14</v>
      </c>
      <c r="S9" s="702">
        <f t="shared" si="0"/>
        <v>100</v>
      </c>
      <c r="T9" s="701" t="s">
        <v>14</v>
      </c>
      <c r="U9" s="702">
        <f t="shared" si="1"/>
        <v>100</v>
      </c>
      <c r="V9" s="701" t="s">
        <v>14</v>
      </c>
      <c r="W9" s="702">
        <f t="shared" si="2"/>
        <v>100</v>
      </c>
      <c r="X9" s="703"/>
      <c r="Y9" s="3643"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3" t="s">
        <v>1690</v>
      </c>
      <c r="Q15" s="1352" t="str">
        <f t="shared" si="6"/>
        <v>产业集聚程度</v>
      </c>
      <c r="R15" s="705" t="s">
        <v>14</v>
      </c>
      <c r="S15" s="706">
        <f t="shared" si="0"/>
        <v>100</v>
      </c>
      <c r="T15" s="705" t="s">
        <v>14</v>
      </c>
      <c r="U15" s="706">
        <f t="shared" si="1"/>
        <v>100</v>
      </c>
      <c r="V15" s="705" t="s">
        <v>14</v>
      </c>
      <c r="W15" s="706">
        <f t="shared" si="2"/>
        <v>100</v>
      </c>
      <c r="X15" s="1355"/>
      <c r="Y15" s="3733"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4"/>
      <c r="Q16" s="1352"/>
      <c r="R16" s="705"/>
      <c r="S16" s="706"/>
      <c r="T16" s="705"/>
      <c r="U16" s="706"/>
      <c r="V16" s="705"/>
      <c r="W16" s="706"/>
      <c r="X16" s="1355"/>
      <c r="Y16" s="3734"/>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4"/>
      <c r="Q18" s="1352"/>
      <c r="R18" s="705"/>
      <c r="S18" s="706"/>
      <c r="T18" s="705"/>
      <c r="U18" s="706"/>
      <c r="V18" s="705"/>
      <c r="W18" s="706"/>
      <c r="X18" s="1355"/>
      <c r="Y18" s="3734"/>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4"/>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4"/>
      <c r="Q20" s="1352"/>
      <c r="R20" s="705"/>
      <c r="S20" s="706"/>
      <c r="T20" s="705"/>
      <c r="U20" s="706"/>
      <c r="V20" s="705"/>
      <c r="W20" s="706"/>
      <c r="X20" s="1355"/>
      <c r="Y20" s="3734"/>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4"/>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4"/>
      <c r="Q22" s="1352"/>
      <c r="R22" s="705"/>
      <c r="S22" s="706"/>
      <c r="T22" s="705"/>
      <c r="U22" s="706"/>
      <c r="V22" s="705"/>
      <c r="W22" s="706"/>
      <c r="X22" s="1355"/>
      <c r="Y22" s="3734"/>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4"/>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4"/>
      <c r="Q24" s="1352"/>
      <c r="R24" s="705"/>
      <c r="S24" s="706"/>
      <c r="T24" s="705"/>
      <c r="U24" s="706"/>
      <c r="V24" s="705"/>
      <c r="W24" s="706"/>
      <c r="X24" s="1355"/>
      <c r="Y24" s="373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4"/>
      <c r="Q25" s="1352">
        <f>B25</f>
        <v>111</v>
      </c>
      <c r="R25" s="705" t="s">
        <v>14</v>
      </c>
      <c r="S25" s="706">
        <f>F25</f>
        <v>100</v>
      </c>
      <c r="T25" s="705" t="s">
        <v>14</v>
      </c>
      <c r="U25" s="706">
        <f>H25</f>
        <v>100</v>
      </c>
      <c r="V25" s="705" t="s">
        <v>14</v>
      </c>
      <c r="W25" s="706">
        <f>J25</f>
        <v>100</v>
      </c>
      <c r="X25" s="1355"/>
      <c r="Y25" s="373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4"/>
      <c r="Q26" s="1352">
        <f t="shared" ref="Q26:Q40" si="11">B26</f>
        <v>111</v>
      </c>
      <c r="R26" s="705" t="s">
        <v>14</v>
      </c>
      <c r="S26" s="706">
        <f>F26</f>
        <v>100</v>
      </c>
      <c r="T26" s="705" t="s">
        <v>14</v>
      </c>
      <c r="U26" s="706">
        <f>H26</f>
        <v>100</v>
      </c>
      <c r="V26" s="705" t="s">
        <v>14</v>
      </c>
      <c r="W26" s="706">
        <f>J26</f>
        <v>100</v>
      </c>
      <c r="X26" s="1355"/>
      <c r="Y26" s="373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4"/>
      <c r="Q27" s="1343">
        <f t="shared" si="11"/>
        <v>111</v>
      </c>
      <c r="R27" s="701" t="s">
        <v>14</v>
      </c>
      <c r="S27" s="702">
        <f>F27</f>
        <v>100</v>
      </c>
      <c r="T27" s="701" t="s">
        <v>14</v>
      </c>
      <c r="U27" s="702">
        <f>H27</f>
        <v>100</v>
      </c>
      <c r="V27" s="701" t="s">
        <v>14</v>
      </c>
      <c r="W27" s="702">
        <f>J27</f>
        <v>100</v>
      </c>
      <c r="X27" s="703"/>
      <c r="Y27" s="373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4"/>
      <c r="Q28" s="1352">
        <f t="shared" si="11"/>
        <v>111</v>
      </c>
      <c r="R28" s="705" t="s">
        <v>14</v>
      </c>
      <c r="S28" s="706">
        <f t="shared" ref="S28:S40" si="12">F28</f>
        <v>100</v>
      </c>
      <c r="T28" s="705" t="s">
        <v>14</v>
      </c>
      <c r="U28" s="706">
        <f t="shared" ref="U28:U40" si="13">H28</f>
        <v>100</v>
      </c>
      <c r="V28" s="705" t="s">
        <v>14</v>
      </c>
      <c r="W28" s="706">
        <f t="shared" ref="W28:W40" si="14">J28</f>
        <v>100</v>
      </c>
      <c r="X28" s="1355"/>
      <c r="Y28" s="3734"/>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7" t="s">
        <v>1695</v>
      </c>
      <c r="Q29" s="1352" t="str">
        <f t="shared" si="11"/>
        <v>建筑类型</v>
      </c>
      <c r="R29" s="705" t="s">
        <v>14</v>
      </c>
      <c r="S29" s="706">
        <f t="shared" si="12"/>
        <v>100</v>
      </c>
      <c r="T29" s="705" t="s">
        <v>14</v>
      </c>
      <c r="U29" s="706">
        <f t="shared" si="13"/>
        <v>100</v>
      </c>
      <c r="V29" s="705" t="s">
        <v>14</v>
      </c>
      <c r="W29" s="706">
        <f t="shared" si="14"/>
        <v>100</v>
      </c>
      <c r="X29" s="1355"/>
      <c r="Y29" s="373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8"/>
      <c r="Q30" s="707" t="str">
        <f t="shared" si="11"/>
        <v>项目建筑规模</v>
      </c>
      <c r="R30" s="708" t="s">
        <v>14</v>
      </c>
      <c r="S30" s="709" t="e">
        <f t="shared" si="12"/>
        <v>#N/A</v>
      </c>
      <c r="T30" s="708" t="s">
        <v>14</v>
      </c>
      <c r="U30" s="709" t="e">
        <f t="shared" si="13"/>
        <v>#N/A</v>
      </c>
      <c r="V30" s="708" t="s">
        <v>14</v>
      </c>
      <c r="W30" s="709" t="e">
        <f t="shared" si="14"/>
        <v>#N/A</v>
      </c>
      <c r="X30" s="710"/>
      <c r="Y30" s="373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8"/>
      <c r="Q31" s="1352" t="str">
        <f t="shared" si="11"/>
        <v>建筑结构</v>
      </c>
      <c r="R31" s="705" t="s">
        <v>14</v>
      </c>
      <c r="S31" s="706">
        <f t="shared" si="12"/>
        <v>100</v>
      </c>
      <c r="T31" s="705" t="s">
        <v>14</v>
      </c>
      <c r="U31" s="706">
        <f t="shared" si="13"/>
        <v>100</v>
      </c>
      <c r="V31" s="705" t="s">
        <v>14</v>
      </c>
      <c r="W31" s="706">
        <f t="shared" si="14"/>
        <v>100</v>
      </c>
      <c r="X31" s="1355"/>
      <c r="Y31" s="373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8"/>
      <c r="Q32" s="1352" t="str">
        <f t="shared" si="11"/>
        <v>公共部分装修</v>
      </c>
      <c r="R32" s="705" t="s">
        <v>14</v>
      </c>
      <c r="S32" s="706">
        <f t="shared" si="12"/>
        <v>100</v>
      </c>
      <c r="T32" s="705" t="s">
        <v>14</v>
      </c>
      <c r="U32" s="706">
        <f t="shared" si="13"/>
        <v>100</v>
      </c>
      <c r="V32" s="705" t="s">
        <v>14</v>
      </c>
      <c r="W32" s="706">
        <f t="shared" si="14"/>
        <v>100</v>
      </c>
      <c r="X32" s="1355"/>
      <c r="Y32" s="373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8"/>
      <c r="Q33" s="1352" t="str">
        <f t="shared" si="11"/>
        <v>成新度</v>
      </c>
      <c r="R33" s="705" t="s">
        <v>14</v>
      </c>
      <c r="S33" s="706" t="e">
        <f t="shared" si="12"/>
        <v>#N/A</v>
      </c>
      <c r="T33" s="705" t="s">
        <v>14</v>
      </c>
      <c r="U33" s="706" t="e">
        <f t="shared" si="13"/>
        <v>#N/A</v>
      </c>
      <c r="V33" s="705" t="s">
        <v>14</v>
      </c>
      <c r="W33" s="706" t="e">
        <f t="shared" si="14"/>
        <v>#N/A</v>
      </c>
      <c r="X33" s="1355"/>
      <c r="Y33" s="373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8"/>
      <c r="Q34" s="1343" t="str">
        <f t="shared" si="11"/>
        <v>物业管理</v>
      </c>
      <c r="R34" s="701" t="s">
        <v>14</v>
      </c>
      <c r="S34" s="702">
        <f t="shared" si="12"/>
        <v>100</v>
      </c>
      <c r="T34" s="701" t="s">
        <v>14</v>
      </c>
      <c r="U34" s="702">
        <f t="shared" si="13"/>
        <v>100</v>
      </c>
      <c r="V34" s="701" t="s">
        <v>14</v>
      </c>
      <c r="W34" s="702">
        <f t="shared" si="14"/>
        <v>100</v>
      </c>
      <c r="X34" s="703"/>
      <c r="Y34" s="373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8" t="s">
        <v>1695</v>
      </c>
      <c r="Q35" s="1352" t="str">
        <f t="shared" si="11"/>
        <v>市政基础设施</v>
      </c>
      <c r="R35" s="705" t="s">
        <v>14</v>
      </c>
      <c r="S35" s="706">
        <f t="shared" si="12"/>
        <v>100</v>
      </c>
      <c r="T35" s="705" t="s">
        <v>14</v>
      </c>
      <c r="U35" s="706">
        <f t="shared" si="13"/>
        <v>100</v>
      </c>
      <c r="V35" s="705" t="s">
        <v>14</v>
      </c>
      <c r="W35" s="706">
        <f t="shared" si="14"/>
        <v>100</v>
      </c>
      <c r="X35" s="1355"/>
      <c r="Y35" s="373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8"/>
      <c r="Q36" s="1352" t="str">
        <f t="shared" si="11"/>
        <v>内部装修</v>
      </c>
      <c r="R36" s="705" t="s">
        <v>14</v>
      </c>
      <c r="S36" s="706">
        <f t="shared" si="12"/>
        <v>100</v>
      </c>
      <c r="T36" s="705" t="s">
        <v>14</v>
      </c>
      <c r="U36" s="706">
        <f t="shared" si="13"/>
        <v>100</v>
      </c>
      <c r="V36" s="705" t="s">
        <v>14</v>
      </c>
      <c r="W36" s="706">
        <f t="shared" si="14"/>
        <v>100</v>
      </c>
      <c r="X36" s="1355"/>
      <c r="Y36" s="373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8"/>
      <c r="Q37" s="1352" t="str">
        <f t="shared" si="11"/>
        <v>内部装修状况</v>
      </c>
      <c r="R37" s="705" t="s">
        <v>14</v>
      </c>
      <c r="S37" s="706">
        <f t="shared" si="12"/>
        <v>100</v>
      </c>
      <c r="T37" s="705" t="s">
        <v>14</v>
      </c>
      <c r="U37" s="706">
        <f t="shared" si="13"/>
        <v>100</v>
      </c>
      <c r="V37" s="705" t="s">
        <v>14</v>
      </c>
      <c r="W37" s="706">
        <f t="shared" si="14"/>
        <v>100</v>
      </c>
      <c r="X37" s="1355"/>
      <c r="Y37" s="373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8"/>
      <c r="Q38" s="707">
        <f t="shared" si="11"/>
        <v>111</v>
      </c>
      <c r="R38" s="708" t="s">
        <v>14</v>
      </c>
      <c r="S38" s="709">
        <f t="shared" si="12"/>
        <v>100</v>
      </c>
      <c r="T38" s="708" t="s">
        <v>14</v>
      </c>
      <c r="U38" s="709">
        <f t="shared" si="13"/>
        <v>100</v>
      </c>
      <c r="V38" s="708" t="s">
        <v>14</v>
      </c>
      <c r="W38" s="709">
        <f t="shared" si="14"/>
        <v>100</v>
      </c>
      <c r="X38" s="710"/>
      <c r="Y38" s="373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8"/>
      <c r="Q39" s="1352">
        <f t="shared" si="11"/>
        <v>111</v>
      </c>
      <c r="R39" s="705" t="s">
        <v>14</v>
      </c>
      <c r="S39" s="706">
        <f t="shared" si="12"/>
        <v>100</v>
      </c>
      <c r="T39" s="705" t="s">
        <v>14</v>
      </c>
      <c r="U39" s="706">
        <f t="shared" si="13"/>
        <v>100</v>
      </c>
      <c r="V39" s="705" t="s">
        <v>14</v>
      </c>
      <c r="W39" s="706">
        <f t="shared" si="14"/>
        <v>100</v>
      </c>
      <c r="X39" s="1355"/>
      <c r="Y39" s="373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9"/>
      <c r="Q40" s="1352">
        <f t="shared" si="11"/>
        <v>111</v>
      </c>
      <c r="R40" s="705" t="s">
        <v>14</v>
      </c>
      <c r="S40" s="706">
        <f t="shared" si="12"/>
        <v>100</v>
      </c>
      <c r="T40" s="705" t="s">
        <v>14</v>
      </c>
      <c r="U40" s="706">
        <f t="shared" si="13"/>
        <v>100</v>
      </c>
      <c r="V40" s="705" t="s">
        <v>14</v>
      </c>
      <c r="W40" s="706">
        <f t="shared" si="14"/>
        <v>100</v>
      </c>
      <c r="X40" s="1355"/>
      <c r="Y40" s="3739"/>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714" t="s">
        <v>1769</v>
      </c>
      <c r="D4" s="3715"/>
      <c r="E4" s="3716" t="s">
        <v>1770</v>
      </c>
      <c r="F4" s="3717"/>
      <c r="G4" s="3714" t="s">
        <v>1771</v>
      </c>
      <c r="H4" s="3715"/>
      <c r="I4" s="3714" t="s">
        <v>1772</v>
      </c>
      <c r="J4" s="3715"/>
      <c r="K4" s="559" t="s">
        <v>1773</v>
      </c>
      <c r="L4" s="2714"/>
      <c r="M4" s="2715"/>
      <c r="N4" s="2715"/>
      <c r="O4" s="2715"/>
      <c r="P4" s="3718" t="s">
        <v>1774</v>
      </c>
      <c r="Q4" s="3719"/>
      <c r="R4" s="3701" t="s">
        <v>1770</v>
      </c>
      <c r="S4" s="3702"/>
      <c r="T4" s="3701" t="s">
        <v>1771</v>
      </c>
      <c r="U4" s="3702"/>
      <c r="V4" s="3726" t="s">
        <v>1772</v>
      </c>
      <c r="W4" s="3726"/>
      <c r="X4" s="1355"/>
      <c r="Y4" s="3701" t="s">
        <v>1774</v>
      </c>
      <c r="Z4" s="3702"/>
      <c r="AA4" s="3696" t="s">
        <v>1770</v>
      </c>
      <c r="AB4" s="3697" t="s">
        <v>1771</v>
      </c>
      <c r="AC4" s="3696" t="s">
        <v>1772</v>
      </c>
    </row>
    <row r="5" spans="1:29" ht="15">
      <c r="A5" s="358"/>
      <c r="B5" s="359"/>
      <c r="C5" s="3707" t="s">
        <v>1672</v>
      </c>
      <c r="D5" s="3708"/>
      <c r="E5" s="3705" t="s">
        <v>1673</v>
      </c>
      <c r="F5" s="3706"/>
      <c r="G5" s="3707" t="s">
        <v>1674</v>
      </c>
      <c r="H5" s="3708"/>
      <c r="I5" s="3707" t="s">
        <v>1675</v>
      </c>
      <c r="J5" s="3708"/>
      <c r="K5" s="559"/>
      <c r="L5" s="2714"/>
      <c r="M5" s="2715"/>
      <c r="N5" s="2715"/>
      <c r="O5" s="2715"/>
      <c r="P5" s="3720"/>
      <c r="Q5" s="3721"/>
      <c r="R5" s="3703"/>
      <c r="S5" s="3704"/>
      <c r="T5" s="3703"/>
      <c r="U5" s="3704"/>
      <c r="V5" s="3726"/>
      <c r="W5" s="3726"/>
      <c r="X5" s="1355"/>
      <c r="Y5" s="3703"/>
      <c r="Z5" s="3704"/>
      <c r="AA5" s="3697"/>
      <c r="AB5" s="3697"/>
      <c r="AC5" s="3697"/>
    </row>
    <row r="6" spans="1:29" ht="15.75" thickBot="1">
      <c r="A6" s="360"/>
      <c r="B6" s="361"/>
      <c r="C6" s="3709" t="s">
        <v>1676</v>
      </c>
      <c r="D6" s="3710"/>
      <c r="E6" s="3711" t="s">
        <v>1676</v>
      </c>
      <c r="F6" s="3712"/>
      <c r="G6" s="3709" t="s">
        <v>1676</v>
      </c>
      <c r="H6" s="3710"/>
      <c r="I6" s="3709" t="s">
        <v>1676</v>
      </c>
      <c r="J6" s="3710"/>
      <c r="K6" s="559" t="s">
        <v>1677</v>
      </c>
      <c r="L6" s="2714"/>
      <c r="M6" s="2715"/>
      <c r="N6" s="2715"/>
      <c r="O6" s="2715"/>
      <c r="P6" s="3722"/>
      <c r="Q6" s="3723"/>
      <c r="R6" s="3703"/>
      <c r="S6" s="3704"/>
      <c r="T6" s="3724"/>
      <c r="U6" s="3725"/>
      <c r="V6" s="3726"/>
      <c r="W6" s="3726"/>
      <c r="X6" s="1355"/>
      <c r="Y6" s="3724"/>
      <c r="Z6" s="3725"/>
      <c r="AA6" s="3698"/>
      <c r="AB6" s="3698"/>
      <c r="AC6" s="3698"/>
    </row>
    <row r="7" spans="1:29" s="108" customFormat="1" ht="15.75" thickBot="1">
      <c r="A7" s="362" t="s">
        <v>1678</v>
      </c>
      <c r="B7" s="363"/>
      <c r="C7" s="364">
        <f>'数据-取费表'!B2</f>
        <v>45002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9" t="s">
        <v>1679</v>
      </c>
      <c r="Q7" s="3727"/>
      <c r="R7" s="701" t="s">
        <v>14</v>
      </c>
      <c r="S7" s="702">
        <f t="shared" ref="S7:S14" si="0">F7</f>
        <v>0</v>
      </c>
      <c r="T7" s="701" t="s">
        <v>14</v>
      </c>
      <c r="U7" s="702">
        <f t="shared" ref="U7:U14" si="1">H7</f>
        <v>0</v>
      </c>
      <c r="V7" s="701" t="s">
        <v>14</v>
      </c>
      <c r="W7" s="702">
        <f t="shared" ref="W7:W14"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9" t="s">
        <v>1682</v>
      </c>
      <c r="Q8" s="3700"/>
      <c r="R8" s="701" t="s">
        <v>14</v>
      </c>
      <c r="S8" s="702">
        <f t="shared" si="0"/>
        <v>100</v>
      </c>
      <c r="T8" s="701" t="s">
        <v>14</v>
      </c>
      <c r="U8" s="702">
        <f t="shared" si="1"/>
        <v>100</v>
      </c>
      <c r="V8" s="701" t="s">
        <v>14</v>
      </c>
      <c r="W8" s="702">
        <f t="shared" si="2"/>
        <v>100</v>
      </c>
      <c r="X8" s="703"/>
      <c r="Y8" s="3699" t="s">
        <v>1682</v>
      </c>
      <c r="Z8" s="370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1" t="s">
        <v>1685</v>
      </c>
      <c r="Q9" s="1343" t="str">
        <f t="shared" ref="Q9:Q14" si="6">B9</f>
        <v>用途</v>
      </c>
      <c r="R9" s="701" t="s">
        <v>14</v>
      </c>
      <c r="S9" s="702">
        <f t="shared" si="0"/>
        <v>100</v>
      </c>
      <c r="T9" s="701" t="s">
        <v>14</v>
      </c>
      <c r="U9" s="702">
        <f t="shared" si="1"/>
        <v>100</v>
      </c>
      <c r="V9" s="701" t="s">
        <v>14</v>
      </c>
      <c r="W9" s="702">
        <f t="shared" si="2"/>
        <v>100</v>
      </c>
      <c r="X9" s="703"/>
      <c r="Y9" s="3643"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1"/>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3" t="s">
        <v>1690</v>
      </c>
      <c r="Q14" s="1352" t="str">
        <f t="shared" si="6"/>
        <v>交通便捷度</v>
      </c>
      <c r="R14" s="705" t="s">
        <v>14</v>
      </c>
      <c r="S14" s="706">
        <f t="shared" si="0"/>
        <v>100</v>
      </c>
      <c r="T14" s="705" t="s">
        <v>14</v>
      </c>
      <c r="U14" s="706">
        <f t="shared" si="1"/>
        <v>100</v>
      </c>
      <c r="V14" s="705" t="s">
        <v>14</v>
      </c>
      <c r="W14" s="706">
        <f t="shared" si="2"/>
        <v>100</v>
      </c>
      <c r="X14" s="1355"/>
      <c r="Y14" s="3733"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34"/>
      <c r="Q15" s="1352"/>
      <c r="R15" s="705"/>
      <c r="S15" s="706"/>
      <c r="T15" s="705"/>
      <c r="U15" s="706"/>
      <c r="V15" s="705"/>
      <c r="W15" s="706"/>
      <c r="X15" s="1355"/>
      <c r="Y15" s="3734"/>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34"/>
      <c r="Q17" s="1352"/>
      <c r="R17" s="705"/>
      <c r="S17" s="706"/>
      <c r="T17" s="705"/>
      <c r="U17" s="706"/>
      <c r="V17" s="705"/>
      <c r="W17" s="706"/>
      <c r="X17" s="1355"/>
      <c r="Y17" s="3734"/>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34"/>
      <c r="Q19" s="1352"/>
      <c r="R19" s="705"/>
      <c r="S19" s="706"/>
      <c r="T19" s="705"/>
      <c r="U19" s="706"/>
      <c r="V19" s="705"/>
      <c r="W19" s="706"/>
      <c r="X19" s="1355"/>
      <c r="Y19" s="3734"/>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34"/>
      <c r="Q21" s="1352"/>
      <c r="R21" s="705"/>
      <c r="S21" s="706"/>
      <c r="T21" s="705"/>
      <c r="U21" s="706"/>
      <c r="V21" s="705"/>
      <c r="W21" s="706"/>
      <c r="X21" s="1355"/>
      <c r="Y21" s="373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4"/>
      <c r="Q24" s="1352">
        <f t="shared" ref="Q24:Q36"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8"/>
      <c r="Q27" s="707" t="str">
        <f t="shared" si="11"/>
        <v>项目停车位配比</v>
      </c>
      <c r="R27" s="708" t="s">
        <v>14</v>
      </c>
      <c r="S27" s="709">
        <f t="shared" si="12"/>
        <v>100</v>
      </c>
      <c r="T27" s="708" t="s">
        <v>14</v>
      </c>
      <c r="U27" s="709">
        <f t="shared" si="13"/>
        <v>100</v>
      </c>
      <c r="V27" s="708" t="s">
        <v>14</v>
      </c>
      <c r="W27" s="709">
        <f t="shared" si="14"/>
        <v>100</v>
      </c>
      <c r="X27" s="710"/>
      <c r="Y27" s="373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8"/>
      <c r="Q28" s="1352" t="str">
        <f t="shared" si="11"/>
        <v>公共部分装修</v>
      </c>
      <c r="R28" s="705" t="s">
        <v>14</v>
      </c>
      <c r="S28" s="706">
        <f t="shared" si="12"/>
        <v>100</v>
      </c>
      <c r="T28" s="705" t="s">
        <v>14</v>
      </c>
      <c r="U28" s="706">
        <f t="shared" si="13"/>
        <v>100</v>
      </c>
      <c r="V28" s="705" t="s">
        <v>14</v>
      </c>
      <c r="W28" s="706">
        <f t="shared" si="14"/>
        <v>100</v>
      </c>
      <c r="X28" s="1355"/>
      <c r="Y28" s="373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8"/>
      <c r="Q29" s="1352" t="str">
        <f t="shared" si="11"/>
        <v>成新率</v>
      </c>
      <c r="R29" s="705" t="s">
        <v>14</v>
      </c>
      <c r="S29" s="706" t="e">
        <f t="shared" si="12"/>
        <v>#N/A</v>
      </c>
      <c r="T29" s="705" t="s">
        <v>14</v>
      </c>
      <c r="U29" s="706" t="e">
        <f t="shared" si="13"/>
        <v>#N/A</v>
      </c>
      <c r="V29" s="705" t="s">
        <v>14</v>
      </c>
      <c r="W29" s="706" t="e">
        <f t="shared" si="14"/>
        <v>#N/A</v>
      </c>
      <c r="X29" s="1355"/>
      <c r="Y29" s="373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8"/>
      <c r="Q30" s="1352" t="str">
        <f t="shared" si="11"/>
        <v>物业等级</v>
      </c>
      <c r="R30" s="705" t="s">
        <v>14</v>
      </c>
      <c r="S30" s="706">
        <f t="shared" si="12"/>
        <v>100</v>
      </c>
      <c r="T30" s="705" t="s">
        <v>14</v>
      </c>
      <c r="U30" s="706">
        <f t="shared" si="13"/>
        <v>100</v>
      </c>
      <c r="V30" s="705" t="s">
        <v>14</v>
      </c>
      <c r="W30" s="706">
        <f t="shared" si="14"/>
        <v>100</v>
      </c>
      <c r="X30" s="1355"/>
      <c r="Y30" s="373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8"/>
      <c r="Q31" s="1343" t="str">
        <f t="shared" si="11"/>
        <v>停车位面积</v>
      </c>
      <c r="R31" s="701" t="s">
        <v>14</v>
      </c>
      <c r="S31" s="702" t="e">
        <f t="shared" si="12"/>
        <v>#N/A</v>
      </c>
      <c r="T31" s="701" t="s">
        <v>14</v>
      </c>
      <c r="U31" s="702" t="e">
        <f t="shared" si="13"/>
        <v>#N/A</v>
      </c>
      <c r="V31" s="701" t="s">
        <v>14</v>
      </c>
      <c r="W31" s="702" t="e">
        <f t="shared" si="14"/>
        <v>#N/A</v>
      </c>
      <c r="X31" s="703"/>
      <c r="Y31" s="373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8" t="s">
        <v>1695</v>
      </c>
      <c r="Q32" s="1352" t="str">
        <f t="shared" si="11"/>
        <v>车位类型</v>
      </c>
      <c r="R32" s="705" t="s">
        <v>14</v>
      </c>
      <c r="S32" s="706">
        <f t="shared" si="12"/>
        <v>100</v>
      </c>
      <c r="T32" s="705" t="s">
        <v>14</v>
      </c>
      <c r="U32" s="706">
        <f t="shared" si="13"/>
        <v>100</v>
      </c>
      <c r="V32" s="705" t="s">
        <v>14</v>
      </c>
      <c r="W32" s="706">
        <f t="shared" si="14"/>
        <v>100</v>
      </c>
      <c r="X32" s="1355"/>
      <c r="Y32" s="373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8"/>
      <c r="Q33" s="1352" t="str">
        <f t="shared" si="11"/>
        <v>是否直接入户</v>
      </c>
      <c r="R33" s="705" t="s">
        <v>14</v>
      </c>
      <c r="S33" s="706">
        <f t="shared" si="12"/>
        <v>100</v>
      </c>
      <c r="T33" s="705" t="s">
        <v>14</v>
      </c>
      <c r="U33" s="706">
        <f t="shared" si="13"/>
        <v>100</v>
      </c>
      <c r="V33" s="705" t="s">
        <v>14</v>
      </c>
      <c r="W33" s="706">
        <f t="shared" si="14"/>
        <v>100</v>
      </c>
      <c r="X33" s="1355"/>
      <c r="Y33" s="373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8"/>
      <c r="Q35" s="707">
        <f t="shared" si="11"/>
        <v>111</v>
      </c>
      <c r="R35" s="708" t="s">
        <v>14</v>
      </c>
      <c r="S35" s="709">
        <f t="shared" si="12"/>
        <v>100</v>
      </c>
      <c r="T35" s="708" t="s">
        <v>14</v>
      </c>
      <c r="U35" s="709">
        <f t="shared" si="13"/>
        <v>100</v>
      </c>
      <c r="V35" s="708" t="s">
        <v>14</v>
      </c>
      <c r="W35" s="709">
        <f t="shared" si="14"/>
        <v>100</v>
      </c>
      <c r="X35" s="710"/>
      <c r="Y35" s="373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8"/>
      <c r="Q36" s="1352">
        <f t="shared" si="11"/>
        <v>111</v>
      </c>
      <c r="R36" s="705" t="s">
        <v>14</v>
      </c>
      <c r="S36" s="706">
        <f t="shared" si="12"/>
        <v>100</v>
      </c>
      <c r="T36" s="705" t="s">
        <v>14</v>
      </c>
      <c r="U36" s="706">
        <f t="shared" si="13"/>
        <v>100</v>
      </c>
      <c r="V36" s="705" t="s">
        <v>14</v>
      </c>
      <c r="W36" s="706">
        <f t="shared" si="14"/>
        <v>100</v>
      </c>
      <c r="X36" s="1355"/>
      <c r="Y36" s="3738"/>
      <c r="Z36" s="1356">
        <f t="shared" si="15"/>
        <v>111</v>
      </c>
      <c r="AA36" s="1353">
        <f t="shared" si="3"/>
        <v>1</v>
      </c>
      <c r="AB36" s="1353">
        <f t="shared" si="4"/>
        <v>1</v>
      </c>
      <c r="AC36" s="1353">
        <f t="shared" si="5"/>
        <v>1</v>
      </c>
    </row>
    <row r="37" spans="1:29" ht="15">
      <c r="A37" s="430" t="s">
        <v>1843</v>
      </c>
      <c r="B37" s="1973" t="s">
        <v>3360</v>
      </c>
      <c r="C37" s="1154" t="s">
        <v>0</v>
      </c>
      <c r="D37" s="1155"/>
      <c r="E37" s="1156"/>
      <c r="F37" s="1157"/>
      <c r="G37" s="1158"/>
      <c r="H37" s="1159"/>
      <c r="I37" s="1156"/>
      <c r="J37" s="1159"/>
      <c r="K37" s="568"/>
      <c r="L37" s="2723"/>
      <c r="M37" s="2724"/>
      <c r="N37" s="2715"/>
      <c r="O37" s="2724"/>
      <c r="P37" s="3731" t="str">
        <f>A37</f>
        <v>成交单价</v>
      </c>
      <c r="Q37" s="3731"/>
      <c r="R37" s="3732">
        <f>E37</f>
        <v>0</v>
      </c>
      <c r="S37" s="3732"/>
      <c r="T37" s="3732">
        <f>G37</f>
        <v>0</v>
      </c>
      <c r="U37" s="3732"/>
      <c r="V37" s="3732">
        <f>I37</f>
        <v>0</v>
      </c>
      <c r="W37" s="3732"/>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28" t="str">
        <f>A39</f>
        <v>估价对象XX用房的比较价值（楼面单价，元/平方米）</v>
      </c>
      <c r="Q39" s="3729"/>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3340</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714" t="s">
        <v>1769</v>
      </c>
      <c r="D4" s="3715"/>
      <c r="E4" s="3716" t="s">
        <v>1770</v>
      </c>
      <c r="F4" s="3717"/>
      <c r="G4" s="3714" t="s">
        <v>1771</v>
      </c>
      <c r="H4" s="3715"/>
      <c r="I4" s="3714" t="s">
        <v>1772</v>
      </c>
      <c r="J4" s="3715"/>
      <c r="K4" s="559" t="s">
        <v>1773</v>
      </c>
      <c r="L4" s="2714"/>
      <c r="M4" s="2715"/>
      <c r="N4" s="2715"/>
      <c r="O4" s="2715"/>
      <c r="P4" s="3718" t="s">
        <v>1774</v>
      </c>
      <c r="Q4" s="3719"/>
      <c r="R4" s="3701" t="s">
        <v>1770</v>
      </c>
      <c r="S4" s="3702"/>
      <c r="T4" s="3701" t="s">
        <v>1771</v>
      </c>
      <c r="U4" s="3702"/>
      <c r="V4" s="3726" t="s">
        <v>1772</v>
      </c>
      <c r="W4" s="3726"/>
      <c r="X4" s="1355"/>
      <c r="Y4" s="3701" t="s">
        <v>1774</v>
      </c>
      <c r="Z4" s="3702"/>
      <c r="AA4" s="3696" t="s">
        <v>1770</v>
      </c>
      <c r="AB4" s="3697" t="s">
        <v>1771</v>
      </c>
      <c r="AC4" s="3696" t="s">
        <v>1772</v>
      </c>
    </row>
    <row r="5" spans="1:29" ht="15">
      <c r="A5" s="358"/>
      <c r="B5" s="359"/>
      <c r="C5" s="3707" t="s">
        <v>1672</v>
      </c>
      <c r="D5" s="3708"/>
      <c r="E5" s="3705" t="s">
        <v>1673</v>
      </c>
      <c r="F5" s="3706"/>
      <c r="G5" s="3707" t="s">
        <v>1674</v>
      </c>
      <c r="H5" s="3708"/>
      <c r="I5" s="3707" t="s">
        <v>1675</v>
      </c>
      <c r="J5" s="3708"/>
      <c r="K5" s="559"/>
      <c r="L5" s="2714"/>
      <c r="M5" s="2715"/>
      <c r="N5" s="2715"/>
      <c r="O5" s="2715"/>
      <c r="P5" s="3720"/>
      <c r="Q5" s="3721"/>
      <c r="R5" s="3703"/>
      <c r="S5" s="3704"/>
      <c r="T5" s="3703"/>
      <c r="U5" s="3704"/>
      <c r="V5" s="3726"/>
      <c r="W5" s="3726"/>
      <c r="X5" s="1355"/>
      <c r="Y5" s="3703"/>
      <c r="Z5" s="3704"/>
      <c r="AA5" s="3697"/>
      <c r="AB5" s="3697"/>
      <c r="AC5" s="3697"/>
    </row>
    <row r="6" spans="1:29" ht="15.75" thickBot="1">
      <c r="A6" s="360"/>
      <c r="B6" s="361"/>
      <c r="C6" s="3709" t="s">
        <v>1676</v>
      </c>
      <c r="D6" s="3710"/>
      <c r="E6" s="3711" t="s">
        <v>1676</v>
      </c>
      <c r="F6" s="3712"/>
      <c r="G6" s="3709" t="s">
        <v>1676</v>
      </c>
      <c r="H6" s="3710"/>
      <c r="I6" s="3709" t="s">
        <v>1676</v>
      </c>
      <c r="J6" s="3710"/>
      <c r="K6" s="559" t="s">
        <v>1677</v>
      </c>
      <c r="L6" s="2714"/>
      <c r="M6" s="2715"/>
      <c r="N6" s="2715"/>
      <c r="O6" s="2715"/>
      <c r="P6" s="3722"/>
      <c r="Q6" s="3723"/>
      <c r="R6" s="3703"/>
      <c r="S6" s="3704"/>
      <c r="T6" s="3724"/>
      <c r="U6" s="3725"/>
      <c r="V6" s="3726"/>
      <c r="W6" s="3726"/>
      <c r="X6" s="1355"/>
      <c r="Y6" s="3724"/>
      <c r="Z6" s="3725"/>
      <c r="AA6" s="3698"/>
      <c r="AB6" s="3698"/>
      <c r="AC6" s="3698"/>
    </row>
    <row r="7" spans="1:29" s="108" customFormat="1" ht="15.75" thickBot="1">
      <c r="A7" s="362" t="s">
        <v>1678</v>
      </c>
      <c r="B7" s="363"/>
      <c r="C7" s="364">
        <f>'数据-取费表'!B2</f>
        <v>45002</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99" t="s">
        <v>1679</v>
      </c>
      <c r="Q7" s="3727"/>
      <c r="R7" s="701" t="s">
        <v>14</v>
      </c>
      <c r="S7" s="702">
        <f t="shared" ref="S7:S14" si="0">F7</f>
        <v>0</v>
      </c>
      <c r="T7" s="701" t="s">
        <v>14</v>
      </c>
      <c r="U7" s="702">
        <f t="shared" ref="U7:U14" si="1">H7</f>
        <v>0</v>
      </c>
      <c r="V7" s="701" t="s">
        <v>14</v>
      </c>
      <c r="W7" s="702">
        <f t="shared" ref="W7:W14"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9" t="s">
        <v>1682</v>
      </c>
      <c r="Q8" s="3700"/>
      <c r="R8" s="701" t="s">
        <v>14</v>
      </c>
      <c r="S8" s="702">
        <f t="shared" si="0"/>
        <v>100</v>
      </c>
      <c r="T8" s="701" t="s">
        <v>14</v>
      </c>
      <c r="U8" s="702">
        <f t="shared" si="1"/>
        <v>100</v>
      </c>
      <c r="V8" s="701" t="s">
        <v>14</v>
      </c>
      <c r="W8" s="702">
        <f t="shared" si="2"/>
        <v>100</v>
      </c>
      <c r="X8" s="703"/>
      <c r="Y8" s="3699" t="s">
        <v>1682</v>
      </c>
      <c r="Z8" s="370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1" t="s">
        <v>1685</v>
      </c>
      <c r="Q9" s="1343" t="str">
        <f t="shared" ref="Q9:Q14" si="6">B9</f>
        <v>用途</v>
      </c>
      <c r="R9" s="701" t="s">
        <v>14</v>
      </c>
      <c r="S9" s="702">
        <f t="shared" si="0"/>
        <v>100</v>
      </c>
      <c r="T9" s="701" t="s">
        <v>14</v>
      </c>
      <c r="U9" s="702">
        <f t="shared" si="1"/>
        <v>100</v>
      </c>
      <c r="V9" s="701" t="s">
        <v>14</v>
      </c>
      <c r="W9" s="702">
        <f t="shared" si="2"/>
        <v>100</v>
      </c>
      <c r="X9" s="703"/>
      <c r="Y9" s="3643"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1"/>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3" t="s">
        <v>1690</v>
      </c>
      <c r="Q14" s="1352" t="str">
        <f t="shared" si="6"/>
        <v>交通便捷度</v>
      </c>
      <c r="R14" s="705" t="s">
        <v>14</v>
      </c>
      <c r="S14" s="706">
        <f t="shared" si="0"/>
        <v>100</v>
      </c>
      <c r="T14" s="705" t="s">
        <v>14</v>
      </c>
      <c r="U14" s="706">
        <f t="shared" si="1"/>
        <v>100</v>
      </c>
      <c r="V14" s="705" t="s">
        <v>14</v>
      </c>
      <c r="W14" s="706">
        <f t="shared" si="2"/>
        <v>100</v>
      </c>
      <c r="X14" s="1355"/>
      <c r="Y14" s="3733"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4"/>
      <c r="Q15" s="1352"/>
      <c r="R15" s="705"/>
      <c r="S15" s="706"/>
      <c r="T15" s="705"/>
      <c r="U15" s="706"/>
      <c r="V15" s="705"/>
      <c r="W15" s="706"/>
      <c r="X15" s="1355"/>
      <c r="Y15" s="3734"/>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4"/>
      <c r="Q17" s="1352"/>
      <c r="R17" s="705"/>
      <c r="S17" s="706"/>
      <c r="T17" s="705"/>
      <c r="U17" s="706"/>
      <c r="V17" s="705"/>
      <c r="W17" s="706"/>
      <c r="X17" s="1355"/>
      <c r="Y17" s="3734"/>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4"/>
      <c r="Q19" s="1352"/>
      <c r="R19" s="705"/>
      <c r="S19" s="706"/>
      <c r="T19" s="705"/>
      <c r="U19" s="706"/>
      <c r="V19" s="705"/>
      <c r="W19" s="706"/>
      <c r="X19" s="1355"/>
      <c r="Y19" s="3734"/>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4"/>
      <c r="Q21" s="1352"/>
      <c r="R21" s="705"/>
      <c r="S21" s="706"/>
      <c r="T21" s="705"/>
      <c r="U21" s="706"/>
      <c r="V21" s="705"/>
      <c r="W21" s="706"/>
      <c r="X21" s="1355"/>
      <c r="Y21" s="373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4"/>
      <c r="Q24" s="1352">
        <f t="shared" ref="Q24:Q34"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8"/>
      <c r="Q27" s="707" t="str">
        <f t="shared" si="11"/>
        <v>成新率</v>
      </c>
      <c r="R27" s="708" t="s">
        <v>14</v>
      </c>
      <c r="S27" s="709" t="e">
        <f t="shared" si="12"/>
        <v>#N/A</v>
      </c>
      <c r="T27" s="708" t="s">
        <v>14</v>
      </c>
      <c r="U27" s="709" t="e">
        <f t="shared" si="13"/>
        <v>#N/A</v>
      </c>
      <c r="V27" s="708" t="s">
        <v>14</v>
      </c>
      <c r="W27" s="709" t="e">
        <f t="shared" si="14"/>
        <v>#N/A</v>
      </c>
      <c r="X27" s="710"/>
      <c r="Y27" s="373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8"/>
      <c r="Q28" s="1352" t="str">
        <f t="shared" si="11"/>
        <v>物业等级</v>
      </c>
      <c r="R28" s="705" t="s">
        <v>14</v>
      </c>
      <c r="S28" s="706">
        <f t="shared" si="12"/>
        <v>100</v>
      </c>
      <c r="T28" s="705" t="s">
        <v>14</v>
      </c>
      <c r="U28" s="706">
        <f t="shared" si="13"/>
        <v>100</v>
      </c>
      <c r="V28" s="705" t="s">
        <v>14</v>
      </c>
      <c r="W28" s="706">
        <f t="shared" si="14"/>
        <v>100</v>
      </c>
      <c r="X28" s="1355"/>
      <c r="Y28" s="373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8"/>
      <c r="Q29" s="1352" t="str">
        <f t="shared" si="11"/>
        <v>有无电梯</v>
      </c>
      <c r="R29" s="705" t="s">
        <v>14</v>
      </c>
      <c r="S29" s="706">
        <f t="shared" si="12"/>
        <v>100</v>
      </c>
      <c r="T29" s="705" t="s">
        <v>14</v>
      </c>
      <c r="U29" s="706">
        <f t="shared" si="13"/>
        <v>100</v>
      </c>
      <c r="V29" s="705" t="s">
        <v>14</v>
      </c>
      <c r="W29" s="706">
        <f t="shared" si="14"/>
        <v>100</v>
      </c>
      <c r="X29" s="1355"/>
      <c r="Y29" s="373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8"/>
      <c r="Q30" s="1352" t="str">
        <f t="shared" si="11"/>
        <v>建筑面积</v>
      </c>
      <c r="R30" s="705" t="s">
        <v>14</v>
      </c>
      <c r="S30" s="706" t="e">
        <f t="shared" si="12"/>
        <v>#N/A</v>
      </c>
      <c r="T30" s="705" t="s">
        <v>14</v>
      </c>
      <c r="U30" s="706" t="e">
        <f t="shared" si="13"/>
        <v>#N/A</v>
      </c>
      <c r="V30" s="705" t="s">
        <v>14</v>
      </c>
      <c r="W30" s="706" t="e">
        <f t="shared" si="14"/>
        <v>#N/A</v>
      </c>
      <c r="X30" s="1355"/>
      <c r="Y30" s="373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8"/>
      <c r="Q31" s="1343" t="str">
        <f t="shared" si="11"/>
        <v>是否封闭</v>
      </c>
      <c r="R31" s="701" t="s">
        <v>14</v>
      </c>
      <c r="S31" s="702">
        <f t="shared" si="12"/>
        <v>100</v>
      </c>
      <c r="T31" s="701" t="s">
        <v>14</v>
      </c>
      <c r="U31" s="702">
        <f t="shared" si="13"/>
        <v>100</v>
      </c>
      <c r="V31" s="701" t="s">
        <v>14</v>
      </c>
      <c r="W31" s="702">
        <f t="shared" si="14"/>
        <v>100</v>
      </c>
      <c r="X31" s="703"/>
      <c r="Y31" s="373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8" t="s">
        <v>1695</v>
      </c>
      <c r="Q32" s="1352">
        <f t="shared" si="11"/>
        <v>111</v>
      </c>
      <c r="R32" s="705" t="s">
        <v>14</v>
      </c>
      <c r="S32" s="706">
        <f t="shared" si="12"/>
        <v>100</v>
      </c>
      <c r="T32" s="705" t="s">
        <v>14</v>
      </c>
      <c r="U32" s="706">
        <f t="shared" si="13"/>
        <v>100</v>
      </c>
      <c r="V32" s="705" t="s">
        <v>14</v>
      </c>
      <c r="W32" s="706">
        <f t="shared" si="14"/>
        <v>100</v>
      </c>
      <c r="X32" s="1355"/>
      <c r="Y32" s="373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8"/>
      <c r="Q33" s="1352">
        <f t="shared" si="11"/>
        <v>111</v>
      </c>
      <c r="R33" s="705" t="s">
        <v>14</v>
      </c>
      <c r="S33" s="706">
        <f t="shared" si="12"/>
        <v>100</v>
      </c>
      <c r="T33" s="705" t="s">
        <v>14</v>
      </c>
      <c r="U33" s="706">
        <f t="shared" si="13"/>
        <v>100</v>
      </c>
      <c r="V33" s="705" t="s">
        <v>14</v>
      </c>
      <c r="W33" s="706">
        <f t="shared" si="14"/>
        <v>100</v>
      </c>
      <c r="X33" s="1355"/>
      <c r="Y33" s="373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3"/>
      <c r="M35" s="2724"/>
      <c r="N35" s="2715"/>
      <c r="O35" s="2724"/>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728" t="str">
        <f>A37</f>
        <v>估价对象XX用房的比较价值（楼面单价，元/平方米）</v>
      </c>
      <c r="Q37" s="3729"/>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714" t="s">
        <v>1769</v>
      </c>
      <c r="D4" s="3715"/>
      <c r="E4" s="3716" t="s">
        <v>1770</v>
      </c>
      <c r="F4" s="3717"/>
      <c r="G4" s="3714" t="s">
        <v>1771</v>
      </c>
      <c r="H4" s="3715"/>
      <c r="I4" s="3714" t="s">
        <v>1772</v>
      </c>
      <c r="J4" s="3715"/>
      <c r="K4" s="559" t="s">
        <v>1773</v>
      </c>
      <c r="L4" s="2714"/>
      <c r="M4" s="2715"/>
      <c r="N4" s="2715"/>
      <c r="O4" s="2715"/>
      <c r="P4" s="3718" t="s">
        <v>1774</v>
      </c>
      <c r="Q4" s="3719"/>
      <c r="R4" s="3701" t="s">
        <v>1770</v>
      </c>
      <c r="S4" s="3702"/>
      <c r="T4" s="3701" t="s">
        <v>1771</v>
      </c>
      <c r="U4" s="3702"/>
      <c r="V4" s="3726" t="s">
        <v>1772</v>
      </c>
      <c r="W4" s="3726"/>
      <c r="X4" s="1355"/>
      <c r="Y4" s="3701" t="s">
        <v>1774</v>
      </c>
      <c r="Z4" s="3702"/>
      <c r="AA4" s="3696" t="s">
        <v>1770</v>
      </c>
      <c r="AB4" s="3697" t="s">
        <v>1771</v>
      </c>
      <c r="AC4" s="3696" t="s">
        <v>1772</v>
      </c>
    </row>
    <row r="5" spans="1:30" ht="15">
      <c r="A5" s="358"/>
      <c r="B5" s="359"/>
      <c r="C5" s="3707" t="s">
        <v>1672</v>
      </c>
      <c r="D5" s="3708"/>
      <c r="E5" s="3705" t="s">
        <v>1673</v>
      </c>
      <c r="F5" s="3706"/>
      <c r="G5" s="3707" t="s">
        <v>1674</v>
      </c>
      <c r="H5" s="3708"/>
      <c r="I5" s="3707" t="s">
        <v>1675</v>
      </c>
      <c r="J5" s="3708"/>
      <c r="K5" s="559"/>
      <c r="L5" s="2714"/>
      <c r="M5" s="2715"/>
      <c r="N5" s="2715"/>
      <c r="O5" s="2715"/>
      <c r="P5" s="3720"/>
      <c r="Q5" s="3721"/>
      <c r="R5" s="3703"/>
      <c r="S5" s="3704"/>
      <c r="T5" s="3703"/>
      <c r="U5" s="3704"/>
      <c r="V5" s="3726"/>
      <c r="W5" s="3726"/>
      <c r="X5" s="1355"/>
      <c r="Y5" s="3703"/>
      <c r="Z5" s="3704"/>
      <c r="AA5" s="3697"/>
      <c r="AB5" s="3697"/>
      <c r="AC5" s="3697"/>
    </row>
    <row r="6" spans="1:30" ht="15.75" thickBot="1">
      <c r="A6" s="360"/>
      <c r="B6" s="361"/>
      <c r="C6" s="3709" t="s">
        <v>1676</v>
      </c>
      <c r="D6" s="3710"/>
      <c r="E6" s="3711" t="s">
        <v>1676</v>
      </c>
      <c r="F6" s="3712"/>
      <c r="G6" s="3709" t="s">
        <v>1676</v>
      </c>
      <c r="H6" s="3710"/>
      <c r="I6" s="3709" t="s">
        <v>1676</v>
      </c>
      <c r="J6" s="3710"/>
      <c r="K6" s="559" t="s">
        <v>1677</v>
      </c>
      <c r="L6" s="2714"/>
      <c r="M6" s="2715"/>
      <c r="N6" s="2715"/>
      <c r="O6" s="2715"/>
      <c r="P6" s="3722"/>
      <c r="Q6" s="3723"/>
      <c r="R6" s="3703"/>
      <c r="S6" s="3704"/>
      <c r="T6" s="3724"/>
      <c r="U6" s="3725"/>
      <c r="V6" s="3726"/>
      <c r="W6" s="3726"/>
      <c r="X6" s="1355"/>
      <c r="Y6" s="3724"/>
      <c r="Z6" s="3725"/>
      <c r="AA6" s="3698"/>
      <c r="AB6" s="3698"/>
      <c r="AC6" s="3698"/>
    </row>
    <row r="7" spans="1:30" s="108" customFormat="1" ht="15.75" thickBot="1">
      <c r="A7" s="362" t="s">
        <v>1678</v>
      </c>
      <c r="B7" s="363"/>
      <c r="C7" s="364">
        <f>'数据-取费表'!B2</f>
        <v>45002</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99" t="s">
        <v>1679</v>
      </c>
      <c r="Q7" s="3727"/>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9" t="s">
        <v>1682</v>
      </c>
      <c r="Q8" s="3700"/>
      <c r="R8" s="701" t="s">
        <v>14</v>
      </c>
      <c r="S8" s="702">
        <f t="shared" si="0"/>
        <v>0</v>
      </c>
      <c r="T8" s="701" t="s">
        <v>14</v>
      </c>
      <c r="U8" s="702">
        <f t="shared" si="1"/>
        <v>0</v>
      </c>
      <c r="V8" s="701" t="s">
        <v>14</v>
      </c>
      <c r="W8" s="702">
        <f t="shared" si="2"/>
        <v>0</v>
      </c>
      <c r="X8" s="703"/>
      <c r="Y8" s="3699" t="s">
        <v>1682</v>
      </c>
      <c r="Z8" s="3700"/>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31" t="s">
        <v>1685</v>
      </c>
      <c r="Q9" s="1343" t="str">
        <f t="shared" ref="Q9:Q15" si="6">B9</f>
        <v>用途</v>
      </c>
      <c r="R9" s="701" t="s">
        <v>14</v>
      </c>
      <c r="S9" s="702">
        <f t="shared" si="0"/>
        <v>100</v>
      </c>
      <c r="T9" s="701" t="s">
        <v>14</v>
      </c>
      <c r="U9" s="702">
        <f t="shared" si="1"/>
        <v>100</v>
      </c>
      <c r="V9" s="701" t="s">
        <v>14</v>
      </c>
      <c r="W9" s="702">
        <f t="shared" si="2"/>
        <v>100</v>
      </c>
      <c r="X9" s="703"/>
      <c r="Y9" s="3643"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114</v>
      </c>
      <c r="G10" s="414"/>
      <c r="H10" s="127">
        <f>ROUND(100/'数据-取费表'!G16,0)</f>
        <v>114</v>
      </c>
      <c r="I10" s="414"/>
      <c r="J10" s="127">
        <f>ROUND(100/'数据-取费表'!G16,0)</f>
        <v>114</v>
      </c>
      <c r="K10" s="620"/>
      <c r="L10" s="2718"/>
      <c r="M10" s="2719"/>
      <c r="N10" s="2719"/>
      <c r="O10" s="2772"/>
      <c r="P10" s="3731"/>
      <c r="Q10" s="1343" t="str">
        <f t="shared" si="6"/>
        <v>土地使用年限（年）</v>
      </c>
      <c r="R10" s="701" t="s">
        <v>14</v>
      </c>
      <c r="S10" s="702">
        <f t="shared" si="0"/>
        <v>114</v>
      </c>
      <c r="T10" s="701" t="s">
        <v>14</v>
      </c>
      <c r="U10" s="702">
        <f t="shared" si="1"/>
        <v>114</v>
      </c>
      <c r="V10" s="701" t="s">
        <v>14</v>
      </c>
      <c r="W10" s="702">
        <f t="shared" si="2"/>
        <v>114</v>
      </c>
      <c r="X10" s="703"/>
      <c r="Y10" s="3643"/>
      <c r="Z10" s="52" t="str">
        <f t="shared" si="7"/>
        <v>土地使用年限（年）</v>
      </c>
      <c r="AA10" s="704">
        <f t="shared" si="3"/>
        <v>0.8771929824561403</v>
      </c>
      <c r="AB10" s="704">
        <f t="shared" si="4"/>
        <v>0.8771929824561403</v>
      </c>
      <c r="AC10" s="704">
        <f t="shared" si="5"/>
        <v>0.8771929824561403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1"/>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1"/>
      <c r="Q12" s="1343" t="str">
        <f t="shared" si="6"/>
        <v>配建</v>
      </c>
      <c r="R12" s="701" t="s">
        <v>14</v>
      </c>
      <c r="S12" s="702">
        <f t="shared" si="0"/>
        <v>100</v>
      </c>
      <c r="T12" s="701" t="s">
        <v>14</v>
      </c>
      <c r="U12" s="702">
        <f t="shared" si="1"/>
        <v>100</v>
      </c>
      <c r="V12" s="701" t="s">
        <v>14</v>
      </c>
      <c r="W12" s="702">
        <f t="shared" si="2"/>
        <v>100</v>
      </c>
      <c r="X12" s="703"/>
      <c r="Y12" s="36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1"/>
      <c r="Q14" s="1343">
        <f t="shared" si="6"/>
        <v>111</v>
      </c>
      <c r="R14" s="701" t="s">
        <v>14</v>
      </c>
      <c r="S14" s="702">
        <f t="shared" si="0"/>
        <v>100</v>
      </c>
      <c r="T14" s="701" t="s">
        <v>14</v>
      </c>
      <c r="U14" s="702">
        <f t="shared" si="1"/>
        <v>100</v>
      </c>
      <c r="V14" s="701" t="s">
        <v>14</v>
      </c>
      <c r="W14" s="702">
        <f t="shared" si="2"/>
        <v>100</v>
      </c>
      <c r="X14" s="703"/>
      <c r="Y14" s="3643"/>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3" t="s">
        <v>1690</v>
      </c>
      <c r="Q15" s="1352" t="str">
        <f t="shared" si="6"/>
        <v>居住社区成熟度</v>
      </c>
      <c r="R15" s="705" t="s">
        <v>14</v>
      </c>
      <c r="S15" s="706">
        <f t="shared" si="0"/>
        <v>100</v>
      </c>
      <c r="T15" s="705" t="s">
        <v>14</v>
      </c>
      <c r="U15" s="706">
        <f t="shared" si="1"/>
        <v>100</v>
      </c>
      <c r="V15" s="705" t="s">
        <v>14</v>
      </c>
      <c r="W15" s="706">
        <f t="shared" si="2"/>
        <v>100</v>
      </c>
      <c r="X15" s="1355"/>
      <c r="Y15" s="3733"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4"/>
      <c r="Q16" s="1352"/>
      <c r="R16" s="705"/>
      <c r="S16" s="706"/>
      <c r="T16" s="705"/>
      <c r="U16" s="706"/>
      <c r="V16" s="705"/>
      <c r="W16" s="706"/>
      <c r="X16" s="1355"/>
      <c r="Y16" s="3734"/>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4"/>
      <c r="Q17" s="1352" t="str">
        <f>B17</f>
        <v>商业繁华度</v>
      </c>
      <c r="R17" s="705" t="s">
        <v>14</v>
      </c>
      <c r="S17" s="706">
        <f>F17</f>
        <v>100</v>
      </c>
      <c r="T17" s="705" t="s">
        <v>14</v>
      </c>
      <c r="U17" s="706">
        <f>H17</f>
        <v>100</v>
      </c>
      <c r="V17" s="705" t="s">
        <v>14</v>
      </c>
      <c r="W17" s="706">
        <f>J17</f>
        <v>100</v>
      </c>
      <c r="X17" s="1355"/>
      <c r="Y17" s="373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4"/>
      <c r="Q18" s="1352"/>
      <c r="R18" s="705"/>
      <c r="S18" s="706"/>
      <c r="T18" s="705"/>
      <c r="U18" s="706"/>
      <c r="V18" s="705"/>
      <c r="W18" s="706"/>
      <c r="X18" s="1355"/>
      <c r="Y18" s="3734"/>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4"/>
      <c r="Q19" s="1352" t="str">
        <f>B19</f>
        <v>办公集聚程度</v>
      </c>
      <c r="R19" s="705" t="s">
        <v>14</v>
      </c>
      <c r="S19" s="706">
        <f>F19</f>
        <v>100</v>
      </c>
      <c r="T19" s="705" t="s">
        <v>14</v>
      </c>
      <c r="U19" s="706">
        <f>H19</f>
        <v>100</v>
      </c>
      <c r="V19" s="705" t="s">
        <v>14</v>
      </c>
      <c r="W19" s="706">
        <f>J19</f>
        <v>100</v>
      </c>
      <c r="X19" s="1355"/>
      <c r="Y19" s="373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4"/>
      <c r="Q20" s="1352"/>
      <c r="R20" s="705"/>
      <c r="S20" s="706"/>
      <c r="T20" s="705"/>
      <c r="U20" s="706"/>
      <c r="V20" s="705"/>
      <c r="W20" s="706"/>
      <c r="X20" s="1355"/>
      <c r="Y20" s="3734"/>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4"/>
      <c r="Q21" s="1352" t="str">
        <f>B21</f>
        <v>交通便捷度</v>
      </c>
      <c r="R21" s="705" t="s">
        <v>14</v>
      </c>
      <c r="S21" s="706">
        <f>F21</f>
        <v>100</v>
      </c>
      <c r="T21" s="705" t="s">
        <v>14</v>
      </c>
      <c r="U21" s="706">
        <f>H21</f>
        <v>100</v>
      </c>
      <c r="V21" s="705" t="s">
        <v>14</v>
      </c>
      <c r="W21" s="706">
        <f>J21</f>
        <v>100</v>
      </c>
      <c r="X21" s="1355"/>
      <c r="Y21" s="373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4"/>
      <c r="Q22" s="1352"/>
      <c r="R22" s="705"/>
      <c r="S22" s="706"/>
      <c r="T22" s="705"/>
      <c r="U22" s="706"/>
      <c r="V22" s="705"/>
      <c r="W22" s="706"/>
      <c r="X22" s="1355"/>
      <c r="Y22" s="3734"/>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4"/>
      <c r="Q23" s="1352" t="str">
        <f t="shared" ref="Q23:Q37" si="8">B23</f>
        <v>区域土地利用方向</v>
      </c>
      <c r="R23" s="705" t="s">
        <v>14</v>
      </c>
      <c r="S23" s="706">
        <f>F23</f>
        <v>100</v>
      </c>
      <c r="T23" s="705" t="s">
        <v>14</v>
      </c>
      <c r="U23" s="706">
        <f>H23</f>
        <v>100</v>
      </c>
      <c r="V23" s="705" t="s">
        <v>14</v>
      </c>
      <c r="W23" s="706">
        <f>J23</f>
        <v>100</v>
      </c>
      <c r="X23" s="1355"/>
      <c r="Y23" s="373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4"/>
      <c r="Q24" s="1352"/>
      <c r="R24" s="705"/>
      <c r="S24" s="706"/>
      <c r="T24" s="705"/>
      <c r="U24" s="706"/>
      <c r="V24" s="705"/>
      <c r="W24" s="706"/>
      <c r="X24" s="1355"/>
      <c r="Y24" s="3734"/>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4"/>
      <c r="Q25" s="1352" t="str">
        <f t="shared" si="8"/>
        <v>自然及人文环境状况</v>
      </c>
      <c r="R25" s="705" t="s">
        <v>14</v>
      </c>
      <c r="S25" s="706">
        <f>F25</f>
        <v>100</v>
      </c>
      <c r="T25" s="705" t="s">
        <v>14</v>
      </c>
      <c r="U25" s="706">
        <f>H25</f>
        <v>100</v>
      </c>
      <c r="V25" s="705" t="s">
        <v>14</v>
      </c>
      <c r="W25" s="706">
        <f>J25</f>
        <v>100</v>
      </c>
      <c r="X25" s="1355"/>
      <c r="Y25" s="373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4"/>
      <c r="Q26" s="1352"/>
      <c r="R26" s="705"/>
      <c r="S26" s="706"/>
      <c r="T26" s="705"/>
      <c r="U26" s="706"/>
      <c r="V26" s="705"/>
      <c r="W26" s="706"/>
      <c r="X26" s="1355"/>
      <c r="Y26" s="3734"/>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4"/>
      <c r="Q27" s="1343" t="str">
        <f t="shared" si="8"/>
        <v>公共配套设施</v>
      </c>
      <c r="R27" s="701" t="s">
        <v>14</v>
      </c>
      <c r="S27" s="702">
        <f>F27</f>
        <v>100</v>
      </c>
      <c r="T27" s="701" t="s">
        <v>14</v>
      </c>
      <c r="U27" s="702">
        <f>H27</f>
        <v>100</v>
      </c>
      <c r="V27" s="701" t="s">
        <v>14</v>
      </c>
      <c r="W27" s="702">
        <f>J27</f>
        <v>100</v>
      </c>
      <c r="X27" s="703"/>
      <c r="Y27" s="373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34"/>
      <c r="Q28" s="1343"/>
      <c r="R28" s="701"/>
      <c r="S28" s="702"/>
      <c r="T28" s="701"/>
      <c r="U28" s="702"/>
      <c r="V28" s="701"/>
      <c r="W28" s="702"/>
      <c r="X28" s="703"/>
      <c r="Y28" s="3734"/>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4"/>
      <c r="Q29" s="1343" t="str">
        <f t="shared" ref="Q29" si="9">B29</f>
        <v>基础设施水平</v>
      </c>
      <c r="R29" s="701" t="s">
        <v>14</v>
      </c>
      <c r="S29" s="702">
        <f>F29</f>
        <v>100</v>
      </c>
      <c r="T29" s="701" t="s">
        <v>14</v>
      </c>
      <c r="U29" s="702">
        <f>H29</f>
        <v>100</v>
      </c>
      <c r="V29" s="701" t="s">
        <v>14</v>
      </c>
      <c r="W29" s="702">
        <f>J29</f>
        <v>100</v>
      </c>
      <c r="X29" s="703"/>
      <c r="Y29" s="373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34"/>
      <c r="Q30" s="1343"/>
      <c r="R30" s="701"/>
      <c r="S30" s="702"/>
      <c r="T30" s="701"/>
      <c r="U30" s="702"/>
      <c r="V30" s="701"/>
      <c r="W30" s="702"/>
      <c r="X30" s="703"/>
      <c r="Y30" s="373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4"/>
      <c r="Q32" s="1352" t="str">
        <f t="shared" si="8"/>
        <v>毗邻道路的类型与等级</v>
      </c>
      <c r="R32" s="705" t="s">
        <v>14</v>
      </c>
      <c r="S32" s="706">
        <f t="shared" si="10"/>
        <v>100</v>
      </c>
      <c r="T32" s="705" t="s">
        <v>14</v>
      </c>
      <c r="U32" s="706">
        <f t="shared" si="11"/>
        <v>100</v>
      </c>
      <c r="V32" s="705" t="s">
        <v>14</v>
      </c>
      <c r="W32" s="706">
        <f t="shared" si="12"/>
        <v>100</v>
      </c>
      <c r="X32" s="1355"/>
      <c r="Y32" s="373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4"/>
      <c r="Q33" s="1352"/>
      <c r="R33" s="705"/>
      <c r="S33" s="706"/>
      <c r="T33" s="705"/>
      <c r="U33" s="706"/>
      <c r="V33" s="705"/>
      <c r="W33" s="706"/>
      <c r="X33" s="1355"/>
      <c r="Y33" s="373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4"/>
      <c r="Q34" s="1352" t="str">
        <f t="shared" si="8"/>
        <v>土地级别</v>
      </c>
      <c r="R34" s="705" t="s">
        <v>14</v>
      </c>
      <c r="S34" s="706">
        <f t="shared" si="10"/>
        <v>100</v>
      </c>
      <c r="T34" s="705" t="s">
        <v>14</v>
      </c>
      <c r="U34" s="706">
        <f t="shared" si="11"/>
        <v>100</v>
      </c>
      <c r="V34" s="705" t="s">
        <v>14</v>
      </c>
      <c r="W34" s="706">
        <f t="shared" si="12"/>
        <v>100</v>
      </c>
      <c r="X34" s="1355"/>
      <c r="Y34" s="373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4"/>
      <c r="Q35" s="1352">
        <f t="shared" si="8"/>
        <v>111</v>
      </c>
      <c r="R35" s="705" t="s">
        <v>14</v>
      </c>
      <c r="S35" s="706">
        <f t="shared" si="10"/>
        <v>100</v>
      </c>
      <c r="T35" s="705" t="s">
        <v>14</v>
      </c>
      <c r="U35" s="706">
        <f t="shared" si="11"/>
        <v>100</v>
      </c>
      <c r="V35" s="705" t="s">
        <v>14</v>
      </c>
      <c r="W35" s="706">
        <f t="shared" si="12"/>
        <v>100</v>
      </c>
      <c r="X35" s="1355"/>
      <c r="Y35" s="373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7" t="s">
        <v>1695</v>
      </c>
      <c r="Q36" s="1352">
        <f t="shared" si="8"/>
        <v>111</v>
      </c>
      <c r="R36" s="705" t="s">
        <v>14</v>
      </c>
      <c r="S36" s="706">
        <f t="shared" si="10"/>
        <v>100</v>
      </c>
      <c r="T36" s="705" t="s">
        <v>14</v>
      </c>
      <c r="U36" s="706">
        <f t="shared" si="11"/>
        <v>100</v>
      </c>
      <c r="V36" s="705" t="s">
        <v>14</v>
      </c>
      <c r="W36" s="706">
        <f t="shared" si="12"/>
        <v>100</v>
      </c>
      <c r="X36" s="1355"/>
      <c r="Y36" s="3738"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8"/>
      <c r="Q37" s="1352">
        <f t="shared" si="8"/>
        <v>111</v>
      </c>
      <c r="R37" s="708" t="s">
        <v>14</v>
      </c>
      <c r="S37" s="709">
        <f t="shared" si="10"/>
        <v>100</v>
      </c>
      <c r="T37" s="708" t="s">
        <v>14</v>
      </c>
      <c r="U37" s="709">
        <f t="shared" si="11"/>
        <v>100</v>
      </c>
      <c r="V37" s="708" t="s">
        <v>14</v>
      </c>
      <c r="W37" s="709">
        <f t="shared" si="12"/>
        <v>100</v>
      </c>
      <c r="X37" s="710"/>
      <c r="Y37" s="3738"/>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8"/>
      <c r="Q38" s="1352" t="str">
        <f>B38</f>
        <v>宗地面积</v>
      </c>
      <c r="R38" s="705" t="s">
        <v>14</v>
      </c>
      <c r="S38" s="706" t="e">
        <f t="shared" si="10"/>
        <v>#N/A</v>
      </c>
      <c r="T38" s="705" t="s">
        <v>14</v>
      </c>
      <c r="U38" s="706" t="e">
        <f t="shared" si="11"/>
        <v>#N/A</v>
      </c>
      <c r="V38" s="705" t="s">
        <v>14</v>
      </c>
      <c r="W38" s="706" t="e">
        <f t="shared" si="12"/>
        <v>#N/A</v>
      </c>
      <c r="X38" s="1355"/>
      <c r="Y38" s="373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38"/>
      <c r="Q39" s="1352" t="str">
        <f t="shared" ref="Q39:Q45" si="14">B39</f>
        <v>宗地形状</v>
      </c>
      <c r="R39" s="705" t="s">
        <v>14</v>
      </c>
      <c r="S39" s="706">
        <f t="shared" si="10"/>
        <v>100</v>
      </c>
      <c r="T39" s="705" t="s">
        <v>14</v>
      </c>
      <c r="U39" s="706">
        <f t="shared" si="11"/>
        <v>100</v>
      </c>
      <c r="V39" s="705" t="s">
        <v>14</v>
      </c>
      <c r="W39" s="706">
        <f t="shared" si="12"/>
        <v>100</v>
      </c>
      <c r="X39" s="1355"/>
      <c r="Y39" s="373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38"/>
      <c r="Q40" s="1352" t="str">
        <f t="shared" si="14"/>
        <v>临街宽度及深度</v>
      </c>
      <c r="R40" s="705" t="s">
        <v>14</v>
      </c>
      <c r="S40" s="706">
        <f t="shared" si="10"/>
        <v>100</v>
      </c>
      <c r="T40" s="705" t="s">
        <v>14</v>
      </c>
      <c r="U40" s="706">
        <f t="shared" si="11"/>
        <v>100</v>
      </c>
      <c r="V40" s="705" t="s">
        <v>14</v>
      </c>
      <c r="W40" s="706">
        <f t="shared" si="12"/>
        <v>100</v>
      </c>
      <c r="X40" s="1355"/>
      <c r="Y40" s="373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38"/>
      <c r="Q41" s="1352" t="str">
        <f t="shared" si="14"/>
        <v>宗地开发程度</v>
      </c>
      <c r="R41" s="701" t="s">
        <v>14</v>
      </c>
      <c r="S41" s="702">
        <f t="shared" si="10"/>
        <v>100</v>
      </c>
      <c r="T41" s="701" t="s">
        <v>14</v>
      </c>
      <c r="U41" s="702">
        <f t="shared" si="11"/>
        <v>100</v>
      </c>
      <c r="V41" s="701" t="s">
        <v>14</v>
      </c>
      <c r="W41" s="702">
        <f t="shared" si="12"/>
        <v>100</v>
      </c>
      <c r="X41" s="703"/>
      <c r="Y41" s="373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38" t="s">
        <v>1695</v>
      </c>
      <c r="Q42" s="1352" t="str">
        <f t="shared" si="14"/>
        <v>工程地质条件</v>
      </c>
      <c r="R42" s="705" t="s">
        <v>14</v>
      </c>
      <c r="S42" s="706">
        <f t="shared" si="10"/>
        <v>100</v>
      </c>
      <c r="T42" s="705" t="s">
        <v>14</v>
      </c>
      <c r="U42" s="706">
        <f t="shared" si="11"/>
        <v>100</v>
      </c>
      <c r="V42" s="705" t="s">
        <v>14</v>
      </c>
      <c r="W42" s="706">
        <f t="shared" si="12"/>
        <v>100</v>
      </c>
      <c r="X42" s="1355"/>
      <c r="Y42" s="373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8"/>
      <c r="Q43" s="1352">
        <f t="shared" si="14"/>
        <v>111</v>
      </c>
      <c r="R43" s="705" t="s">
        <v>14</v>
      </c>
      <c r="S43" s="706">
        <f t="shared" si="10"/>
        <v>100</v>
      </c>
      <c r="T43" s="705" t="s">
        <v>14</v>
      </c>
      <c r="U43" s="706">
        <f t="shared" si="11"/>
        <v>100</v>
      </c>
      <c r="V43" s="705" t="s">
        <v>14</v>
      </c>
      <c r="W43" s="706">
        <f t="shared" si="12"/>
        <v>100</v>
      </c>
      <c r="X43" s="1355"/>
      <c r="Y43" s="373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8"/>
      <c r="Q44" s="1352">
        <f t="shared" si="14"/>
        <v>111</v>
      </c>
      <c r="R44" s="705" t="s">
        <v>14</v>
      </c>
      <c r="S44" s="706">
        <f t="shared" si="10"/>
        <v>100</v>
      </c>
      <c r="T44" s="705" t="s">
        <v>14</v>
      </c>
      <c r="U44" s="706">
        <f t="shared" si="11"/>
        <v>100</v>
      </c>
      <c r="V44" s="705" t="s">
        <v>14</v>
      </c>
      <c r="W44" s="706">
        <f t="shared" si="12"/>
        <v>100</v>
      </c>
      <c r="X44" s="1355"/>
      <c r="Y44" s="373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8"/>
      <c r="Q45" s="1352">
        <f t="shared" si="14"/>
        <v>111</v>
      </c>
      <c r="R45" s="708" t="s">
        <v>14</v>
      </c>
      <c r="S45" s="709">
        <f t="shared" si="10"/>
        <v>100</v>
      </c>
      <c r="T45" s="708" t="s">
        <v>14</v>
      </c>
      <c r="U45" s="709">
        <f t="shared" si="11"/>
        <v>100</v>
      </c>
      <c r="V45" s="708" t="s">
        <v>14</v>
      </c>
      <c r="W45" s="709">
        <f t="shared" si="12"/>
        <v>100</v>
      </c>
      <c r="X45" s="710"/>
      <c r="Y45" s="3738"/>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731" t="str">
        <f>A46</f>
        <v>成交单价</v>
      </c>
      <c r="Q46" s="3731"/>
      <c r="R46" s="3726">
        <f>E46</f>
        <v>0</v>
      </c>
      <c r="S46" s="3726"/>
      <c r="T46" s="3726">
        <f>G46</f>
        <v>0</v>
      </c>
      <c r="U46" s="3726"/>
      <c r="V46" s="3726">
        <f>I46</f>
        <v>0</v>
      </c>
      <c r="W46" s="372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31" t="str">
        <f>A47</f>
        <v>比较价值（元/平方米）</v>
      </c>
      <c r="Q47" s="3731"/>
      <c r="R47" s="3759" t="e">
        <f>ROUND(PRODUCT(R46,AA7:AA45),0)</f>
        <v>#DIV/0!</v>
      </c>
      <c r="S47" s="3759"/>
      <c r="T47" s="3759" t="e">
        <f>ROUND(PRODUCT(T46,AB7:AB45),0)</f>
        <v>#DIV/0!</v>
      </c>
      <c r="U47" s="3759"/>
      <c r="V47" s="3759" t="e">
        <f>ROUND(PRODUCT(V46,AC7:AC45),0)</f>
        <v>#DIV/0!</v>
      </c>
      <c r="W47" s="3759"/>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728" t="str">
        <f>A48</f>
        <v>估价对象XX用房的比较价值（楼面单价，元/平方米）</v>
      </c>
      <c r="Q48" s="3729"/>
      <c r="R48" s="3760" t="e">
        <f>ROUND(IF(D47="简单平均",AVERAGE(R47:W47),R47*F47+T47*H47+V47*J47),0)</f>
        <v>#DIV/0!</v>
      </c>
      <c r="S48" s="3760"/>
      <c r="T48" s="3760"/>
      <c r="U48" s="3760"/>
      <c r="V48" s="3760"/>
      <c r="W48" s="376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714" t="s">
        <v>1886</v>
      </c>
      <c r="H55" s="3761"/>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114107.98000000001</v>
      </c>
      <c r="F56" s="886" t="e">
        <f t="shared" ref="F56:F64" si="15">ROUND(B56*E56/10000,0)</f>
        <v>#DIV/0!</v>
      </c>
      <c r="G56" s="3713"/>
      <c r="H56" s="373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114107.98000000001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714" t="s">
        <v>1769</v>
      </c>
      <c r="D4" s="3715"/>
      <c r="E4" s="3716" t="s">
        <v>1770</v>
      </c>
      <c r="F4" s="3717"/>
      <c r="G4" s="3714" t="s">
        <v>1771</v>
      </c>
      <c r="H4" s="3715"/>
      <c r="I4" s="3714" t="s">
        <v>1772</v>
      </c>
      <c r="J4" s="3715"/>
      <c r="K4" s="559" t="s">
        <v>1773</v>
      </c>
      <c r="L4" s="2714"/>
      <c r="M4" s="2715"/>
      <c r="N4" s="2715"/>
      <c r="O4" s="2715"/>
      <c r="P4" s="3718" t="s">
        <v>1774</v>
      </c>
      <c r="Q4" s="3719"/>
      <c r="R4" s="3701" t="s">
        <v>1770</v>
      </c>
      <c r="S4" s="3702"/>
      <c r="T4" s="3701" t="s">
        <v>1771</v>
      </c>
      <c r="U4" s="3702"/>
      <c r="V4" s="3726" t="s">
        <v>1772</v>
      </c>
      <c r="W4" s="3726"/>
      <c r="X4" s="1355"/>
      <c r="Y4" s="3701" t="s">
        <v>1774</v>
      </c>
      <c r="Z4" s="3702"/>
      <c r="AA4" s="3696" t="s">
        <v>1770</v>
      </c>
      <c r="AB4" s="3697" t="s">
        <v>1771</v>
      </c>
      <c r="AC4" s="3696" t="s">
        <v>1772</v>
      </c>
    </row>
    <row r="5" spans="1:29" ht="15">
      <c r="A5" s="358"/>
      <c r="B5" s="359"/>
      <c r="C5" s="3707" t="s">
        <v>1672</v>
      </c>
      <c r="D5" s="3708"/>
      <c r="E5" s="3705" t="s">
        <v>1673</v>
      </c>
      <c r="F5" s="3706"/>
      <c r="G5" s="3707" t="s">
        <v>1674</v>
      </c>
      <c r="H5" s="3708"/>
      <c r="I5" s="3707" t="s">
        <v>1675</v>
      </c>
      <c r="J5" s="3708"/>
      <c r="K5" s="559"/>
      <c r="L5" s="2714"/>
      <c r="M5" s="2715"/>
      <c r="N5" s="2715"/>
      <c r="O5" s="2715"/>
      <c r="P5" s="3720"/>
      <c r="Q5" s="3721"/>
      <c r="R5" s="3703"/>
      <c r="S5" s="3704"/>
      <c r="T5" s="3703"/>
      <c r="U5" s="3704"/>
      <c r="V5" s="3726"/>
      <c r="W5" s="3726"/>
      <c r="X5" s="1355"/>
      <c r="Y5" s="3703"/>
      <c r="Z5" s="3704"/>
      <c r="AA5" s="3697"/>
      <c r="AB5" s="3697"/>
      <c r="AC5" s="3697"/>
    </row>
    <row r="6" spans="1:29" ht="15.75" thickBot="1">
      <c r="A6" s="360"/>
      <c r="B6" s="361"/>
      <c r="C6" s="3762" t="s">
        <v>1918</v>
      </c>
      <c r="D6" s="3763"/>
      <c r="E6" s="3764" t="s">
        <v>1918</v>
      </c>
      <c r="F6" s="3765"/>
      <c r="G6" s="3762" t="s">
        <v>1918</v>
      </c>
      <c r="H6" s="3763"/>
      <c r="I6" s="3762" t="s">
        <v>1918</v>
      </c>
      <c r="J6" s="3763"/>
      <c r="K6" s="559" t="s">
        <v>1677</v>
      </c>
      <c r="L6" s="2714"/>
      <c r="M6" s="2715"/>
      <c r="N6" s="2715"/>
      <c r="O6" s="2715"/>
      <c r="P6" s="3722"/>
      <c r="Q6" s="3723"/>
      <c r="R6" s="3703"/>
      <c r="S6" s="3704"/>
      <c r="T6" s="3724"/>
      <c r="U6" s="3725"/>
      <c r="V6" s="3726"/>
      <c r="W6" s="3726"/>
      <c r="X6" s="1355"/>
      <c r="Y6" s="3724"/>
      <c r="Z6" s="3725"/>
      <c r="AA6" s="3698"/>
      <c r="AB6" s="3698"/>
      <c r="AC6" s="3698"/>
    </row>
    <row r="7" spans="1:29" s="108" customFormat="1" ht="15.75" thickBot="1">
      <c r="A7" s="362" t="s">
        <v>1678</v>
      </c>
      <c r="B7" s="363"/>
      <c r="C7" s="364">
        <f>'数据-取费表'!B2</f>
        <v>45002</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99" t="s">
        <v>1679</v>
      </c>
      <c r="Q7" s="3727"/>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9" t="s">
        <v>1682</v>
      </c>
      <c r="Q8" s="3700"/>
      <c r="R8" s="701" t="s">
        <v>14</v>
      </c>
      <c r="S8" s="702">
        <f t="shared" si="0"/>
        <v>0</v>
      </c>
      <c r="T8" s="701" t="s">
        <v>14</v>
      </c>
      <c r="U8" s="702">
        <f t="shared" si="1"/>
        <v>0</v>
      </c>
      <c r="V8" s="701" t="s">
        <v>14</v>
      </c>
      <c r="W8" s="702">
        <f t="shared" si="2"/>
        <v>0</v>
      </c>
      <c r="X8" s="703"/>
      <c r="Y8" s="3699" t="s">
        <v>1682</v>
      </c>
      <c r="Z8" s="3700"/>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31" t="s">
        <v>1685</v>
      </c>
      <c r="Q9" s="1343" t="str">
        <f t="shared" ref="Q9:Q15" si="6">B9</f>
        <v>用途</v>
      </c>
      <c r="R9" s="701" t="s">
        <v>14</v>
      </c>
      <c r="S9" s="702">
        <f t="shared" si="0"/>
        <v>100</v>
      </c>
      <c r="T9" s="701" t="s">
        <v>14</v>
      </c>
      <c r="U9" s="702">
        <f t="shared" si="1"/>
        <v>100</v>
      </c>
      <c r="V9" s="701" t="s">
        <v>14</v>
      </c>
      <c r="W9" s="702">
        <f t="shared" si="2"/>
        <v>100</v>
      </c>
      <c r="X9" s="703"/>
      <c r="Y9" s="3643"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114</v>
      </c>
      <c r="G10" s="383"/>
      <c r="H10" s="127">
        <f>ROUND(100/'数据-取费表'!G16,0)</f>
        <v>114</v>
      </c>
      <c r="I10" s="383"/>
      <c r="J10" s="127">
        <f>ROUND(100/'数据-取费表'!G16,0)</f>
        <v>114</v>
      </c>
      <c r="K10" s="620"/>
      <c r="L10" s="2718"/>
      <c r="M10" s="2719"/>
      <c r="N10" s="2719"/>
      <c r="O10" s="2772"/>
      <c r="P10" s="3731"/>
      <c r="Q10" s="1343" t="str">
        <f t="shared" si="6"/>
        <v>土地使用年限（年）</v>
      </c>
      <c r="R10" s="701" t="s">
        <v>14</v>
      </c>
      <c r="S10" s="702">
        <f t="shared" si="0"/>
        <v>114</v>
      </c>
      <c r="T10" s="701" t="s">
        <v>14</v>
      </c>
      <c r="U10" s="702">
        <f t="shared" si="1"/>
        <v>114</v>
      </c>
      <c r="V10" s="701" t="s">
        <v>14</v>
      </c>
      <c r="W10" s="702">
        <f t="shared" si="2"/>
        <v>114</v>
      </c>
      <c r="X10" s="703"/>
      <c r="Y10" s="3643"/>
      <c r="Z10" s="52" t="str">
        <f t="shared" si="7"/>
        <v>土地使用年限（年）</v>
      </c>
      <c r="AA10" s="704">
        <f t="shared" si="3"/>
        <v>0.8771929824561403</v>
      </c>
      <c r="AB10" s="704">
        <f t="shared" si="4"/>
        <v>0.8771929824561403</v>
      </c>
      <c r="AC10" s="704">
        <f t="shared" si="5"/>
        <v>0.8771929824561403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1"/>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3" t="s">
        <v>1690</v>
      </c>
      <c r="Q15" s="1352" t="str">
        <f t="shared" si="6"/>
        <v>产业集聚程度</v>
      </c>
      <c r="R15" s="705" t="s">
        <v>14</v>
      </c>
      <c r="S15" s="706">
        <f t="shared" si="0"/>
        <v>100</v>
      </c>
      <c r="T15" s="705" t="s">
        <v>14</v>
      </c>
      <c r="U15" s="706">
        <f t="shared" si="1"/>
        <v>100</v>
      </c>
      <c r="V15" s="705" t="s">
        <v>14</v>
      </c>
      <c r="W15" s="706">
        <f t="shared" si="2"/>
        <v>100</v>
      </c>
      <c r="X15" s="1355"/>
      <c r="Y15" s="3733"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4"/>
      <c r="Q16" s="1352"/>
      <c r="R16" s="705"/>
      <c r="S16" s="706"/>
      <c r="T16" s="705"/>
      <c r="U16" s="706"/>
      <c r="V16" s="705"/>
      <c r="W16" s="706"/>
      <c r="X16" s="1355"/>
      <c r="Y16" s="3734"/>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4"/>
      <c r="Q18" s="1352"/>
      <c r="R18" s="705"/>
      <c r="S18" s="706"/>
      <c r="T18" s="705"/>
      <c r="U18" s="706"/>
      <c r="V18" s="705"/>
      <c r="W18" s="706"/>
      <c r="X18" s="1355"/>
      <c r="Y18" s="3734"/>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4"/>
      <c r="Q19" s="1352" t="str">
        <f t="shared" ref="Q19:Q33" si="8">B19</f>
        <v>区域土地利用方向</v>
      </c>
      <c r="R19" s="705" t="s">
        <v>14</v>
      </c>
      <c r="S19" s="706">
        <f>F19</f>
        <v>100</v>
      </c>
      <c r="T19" s="705" t="s">
        <v>14</v>
      </c>
      <c r="U19" s="706">
        <f>H19</f>
        <v>100</v>
      </c>
      <c r="V19" s="705" t="s">
        <v>14</v>
      </c>
      <c r="W19" s="706">
        <f>J19</f>
        <v>100</v>
      </c>
      <c r="X19" s="1355"/>
      <c r="Y19" s="373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4"/>
      <c r="Q20" s="1352"/>
      <c r="R20" s="705"/>
      <c r="S20" s="706"/>
      <c r="T20" s="705"/>
      <c r="U20" s="706"/>
      <c r="V20" s="705"/>
      <c r="W20" s="706"/>
      <c r="X20" s="1355"/>
      <c r="Y20" s="3734"/>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4"/>
      <c r="Q21" s="1352" t="str">
        <f t="shared" si="8"/>
        <v>环境状况</v>
      </c>
      <c r="R21" s="705" t="s">
        <v>14</v>
      </c>
      <c r="S21" s="706">
        <f>F21</f>
        <v>100</v>
      </c>
      <c r="T21" s="705" t="s">
        <v>14</v>
      </c>
      <c r="U21" s="706">
        <f>H21</f>
        <v>100</v>
      </c>
      <c r="V21" s="705" t="s">
        <v>14</v>
      </c>
      <c r="W21" s="706">
        <f>J21</f>
        <v>100</v>
      </c>
      <c r="X21" s="1355"/>
      <c r="Y21" s="373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4"/>
      <c r="Q22" s="1352"/>
      <c r="R22" s="705"/>
      <c r="S22" s="706"/>
      <c r="T22" s="705"/>
      <c r="U22" s="706"/>
      <c r="V22" s="705"/>
      <c r="W22" s="706"/>
      <c r="X22" s="1355"/>
      <c r="Y22" s="3734"/>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4"/>
      <c r="Q23" s="1343" t="str">
        <f t="shared" si="8"/>
        <v>公共配套设施</v>
      </c>
      <c r="R23" s="701" t="s">
        <v>14</v>
      </c>
      <c r="S23" s="702">
        <f>F23</f>
        <v>100</v>
      </c>
      <c r="T23" s="701" t="s">
        <v>14</v>
      </c>
      <c r="U23" s="702">
        <f>H23</f>
        <v>100</v>
      </c>
      <c r="V23" s="701" t="s">
        <v>14</v>
      </c>
      <c r="W23" s="702">
        <f>J23</f>
        <v>100</v>
      </c>
      <c r="X23" s="703"/>
      <c r="Y23" s="373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34"/>
      <c r="Q24" s="1343"/>
      <c r="R24" s="701"/>
      <c r="S24" s="702"/>
      <c r="T24" s="701"/>
      <c r="U24" s="702"/>
      <c r="V24" s="701"/>
      <c r="W24" s="702"/>
      <c r="X24" s="703"/>
      <c r="Y24" s="3734"/>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4"/>
      <c r="Q25" s="1343" t="str">
        <f t="shared" ref="Q25" si="9">B25</f>
        <v>基础设施水平</v>
      </c>
      <c r="R25" s="701" t="s">
        <v>14</v>
      </c>
      <c r="S25" s="702">
        <f>F25</f>
        <v>100</v>
      </c>
      <c r="T25" s="701" t="s">
        <v>14</v>
      </c>
      <c r="U25" s="702">
        <f>H25</f>
        <v>100</v>
      </c>
      <c r="V25" s="701" t="s">
        <v>14</v>
      </c>
      <c r="W25" s="702">
        <f>J25</f>
        <v>100</v>
      </c>
      <c r="X25" s="703"/>
      <c r="Y25" s="373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34"/>
      <c r="Q26" s="1343"/>
      <c r="R26" s="701"/>
      <c r="S26" s="702"/>
      <c r="T26" s="701"/>
      <c r="U26" s="702"/>
      <c r="V26" s="701"/>
      <c r="W26" s="702"/>
      <c r="X26" s="703"/>
      <c r="Y26" s="373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4"/>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4"/>
      <c r="Q28" s="1352" t="str">
        <f t="shared" si="8"/>
        <v>毗邻道路的类型与等级</v>
      </c>
      <c r="R28" s="705" t="s">
        <v>14</v>
      </c>
      <c r="S28" s="706">
        <f t="shared" si="10"/>
        <v>100</v>
      </c>
      <c r="T28" s="705" t="s">
        <v>14</v>
      </c>
      <c r="U28" s="706">
        <f t="shared" si="11"/>
        <v>100</v>
      </c>
      <c r="V28" s="705" t="s">
        <v>14</v>
      </c>
      <c r="W28" s="706">
        <f t="shared" si="12"/>
        <v>100</v>
      </c>
      <c r="X28" s="1355"/>
      <c r="Y28" s="373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4"/>
      <c r="Q29" s="1352"/>
      <c r="R29" s="705"/>
      <c r="S29" s="706"/>
      <c r="T29" s="705"/>
      <c r="U29" s="706"/>
      <c r="V29" s="705"/>
      <c r="W29" s="706"/>
      <c r="X29" s="1355"/>
      <c r="Y29" s="373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4"/>
      <c r="Q30" s="1352" t="str">
        <f t="shared" si="8"/>
        <v>土地级别</v>
      </c>
      <c r="R30" s="705" t="s">
        <v>14</v>
      </c>
      <c r="S30" s="706">
        <f t="shared" si="10"/>
        <v>100</v>
      </c>
      <c r="T30" s="705" t="s">
        <v>14</v>
      </c>
      <c r="U30" s="706">
        <f t="shared" si="11"/>
        <v>100</v>
      </c>
      <c r="V30" s="705" t="s">
        <v>14</v>
      </c>
      <c r="W30" s="706">
        <f t="shared" si="12"/>
        <v>100</v>
      </c>
      <c r="X30" s="1355"/>
      <c r="Y30" s="373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4"/>
      <c r="Q31" s="1352">
        <f t="shared" si="8"/>
        <v>111</v>
      </c>
      <c r="R31" s="705" t="s">
        <v>14</v>
      </c>
      <c r="S31" s="706">
        <f t="shared" si="10"/>
        <v>100</v>
      </c>
      <c r="T31" s="705" t="s">
        <v>14</v>
      </c>
      <c r="U31" s="706">
        <f t="shared" si="11"/>
        <v>100</v>
      </c>
      <c r="V31" s="705" t="s">
        <v>14</v>
      </c>
      <c r="W31" s="706">
        <f t="shared" si="12"/>
        <v>100</v>
      </c>
      <c r="X31" s="1355"/>
      <c r="Y31" s="373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7" t="s">
        <v>1695</v>
      </c>
      <c r="Q32" s="1352">
        <f t="shared" si="8"/>
        <v>111</v>
      </c>
      <c r="R32" s="705" t="s">
        <v>14</v>
      </c>
      <c r="S32" s="706">
        <f t="shared" si="10"/>
        <v>100</v>
      </c>
      <c r="T32" s="705" t="s">
        <v>14</v>
      </c>
      <c r="U32" s="706">
        <f t="shared" si="11"/>
        <v>100</v>
      </c>
      <c r="V32" s="705" t="s">
        <v>14</v>
      </c>
      <c r="W32" s="706">
        <f t="shared" si="12"/>
        <v>100</v>
      </c>
      <c r="X32" s="1355"/>
      <c r="Y32" s="3738"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8"/>
      <c r="Q33" s="1352">
        <f t="shared" si="8"/>
        <v>111</v>
      </c>
      <c r="R33" s="708" t="s">
        <v>14</v>
      </c>
      <c r="S33" s="709">
        <f t="shared" si="10"/>
        <v>100</v>
      </c>
      <c r="T33" s="708" t="s">
        <v>14</v>
      </c>
      <c r="U33" s="709">
        <f t="shared" si="11"/>
        <v>100</v>
      </c>
      <c r="V33" s="708" t="s">
        <v>14</v>
      </c>
      <c r="W33" s="709">
        <f t="shared" si="12"/>
        <v>100</v>
      </c>
      <c r="X33" s="710"/>
      <c r="Y33" s="373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8"/>
      <c r="Q34" s="1352" t="str">
        <f>B34</f>
        <v>宗地面积</v>
      </c>
      <c r="R34" s="705" t="s">
        <v>14</v>
      </c>
      <c r="S34" s="706" t="e">
        <f t="shared" si="10"/>
        <v>#N/A</v>
      </c>
      <c r="T34" s="705" t="s">
        <v>14</v>
      </c>
      <c r="U34" s="706" t="e">
        <f t="shared" si="11"/>
        <v>#N/A</v>
      </c>
      <c r="V34" s="705" t="s">
        <v>14</v>
      </c>
      <c r="W34" s="706" t="e">
        <f t="shared" si="12"/>
        <v>#N/A</v>
      </c>
      <c r="X34" s="1355"/>
      <c r="Y34" s="373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38"/>
      <c r="Q35" s="1352" t="str">
        <f t="shared" ref="Q35:Q40" si="14">B35</f>
        <v>宗地形状</v>
      </c>
      <c r="R35" s="705" t="s">
        <v>14</v>
      </c>
      <c r="S35" s="706">
        <f t="shared" si="10"/>
        <v>100</v>
      </c>
      <c r="T35" s="705" t="s">
        <v>14</v>
      </c>
      <c r="U35" s="706">
        <f t="shared" si="11"/>
        <v>100</v>
      </c>
      <c r="V35" s="705" t="s">
        <v>14</v>
      </c>
      <c r="W35" s="706">
        <f t="shared" si="12"/>
        <v>100</v>
      </c>
      <c r="X35" s="1355"/>
      <c r="Y35" s="373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38"/>
      <c r="Q36" s="1352" t="str">
        <f t="shared" si="14"/>
        <v>宗地开发程度</v>
      </c>
      <c r="R36" s="701" t="s">
        <v>14</v>
      </c>
      <c r="S36" s="702">
        <f t="shared" si="10"/>
        <v>100</v>
      </c>
      <c r="T36" s="701" t="s">
        <v>14</v>
      </c>
      <c r="U36" s="702">
        <f t="shared" si="11"/>
        <v>100</v>
      </c>
      <c r="V36" s="701" t="s">
        <v>14</v>
      </c>
      <c r="W36" s="702">
        <f t="shared" si="12"/>
        <v>100</v>
      </c>
      <c r="X36" s="703"/>
      <c r="Y36" s="373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38" t="s">
        <v>1695</v>
      </c>
      <c r="Q37" s="1352" t="str">
        <f t="shared" si="14"/>
        <v>工程地质条件</v>
      </c>
      <c r="R37" s="705" t="s">
        <v>14</v>
      </c>
      <c r="S37" s="706">
        <f t="shared" si="10"/>
        <v>100</v>
      </c>
      <c r="T37" s="705" t="s">
        <v>14</v>
      </c>
      <c r="U37" s="706">
        <f t="shared" si="11"/>
        <v>100</v>
      </c>
      <c r="V37" s="705" t="s">
        <v>14</v>
      </c>
      <c r="W37" s="706">
        <f t="shared" si="12"/>
        <v>100</v>
      </c>
      <c r="X37" s="1355"/>
      <c r="Y37" s="373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8"/>
      <c r="Q38" s="1352">
        <f t="shared" si="14"/>
        <v>111</v>
      </c>
      <c r="R38" s="705" t="s">
        <v>14</v>
      </c>
      <c r="S38" s="706">
        <f t="shared" si="10"/>
        <v>100</v>
      </c>
      <c r="T38" s="705" t="s">
        <v>14</v>
      </c>
      <c r="U38" s="706">
        <f t="shared" si="11"/>
        <v>100</v>
      </c>
      <c r="V38" s="705" t="s">
        <v>14</v>
      </c>
      <c r="W38" s="706">
        <f t="shared" si="12"/>
        <v>100</v>
      </c>
      <c r="X38" s="1355"/>
      <c r="Y38" s="373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8"/>
      <c r="Q39" s="1352">
        <f t="shared" si="14"/>
        <v>111</v>
      </c>
      <c r="R39" s="705" t="s">
        <v>14</v>
      </c>
      <c r="S39" s="706">
        <f t="shared" si="10"/>
        <v>100</v>
      </c>
      <c r="T39" s="705" t="s">
        <v>14</v>
      </c>
      <c r="U39" s="706">
        <f t="shared" si="11"/>
        <v>100</v>
      </c>
      <c r="V39" s="705" t="s">
        <v>14</v>
      </c>
      <c r="W39" s="706">
        <f t="shared" si="12"/>
        <v>100</v>
      </c>
      <c r="X39" s="1355"/>
      <c r="Y39" s="373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8"/>
      <c r="Q40" s="1352">
        <f t="shared" si="14"/>
        <v>111</v>
      </c>
      <c r="R40" s="708" t="s">
        <v>14</v>
      </c>
      <c r="S40" s="709">
        <f t="shared" si="10"/>
        <v>100</v>
      </c>
      <c r="T40" s="708" t="s">
        <v>14</v>
      </c>
      <c r="U40" s="709">
        <f t="shared" si="11"/>
        <v>100</v>
      </c>
      <c r="V40" s="708" t="s">
        <v>14</v>
      </c>
      <c r="W40" s="709">
        <f t="shared" si="12"/>
        <v>100</v>
      </c>
      <c r="X40" s="710"/>
      <c r="Y40" s="3738"/>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731" t="str">
        <f>A41</f>
        <v>成交单价</v>
      </c>
      <c r="Q41" s="3731"/>
      <c r="R41" s="3726">
        <f>E41</f>
        <v>0</v>
      </c>
      <c r="S41" s="3726"/>
      <c r="T41" s="3726">
        <f>G41</f>
        <v>0</v>
      </c>
      <c r="U41" s="3726"/>
      <c r="V41" s="3726">
        <f>I41</f>
        <v>0</v>
      </c>
      <c r="W41" s="372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31" t="str">
        <f>A42</f>
        <v>比较价值（元/平方米）</v>
      </c>
      <c r="Q42" s="3731"/>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728" t="str">
        <f>A43</f>
        <v>估价对象XX用房的比较价值（楼面单价，元/平方米）</v>
      </c>
      <c r="Q43" s="3729"/>
      <c r="R43" s="3760" t="e">
        <f>ROUND(IF(D42="简单平均",AVERAGE(R42:W42),R42*F42+T42*H42+V42*J42),0)</f>
        <v>#DIV/0!</v>
      </c>
      <c r="S43" s="3760"/>
      <c r="T43" s="3760"/>
      <c r="U43" s="3760"/>
      <c r="V43" s="3760"/>
      <c r="W43" s="376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714" t="s">
        <v>1886</v>
      </c>
      <c r="H50" s="3761"/>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114107.98000000001</v>
      </c>
      <c r="F51" s="639" t="e">
        <f t="shared" ref="F51:F60" si="15">ROUND(B51*E51/10000,0)</f>
        <v>#DIV/0!</v>
      </c>
      <c r="G51" s="3713"/>
      <c r="H51" s="373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236852.67</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9" t="s">
        <v>2083</v>
      </c>
      <c r="D1" s="3770"/>
      <c r="E1" s="3770"/>
      <c r="F1" s="3770"/>
      <c r="G1" s="3770"/>
      <c r="H1" s="3770"/>
      <c r="I1" s="3770"/>
      <c r="J1" s="3770"/>
      <c r="K1" s="3770"/>
      <c r="L1" s="3770"/>
      <c r="M1" s="3770"/>
      <c r="N1" s="3770"/>
      <c r="O1" s="3770"/>
      <c r="P1" s="3770"/>
      <c r="Q1" s="3770"/>
      <c r="R1" s="3770"/>
      <c r="S1" s="377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6" t="s">
        <v>27</v>
      </c>
      <c r="D22" s="3767"/>
      <c r="E22" s="3767"/>
      <c r="F22" s="3767"/>
      <c r="G22" s="3767"/>
      <c r="H22" s="3767"/>
      <c r="I22" s="3767"/>
      <c r="J22" s="3767"/>
      <c r="K22" s="3767"/>
      <c r="L22" s="3767"/>
      <c r="M22" s="3767"/>
      <c r="N22" s="3767"/>
      <c r="O22" s="3767"/>
      <c r="P22" s="3767"/>
      <c r="Q22" s="376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79914</v>
      </c>
      <c r="C2" s="2145" t="s">
        <v>2073</v>
      </c>
      <c r="D2" s="2145" t="s">
        <v>2074</v>
      </c>
      <c r="E2" s="2611">
        <f ca="1">SUMIF(E6:E13,"&lt;&gt;#ref!",E6:E13)</f>
        <v>236852.67</v>
      </c>
      <c r="F2" s="2792"/>
      <c r="G2" s="2792"/>
      <c r="H2" s="2792"/>
      <c r="I2" s="2792"/>
      <c r="J2" s="2792"/>
      <c r="K2" s="2792"/>
      <c r="L2" s="2792"/>
      <c r="M2" s="2792"/>
      <c r="N2" s="2792"/>
      <c r="O2" s="2792"/>
      <c r="P2" s="2792"/>
    </row>
    <row r="3" spans="1:16" ht="15.75">
      <c r="A3" s="2145" t="s">
        <v>2075</v>
      </c>
      <c r="B3" s="2601">
        <f ca="1">ROUND(B2*10000/E2,0)</f>
        <v>3374</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79914</v>
      </c>
      <c r="C6" s="2145" t="s">
        <v>2073</v>
      </c>
      <c r="D6" s="2792"/>
      <c r="E6" s="2611">
        <f ca="1">SUMIF(INDIRECT("'"&amp;A6&amp;"'"&amp;"!C:C"),"建筑面积",INDIRECT("'"&amp;A6&amp;"'"&amp;"!D:D"))</f>
        <v>236852.67</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K24" sqref="K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236852.67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25.5">
      <c r="A2" s="201" t="s">
        <v>1933</v>
      </c>
      <c r="B2" s="204">
        <f>C30</f>
        <v>79914</v>
      </c>
      <c r="C2" s="1999" t="s">
        <v>1934</v>
      </c>
      <c r="D2" s="2000" t="s">
        <v>1935</v>
      </c>
      <c r="E2" s="3421" t="s">
        <v>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Ⅵ-天竺保税区北Ⅱ</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4789</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3374</v>
      </c>
      <c r="C3" s="1999" t="s">
        <v>1940</v>
      </c>
      <c r="D3" s="2000" t="s">
        <v>1941</v>
      </c>
      <c r="E3" s="3419" t="s">
        <v>2485</v>
      </c>
      <c r="F3" s="2004" t="s">
        <v>3451</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3774</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79"/>
      <c r="B4" s="3780"/>
      <c r="C4" s="3780"/>
      <c r="D4" s="3781"/>
      <c r="E4" s="3781"/>
      <c r="F4" s="3781"/>
      <c r="G4" s="3781"/>
      <c r="H4" s="3781"/>
      <c r="I4" s="3781"/>
      <c r="J4" s="3782"/>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3190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2265</v>
      </c>
      <c r="D5" s="1339">
        <f>ROUND(C6*C17+C20,0)</f>
        <v>2265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2813</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2340</v>
      </c>
      <c r="D6" s="2017"/>
      <c r="E6" s="2018"/>
      <c r="F6" s="2018"/>
      <c r="G6" s="2019"/>
      <c r="H6" s="2019"/>
      <c r="I6" s="2019"/>
      <c r="J6" s="2020"/>
      <c r="K6" s="1384"/>
      <c r="L6" s="2003" t="s">
        <v>1950</v>
      </c>
      <c r="M6" s="864">
        <f>SUMPRODUCT((区片价!B127:B189=I2)*(区片价!C3:G3=E2)*(区片价!C127:G189))</f>
        <v>2340</v>
      </c>
      <c r="N6" s="866">
        <f>SUMPRODUCT((因素修正幅度!B127:B189=I2)*(因素修正幅度!C3:G3=E2)*(因素修正幅度!C127:G189))</f>
        <v>0.05</v>
      </c>
      <c r="O6" s="1119"/>
      <c r="P6" s="1119"/>
      <c r="Q6" s="1119"/>
      <c r="R6" s="1212">
        <v>5</v>
      </c>
      <c r="S6" s="3360">
        <f>ROUND(SUMPRODUCT((B106:B110=R6)*(C105:N105=G2)*(C106:N110)),4)</f>
        <v>0.84799999999999998</v>
      </c>
      <c r="T6" s="3360">
        <f t="shared" si="0"/>
        <v>2704</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3243</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六级</v>
      </c>
      <c r="Y7" s="1214" t="s">
        <v>1955</v>
      </c>
      <c r="Z7" s="1215">
        <f>G3</f>
        <v>1</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76" t="s">
        <v>1959</v>
      </c>
      <c r="X8" s="377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78"/>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7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3" t="s">
        <v>3260</v>
      </c>
      <c r="B20" s="167" t="s">
        <v>1993</v>
      </c>
      <c r="C20" s="3324">
        <f>ROUND(IF(F21="与级别开发程度一致",0,(G21-E21)/C21),0)</f>
        <v>-75</v>
      </c>
      <c r="D20" s="3340" t="s">
        <v>1997</v>
      </c>
      <c r="E20" s="3341"/>
      <c r="F20" s="3789" t="s">
        <v>1994</v>
      </c>
      <c r="G20" s="3790"/>
      <c r="H20" s="3325" t="s">
        <v>3452</v>
      </c>
      <c r="I20" s="3325" t="s">
        <v>3453</v>
      </c>
      <c r="J20" s="3326" t="s">
        <v>3454</v>
      </c>
      <c r="K20" s="2047" t="s">
        <v>3455</v>
      </c>
      <c r="L20" s="2047" t="s">
        <v>3456</v>
      </c>
      <c r="M20" s="2047" t="s">
        <v>3457</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84"/>
      <c r="B21" s="2164" t="s">
        <v>1996</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3458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1.5</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2001</v>
      </c>
      <c r="E23" s="761">
        <v>44197</v>
      </c>
      <c r="F23" s="2054" t="s">
        <v>2002</v>
      </c>
      <c r="G23" s="762">
        <f>'数据-取费表'!B2</f>
        <v>45002</v>
      </c>
      <c r="H23" s="3342" t="s">
        <v>3262</v>
      </c>
      <c r="I23" s="3343" t="str">
        <f>IF(H23="季度增幅（自定义）",SUMIF(N25:N28,E2,O25:O28),"")</f>
        <v/>
      </c>
      <c r="J23" s="3445" t="s">
        <v>3261</v>
      </c>
      <c r="K23" s="1125"/>
      <c r="L23" s="2055" t="s">
        <v>2003</v>
      </c>
      <c r="M23" s="1328">
        <f>ROUND(SUMIF(地价!B2:G2,E2,地价!B16:G16),0)</f>
        <v>318</v>
      </c>
      <c r="N23" s="2056" t="s">
        <v>2004</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0.88039999999999996</v>
      </c>
      <c r="D24" s="2060" t="s">
        <v>2006</v>
      </c>
      <c r="E24" s="1335">
        <f>存贷款利率!E22/100</f>
        <v>4.3499999999999997E-2</v>
      </c>
      <c r="F24" s="2060" t="s">
        <v>1998</v>
      </c>
      <c r="G24" s="768">
        <f>SUMIF(M30:Q30,E2,M33:Q33)</f>
        <v>0.05</v>
      </c>
      <c r="H24" s="2060" t="s">
        <v>2007</v>
      </c>
      <c r="I24" s="769">
        <f>SUMIF('数据-取费表'!C6:C15,E2,'数据-取费表'!F6:F15)/COUNTIF('数据-取费表'!C6:C15,E2)</f>
        <v>33.36</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3341</v>
      </c>
      <c r="C25" s="771">
        <f>IF(B25="容积率修正",IF(G3&lt;10,D26,J26),C27)</f>
        <v>1.0583</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3263</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3264</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1.0149999999999999</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79914</v>
      </c>
      <c r="D30" s="2083"/>
      <c r="E30" s="2046"/>
      <c r="F30" s="2084"/>
      <c r="G30" s="2046"/>
      <c r="H30" s="2046"/>
      <c r="I30" s="2046"/>
      <c r="J30" s="2085"/>
      <c r="K30" s="1119"/>
      <c r="L30" s="3350" t="s">
        <v>1935</v>
      </c>
      <c r="M30" s="3351" t="s">
        <v>1989</v>
      </c>
      <c r="N30" s="3351" t="s">
        <v>1990</v>
      </c>
      <c r="O30" s="3351" t="s">
        <v>1991</v>
      </c>
      <c r="P30" s="3351" t="s">
        <v>1992</v>
      </c>
      <c r="Q30" s="3354"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3374</v>
      </c>
      <c r="D33" s="2098">
        <f>'数据-汇总表'!D3</f>
        <v>236852.67</v>
      </c>
      <c r="E33" s="773">
        <f>ROUND(C33*D33/10000,0)</f>
        <v>79914</v>
      </c>
      <c r="F33" s="3345" t="s">
        <v>3266</v>
      </c>
      <c r="G33" s="2099"/>
      <c r="H33" s="2099"/>
      <c r="I33" s="2099"/>
      <c r="J33" s="2100"/>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506</v>
      </c>
      <c r="D34" s="2103"/>
      <c r="E34" s="773">
        <f>ROUND(IF(B25="楼层修正",SUM(V2:V16)*M40,C34*D34/10000),0)</f>
        <v>0</v>
      </c>
      <c r="F34" s="2104" t="s">
        <v>2031</v>
      </c>
      <c r="G34" s="2105"/>
      <c r="H34" s="2105"/>
      <c r="I34" s="2105"/>
      <c r="J34" s="2106"/>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3271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7"/>
      <c r="B37" s="2113" t="s">
        <v>2035</v>
      </c>
      <c r="C37" s="175">
        <f>ROUND(D5*C22*C23*C24*C28*F37,0)</f>
        <v>1913</v>
      </c>
      <c r="D37" s="2098"/>
      <c r="E37" s="171">
        <f>ROUND(C37*D37/10000,0)</f>
        <v>0</v>
      </c>
      <c r="F37" s="171">
        <f>SUMIF(修正!A57:A68,G2,修正!B57:B68)</f>
        <v>0.6</v>
      </c>
      <c r="G37" s="171">
        <f>ROUND(IF(E2="工业",C37*$M$42,C37*$M$41),0)</f>
        <v>287</v>
      </c>
      <c r="H37" s="171">
        <f>D37</f>
        <v>0</v>
      </c>
      <c r="I37" s="171">
        <f>ROUND(G37*H37/10000,0)</f>
        <v>0</v>
      </c>
      <c r="J37" s="3011"/>
      <c r="K37" s="3358" t="s">
        <v>3272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8"/>
      <c r="B38" s="2041" t="s">
        <v>2036</v>
      </c>
      <c r="C38" s="175">
        <f>ROUND(D5*C22*C23*C24*C28*F38,0)</f>
        <v>957</v>
      </c>
      <c r="D38" s="2098"/>
      <c r="E38" s="171">
        <f t="shared" ref="E38:E42" si="4">ROUND(C38*D38/10000,0)</f>
        <v>0</v>
      </c>
      <c r="F38" s="171">
        <f>SUMIF(修正!A57:A68,G2,修正!C57:C68)</f>
        <v>0.3</v>
      </c>
      <c r="G38" s="171">
        <f>ROUND(IF(E2="工业",C38*$M$42,C38*$M$41),0)</f>
        <v>144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8"/>
      <c r="B39" s="2041" t="s">
        <v>3265</v>
      </c>
      <c r="C39" s="175">
        <f>ROUND(D5*C22*C23*C24*C28*F39,0)</f>
        <v>797</v>
      </c>
      <c r="D39" s="2098"/>
      <c r="E39" s="171">
        <f t="shared" si="4"/>
        <v>0</v>
      </c>
      <c r="F39" s="171">
        <f>SUMIF(修正!A57:A68,G2,修正!D57:D68)</f>
        <v>0.25</v>
      </c>
      <c r="G39" s="171">
        <f>ROUND(IF(E2="工业",C39*$M$42,C39*$M$41),0)</f>
        <v>120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797</v>
      </c>
      <c r="D40" s="2098"/>
      <c r="E40" s="171">
        <f t="shared" si="4"/>
        <v>0</v>
      </c>
      <c r="F40" s="175">
        <f>SUMIF(修正!A57:A68,G2,修正!E57:E68)</f>
        <v>0.25</v>
      </c>
      <c r="G40" s="171">
        <f>ROUND(IF(E2="工业",C40*$M$42,C40*$M$41),0)</f>
        <v>120</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3273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3275</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3275</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3275</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1.0149999999999999</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t="s">
        <v>3459</v>
      </c>
      <c r="D83" s="1065">
        <f t="shared" ref="D83:D90" si="22">SUMIF($J$82:$N$82,C83,J83:N83)</f>
        <v>6.4999999999999997E-3</v>
      </c>
      <c r="E83" s="744">
        <f>ROUND(SUM(D83:D90),4)</f>
        <v>1.4999999999999999E-2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3460</v>
      </c>
      <c r="D84" s="1065">
        <f t="shared" si="22"/>
        <v>0</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3276</v>
      </c>
      <c r="B85" s="2134">
        <f>估价对象房地状况!G17</f>
        <v>0</v>
      </c>
      <c r="C85" s="2044" t="s">
        <v>3459</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2066</v>
      </c>
      <c r="B86" s="2134">
        <f>估价对象房地状况!G22</f>
        <v>0</v>
      </c>
      <c r="C86" s="2044" t="s">
        <v>3460</v>
      </c>
      <c r="D86" s="1065">
        <f t="shared" si="22"/>
        <v>0</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2058</v>
      </c>
      <c r="B87" s="1326" t="str">
        <f>估价对象房地状况!G19</f>
        <v>估价对象所在区域公共配套设施齐备情况</v>
      </c>
      <c r="C87" s="2044" t="s">
        <v>3461</v>
      </c>
      <c r="D87" s="1065">
        <f t="shared" si="22"/>
        <v>-1.5E-3</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2059</v>
      </c>
      <c r="B88" s="1326" t="str">
        <f>估价对象房地状况!G20</f>
        <v>估价对象所在区域基础设施水平</v>
      </c>
      <c r="C88" s="2044" t="s">
        <v>3462</v>
      </c>
      <c r="D88" s="1065">
        <f t="shared" si="22"/>
        <v>6.0000000000000001E-3</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2056</v>
      </c>
      <c r="B89" s="2136" t="s">
        <v>2070</v>
      </c>
      <c r="C89" s="2044" t="s">
        <v>3459</v>
      </c>
      <c r="D89" s="1065">
        <f t="shared" si="22"/>
        <v>1.5E-3</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2071</v>
      </c>
      <c r="B90" s="2143" t="str">
        <f>估价对象房地状况!G18</f>
        <v>该园区内是否有污染型企业，绿化情况，卫生条件，整体环境状况判断</v>
      </c>
      <c r="C90" s="2044" t="s">
        <v>3460</v>
      </c>
      <c r="D90" s="1065">
        <f t="shared" si="22"/>
        <v>0</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5" t="s">
        <v>3300</v>
      </c>
      <c r="B103" s="3785"/>
      <c r="C103" s="3785"/>
      <c r="D103" s="3785"/>
      <c r="E103" s="3785"/>
      <c r="F103" s="3785"/>
      <c r="G103" s="3785"/>
      <c r="H103" s="3785"/>
      <c r="I103" s="3785"/>
      <c r="J103" s="3785"/>
      <c r="K103" s="3389"/>
      <c r="L103" s="3389"/>
      <c r="M103" s="3389"/>
      <c r="N103" s="3389"/>
    </row>
    <row r="104" spans="1:14">
      <c r="A104" s="3786" t="s">
        <v>3301</v>
      </c>
      <c r="B104" s="3786" t="s">
        <v>3302</v>
      </c>
      <c r="C104" s="3390" t="s">
        <v>3303</v>
      </c>
      <c r="D104" s="3391"/>
      <c r="E104" s="3391"/>
      <c r="F104" s="3391"/>
      <c r="G104" s="3391"/>
      <c r="H104" s="3391"/>
      <c r="I104" s="3391"/>
      <c r="J104" s="3392"/>
      <c r="K104" s="3393"/>
      <c r="L104" s="3393"/>
      <c r="M104" s="3393"/>
      <c r="N104" s="3393"/>
    </row>
    <row r="105" spans="1:14">
      <c r="A105" s="3786"/>
      <c r="B105" s="3786"/>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72"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3"/>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4"/>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5" t="s">
        <v>3317</v>
      </c>
      <c r="B113" s="3775"/>
      <c r="C113" s="3775"/>
      <c r="D113" s="3775"/>
      <c r="E113" s="3775"/>
      <c r="F113" s="3775"/>
      <c r="G113" s="3775"/>
      <c r="H113" s="3775"/>
      <c r="I113" s="3775"/>
      <c r="J113" s="377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v>
      </c>
      <c r="C116" s="3399" t="s">
        <v>3319</v>
      </c>
      <c r="D116" s="3400">
        <f>SUMPRODUCT((A118:A122=F116)*(B117:M117=H116)*B118:M122)</f>
        <v>0.64319999999999999</v>
      </c>
      <c r="E116" s="2000" t="s">
        <v>3320</v>
      </c>
      <c r="F116" s="3401" t="str">
        <f>E2</f>
        <v>工业</v>
      </c>
      <c r="G116" s="2000" t="s">
        <v>3321</v>
      </c>
      <c r="H116" s="3401" t="str">
        <f>G2</f>
        <v>六级</v>
      </c>
      <c r="I116" s="2000"/>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3335</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3336</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2614</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98" t="s">
        <v>2609</v>
      </c>
      <c r="B20" s="3791" t="s">
        <v>2630</v>
      </c>
      <c r="C20" s="3102" t="s">
        <v>2441</v>
      </c>
      <c r="D20" s="3103"/>
      <c r="E20" s="3104">
        <v>1</v>
      </c>
      <c r="F20" s="3105" t="s">
        <v>2442</v>
      </c>
      <c r="G20" s="3105"/>
    </row>
    <row r="21" spans="1:13" ht="19.5" customHeight="1">
      <c r="A21" s="3799"/>
      <c r="B21" s="3792"/>
      <c r="C21" s="3106" t="s">
        <v>2443</v>
      </c>
      <c r="D21" s="3107"/>
      <c r="E21" s="3108">
        <v>1</v>
      </c>
      <c r="F21" s="3105" t="s">
        <v>2444</v>
      </c>
      <c r="G21" s="3105"/>
    </row>
    <row r="22" spans="1:13" ht="19.5" customHeight="1">
      <c r="A22" s="3799"/>
      <c r="B22" s="3792"/>
      <c r="C22" s="3106" t="s">
        <v>2445</v>
      </c>
      <c r="D22" s="3107"/>
      <c r="E22" s="3108">
        <v>0.9</v>
      </c>
      <c r="F22" s="3105" t="s">
        <v>2446</v>
      </c>
      <c r="G22" s="3105"/>
    </row>
    <row r="23" spans="1:13" ht="19.5" customHeight="1">
      <c r="A23" s="3799"/>
      <c r="B23" s="3792"/>
      <c r="C23" s="3106" t="s">
        <v>2447</v>
      </c>
      <c r="D23" s="3107"/>
      <c r="E23" s="3108">
        <v>0.9</v>
      </c>
      <c r="F23" s="3105" t="s">
        <v>2448</v>
      </c>
      <c r="G23" s="3105"/>
    </row>
    <row r="24" spans="1:13" ht="19.5" customHeight="1">
      <c r="A24" s="3799"/>
      <c r="B24" s="3792"/>
      <c r="C24" s="3106" t="s">
        <v>2449</v>
      </c>
      <c r="D24" s="3107"/>
      <c r="E24" s="3108">
        <v>0.8</v>
      </c>
      <c r="F24" s="3105" t="s">
        <v>2450</v>
      </c>
      <c r="G24" s="3105"/>
    </row>
    <row r="25" spans="1:13" ht="19.5" customHeight="1" thickBot="1">
      <c r="A25" s="3800"/>
      <c r="B25" s="3793"/>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94" t="s">
        <v>2633</v>
      </c>
      <c r="B27" s="3791" t="s">
        <v>2614</v>
      </c>
      <c r="C27" s="3102" t="s">
        <v>2454</v>
      </c>
      <c r="D27" s="3103"/>
      <c r="E27" s="3104">
        <v>1</v>
      </c>
      <c r="F27" s="3105" t="s">
        <v>2455</v>
      </c>
      <c r="G27" s="3105"/>
    </row>
    <row r="28" spans="1:13" ht="19.5" customHeight="1">
      <c r="A28" s="3795"/>
      <c r="B28" s="3792"/>
      <c r="C28" s="3106" t="s">
        <v>2456</v>
      </c>
      <c r="D28" s="3107"/>
      <c r="E28" s="3108">
        <v>1</v>
      </c>
      <c r="F28" s="3105" t="s">
        <v>2457</v>
      </c>
      <c r="G28" s="3105"/>
    </row>
    <row r="29" spans="1:13" ht="19.5" customHeight="1">
      <c r="A29" s="3795"/>
      <c r="B29" s="3792"/>
      <c r="C29" s="3106" t="s">
        <v>2458</v>
      </c>
      <c r="D29" s="3107"/>
      <c r="E29" s="3108">
        <v>0.8</v>
      </c>
      <c r="F29" s="3105" t="s">
        <v>2459</v>
      </c>
      <c r="G29" s="3105"/>
    </row>
    <row r="30" spans="1:13" ht="19.5" customHeight="1">
      <c r="A30" s="3795"/>
      <c r="B30" s="3792"/>
      <c r="C30" s="3106" t="s">
        <v>2460</v>
      </c>
      <c r="D30" s="3107"/>
      <c r="E30" s="3108">
        <v>0.8</v>
      </c>
      <c r="F30" s="3105" t="s">
        <v>2461</v>
      </c>
      <c r="G30" s="3105"/>
    </row>
    <row r="31" spans="1:13" ht="19.5" customHeight="1">
      <c r="A31" s="3795"/>
      <c r="B31" s="3792"/>
      <c r="C31" s="3106" t="s">
        <v>2462</v>
      </c>
      <c r="D31" s="3107"/>
      <c r="E31" s="3108">
        <v>0.8</v>
      </c>
      <c r="F31" s="3105" t="s">
        <v>2463</v>
      </c>
      <c r="G31" s="3105"/>
    </row>
    <row r="32" spans="1:13" ht="19.5" customHeight="1">
      <c r="A32" s="3795"/>
      <c r="B32" s="3792"/>
      <c r="C32" s="3106" t="s">
        <v>2464</v>
      </c>
      <c r="D32" s="3107"/>
      <c r="E32" s="3108">
        <v>0.7</v>
      </c>
      <c r="F32" s="3105" t="s">
        <v>2465</v>
      </c>
      <c r="G32" s="3105"/>
    </row>
    <row r="33" spans="1:7" ht="19.5" customHeight="1">
      <c r="A33" s="3795"/>
      <c r="B33" s="3792"/>
      <c r="C33" s="3106" t="s">
        <v>2466</v>
      </c>
      <c r="D33" s="3107"/>
      <c r="E33" s="3108">
        <v>0.8</v>
      </c>
      <c r="F33" s="3105" t="s">
        <v>2467</v>
      </c>
      <c r="G33" s="3105"/>
    </row>
    <row r="34" spans="1:7" ht="19.5" customHeight="1">
      <c r="A34" s="3795"/>
      <c r="B34" s="3792"/>
      <c r="C34" s="3106" t="s">
        <v>2468</v>
      </c>
      <c r="D34" s="3107"/>
      <c r="E34" s="3108">
        <v>0.6</v>
      </c>
      <c r="F34" s="3105" t="s">
        <v>2469</v>
      </c>
      <c r="G34" s="3105"/>
    </row>
    <row r="35" spans="1:7" ht="19.5" customHeight="1">
      <c r="A35" s="3795"/>
      <c r="B35" s="3792"/>
      <c r="C35" s="3106" t="s">
        <v>2470</v>
      </c>
      <c r="D35" s="3107"/>
      <c r="E35" s="3108">
        <v>0.2</v>
      </c>
      <c r="F35" s="3105" t="s">
        <v>2471</v>
      </c>
      <c r="G35" s="3105"/>
    </row>
    <row r="36" spans="1:7" ht="19.5" customHeight="1">
      <c r="A36" s="3795"/>
      <c r="B36" s="3792"/>
      <c r="C36" s="3106" t="s">
        <v>2472</v>
      </c>
      <c r="D36" s="3107"/>
      <c r="E36" s="3108">
        <v>0.2</v>
      </c>
      <c r="F36" s="3105" t="s">
        <v>2473</v>
      </c>
      <c r="G36" s="3105"/>
    </row>
    <row r="37" spans="1:7" ht="19.5" customHeight="1">
      <c r="A37" s="3795"/>
      <c r="B37" s="3797" t="s">
        <v>2634</v>
      </c>
      <c r="C37" s="3106" t="s">
        <v>2474</v>
      </c>
      <c r="D37" s="3107"/>
      <c r="E37" s="3108">
        <v>0.6</v>
      </c>
      <c r="F37" s="3105" t="s">
        <v>2475</v>
      </c>
      <c r="G37" s="3105"/>
    </row>
    <row r="38" spans="1:7" ht="19.5" customHeight="1">
      <c r="A38" s="3795"/>
      <c r="B38" s="3792"/>
      <c r="C38" s="3106" t="s">
        <v>2476</v>
      </c>
      <c r="D38" s="3107"/>
      <c r="E38" s="3108">
        <v>0.6</v>
      </c>
      <c r="F38" s="3105" t="s">
        <v>2477</v>
      </c>
      <c r="G38" s="3105"/>
    </row>
    <row r="39" spans="1:7" ht="19.5" customHeight="1" thickBot="1">
      <c r="A39" s="3796"/>
      <c r="B39" s="3793"/>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98" t="s">
        <v>2612</v>
      </c>
      <c r="B41" s="3791" t="s">
        <v>2636</v>
      </c>
      <c r="C41" s="3102" t="s">
        <v>2481</v>
      </c>
      <c r="D41" s="3103"/>
      <c r="E41" s="3104">
        <v>1</v>
      </c>
      <c r="F41" s="3105" t="s">
        <v>2482</v>
      </c>
      <c r="G41" s="3105"/>
    </row>
    <row r="42" spans="1:7" ht="19.5" customHeight="1">
      <c r="A42" s="3799"/>
      <c r="B42" s="3792"/>
      <c r="C42" s="3106" t="s">
        <v>2483</v>
      </c>
      <c r="D42" s="3107"/>
      <c r="E42" s="3108">
        <v>1</v>
      </c>
      <c r="F42" s="3105" t="s">
        <v>2484</v>
      </c>
      <c r="G42" s="3105"/>
    </row>
    <row r="43" spans="1:7" ht="19.5" customHeight="1">
      <c r="A43" s="3799"/>
      <c r="B43" s="3801"/>
      <c r="C43" s="3106" t="s">
        <v>2485</v>
      </c>
      <c r="D43" s="3107"/>
      <c r="E43" s="3108">
        <v>1.5</v>
      </c>
      <c r="F43" s="3105" t="s">
        <v>2486</v>
      </c>
      <c r="G43" s="3105"/>
    </row>
    <row r="44" spans="1:7" ht="19.5" customHeight="1">
      <c r="A44" s="3799"/>
      <c r="B44" s="3117" t="s">
        <v>2637</v>
      </c>
      <c r="C44" s="3106" t="s">
        <v>2638</v>
      </c>
      <c r="D44" s="3107"/>
      <c r="E44" s="3108">
        <v>2</v>
      </c>
      <c r="F44" s="3105" t="s">
        <v>2487</v>
      </c>
      <c r="G44" s="3105"/>
    </row>
    <row r="45" spans="1:7" ht="19.5" customHeight="1">
      <c r="A45" s="3799"/>
      <c r="B45" s="3797" t="s">
        <v>2639</v>
      </c>
      <c r="C45" s="3106" t="s">
        <v>2488</v>
      </c>
      <c r="D45" s="3107"/>
      <c r="E45" s="3108">
        <v>1</v>
      </c>
      <c r="F45" s="3105" t="s">
        <v>2489</v>
      </c>
      <c r="G45" s="3105"/>
    </row>
    <row r="46" spans="1:7" ht="19.5" customHeight="1">
      <c r="A46" s="3799"/>
      <c r="B46" s="3792"/>
      <c r="C46" s="3106" t="s">
        <v>2490</v>
      </c>
      <c r="D46" s="3107"/>
      <c r="E46" s="3108">
        <v>1</v>
      </c>
      <c r="F46" s="3105" t="s">
        <v>2491</v>
      </c>
      <c r="G46" s="3105"/>
    </row>
    <row r="47" spans="1:7" ht="19.5" customHeight="1">
      <c r="A47" s="3799"/>
      <c r="B47" s="3792"/>
      <c r="C47" s="3106" t="s">
        <v>2492</v>
      </c>
      <c r="D47" s="3107"/>
      <c r="E47" s="3108">
        <v>1</v>
      </c>
      <c r="F47" s="3105" t="s">
        <v>2493</v>
      </c>
      <c r="G47" s="3105"/>
    </row>
    <row r="48" spans="1:7" ht="19.5" customHeight="1">
      <c r="A48" s="3799"/>
      <c r="B48" s="3792"/>
      <c r="C48" s="3106" t="s">
        <v>2494</v>
      </c>
      <c r="D48" s="3107"/>
      <c r="E48" s="3108">
        <v>1</v>
      </c>
      <c r="F48" s="3105" t="s">
        <v>2495</v>
      </c>
      <c r="G48" s="3105"/>
    </row>
    <row r="49" spans="1:7" ht="19.5" customHeight="1">
      <c r="A49" s="3799"/>
      <c r="B49" s="3792"/>
      <c r="C49" s="3106" t="s">
        <v>2496</v>
      </c>
      <c r="D49" s="3107"/>
      <c r="E49" s="3108">
        <v>1</v>
      </c>
      <c r="F49" s="3105" t="s">
        <v>2497</v>
      </c>
      <c r="G49" s="3105"/>
    </row>
    <row r="50" spans="1:7" ht="19.5" customHeight="1">
      <c r="A50" s="3799"/>
      <c r="B50" s="3792"/>
      <c r="C50" s="3106" t="s">
        <v>2498</v>
      </c>
      <c r="D50" s="3107"/>
      <c r="E50" s="3108">
        <v>1</v>
      </c>
      <c r="F50" s="3105" t="s">
        <v>2499</v>
      </c>
      <c r="G50" s="3105"/>
    </row>
    <row r="51" spans="1:7" ht="19.5" customHeight="1" thickBot="1">
      <c r="A51" s="3800"/>
      <c r="B51" s="3793"/>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97" t="s">
        <v>2653</v>
      </c>
      <c r="C73" s="3091" t="s">
        <v>2654</v>
      </c>
      <c r="D73" s="3091" t="s">
        <v>2655</v>
      </c>
      <c r="E73" s="3117">
        <v>0.2</v>
      </c>
      <c r="F73" s="3117">
        <v>25</v>
      </c>
    </row>
    <row r="74" spans="1:7" ht="24">
      <c r="A74" s="3117">
        <v>2</v>
      </c>
      <c r="B74" s="3792"/>
      <c r="C74" s="3091" t="s">
        <v>2656</v>
      </c>
      <c r="D74" s="3091" t="s">
        <v>2657</v>
      </c>
      <c r="E74" s="3117">
        <v>0.2</v>
      </c>
      <c r="F74" s="3117">
        <v>25</v>
      </c>
    </row>
    <row r="75" spans="1:7" ht="24">
      <c r="A75" s="3117">
        <v>3</v>
      </c>
      <c r="B75" s="3792"/>
      <c r="C75" s="3091" t="s">
        <v>2658</v>
      </c>
      <c r="D75" s="3091" t="s">
        <v>2659</v>
      </c>
      <c r="E75" s="3117">
        <v>0.2</v>
      </c>
      <c r="F75" s="3117">
        <v>25</v>
      </c>
    </row>
    <row r="76" spans="1:7" ht="13.5">
      <c r="A76" s="3117">
        <v>4</v>
      </c>
      <c r="B76" s="3792"/>
      <c r="C76" s="3091" t="s">
        <v>2660</v>
      </c>
      <c r="D76" s="3091" t="s">
        <v>2661</v>
      </c>
      <c r="E76" s="3117">
        <v>0.15</v>
      </c>
      <c r="F76" s="3117">
        <v>20</v>
      </c>
    </row>
    <row r="77" spans="1:7" ht="24">
      <c r="A77" s="3117">
        <v>5</v>
      </c>
      <c r="B77" s="3792"/>
      <c r="C77" s="3091" t="s">
        <v>2662</v>
      </c>
      <c r="D77" s="3091" t="s">
        <v>2663</v>
      </c>
      <c r="E77" s="3117">
        <v>0.15</v>
      </c>
      <c r="F77" s="3117">
        <v>20</v>
      </c>
    </row>
    <row r="78" spans="1:7" ht="24">
      <c r="A78" s="3117">
        <v>6</v>
      </c>
      <c r="B78" s="3792"/>
      <c r="C78" s="3091" t="s">
        <v>2664</v>
      </c>
      <c r="D78" s="3091" t="s">
        <v>2665</v>
      </c>
      <c r="E78" s="3117">
        <v>0.15</v>
      </c>
      <c r="F78" s="3117">
        <v>20</v>
      </c>
    </row>
    <row r="79" spans="1:7" ht="24">
      <c r="A79" s="3117">
        <v>7</v>
      </c>
      <c r="B79" s="3792"/>
      <c r="C79" s="3091" t="s">
        <v>2666</v>
      </c>
      <c r="D79" s="3091" t="s">
        <v>2667</v>
      </c>
      <c r="E79" s="3117">
        <v>0.15</v>
      </c>
      <c r="F79" s="3117">
        <v>20</v>
      </c>
    </row>
    <row r="80" spans="1:7" ht="24">
      <c r="A80" s="3117">
        <v>8</v>
      </c>
      <c r="B80" s="3792"/>
      <c r="C80" s="3091" t="s">
        <v>2668</v>
      </c>
      <c r="D80" s="3091" t="s">
        <v>2669</v>
      </c>
      <c r="E80" s="3117">
        <v>0.1</v>
      </c>
      <c r="F80" s="3117">
        <v>15</v>
      </c>
    </row>
    <row r="81" spans="1:6" ht="24">
      <c r="A81" s="3117">
        <v>9</v>
      </c>
      <c r="B81" s="3792"/>
      <c r="C81" s="3091" t="s">
        <v>2670</v>
      </c>
      <c r="D81" s="3091" t="s">
        <v>2671</v>
      </c>
      <c r="E81" s="3117">
        <v>0.1</v>
      </c>
      <c r="F81" s="3117">
        <v>15</v>
      </c>
    </row>
    <row r="82" spans="1:6" ht="24">
      <c r="A82" s="3117">
        <v>10</v>
      </c>
      <c r="B82" s="3792"/>
      <c r="C82" s="3091" t="s">
        <v>2672</v>
      </c>
      <c r="D82" s="3091" t="s">
        <v>2673</v>
      </c>
      <c r="E82" s="3117">
        <v>0.1</v>
      </c>
      <c r="F82" s="3117">
        <v>15</v>
      </c>
    </row>
    <row r="83" spans="1:6" ht="24">
      <c r="A83" s="3117">
        <v>11</v>
      </c>
      <c r="B83" s="3792"/>
      <c r="C83" s="3091" t="s">
        <v>2674</v>
      </c>
      <c r="D83" s="3091" t="s">
        <v>2675</v>
      </c>
      <c r="E83" s="3117">
        <v>0.1</v>
      </c>
      <c r="F83" s="3117">
        <v>15</v>
      </c>
    </row>
    <row r="84" spans="1:6" ht="24">
      <c r="A84" s="3117">
        <v>12</v>
      </c>
      <c r="B84" s="3792"/>
      <c r="C84" s="3091" t="s">
        <v>2676</v>
      </c>
      <c r="D84" s="3091" t="s">
        <v>2677</v>
      </c>
      <c r="E84" s="3117">
        <v>0.1</v>
      </c>
      <c r="F84" s="3117">
        <v>15</v>
      </c>
    </row>
    <row r="85" spans="1:6" ht="13.5">
      <c r="A85" s="3117">
        <v>13</v>
      </c>
      <c r="B85" s="3792"/>
      <c r="C85" s="3091" t="s">
        <v>2678</v>
      </c>
      <c r="D85" s="3091" t="s">
        <v>2679</v>
      </c>
      <c r="E85" s="3117">
        <v>0.1</v>
      </c>
      <c r="F85" s="3117">
        <v>15</v>
      </c>
    </row>
    <row r="86" spans="1:6" ht="13.5">
      <c r="A86" s="3117">
        <v>14</v>
      </c>
      <c r="B86" s="3792"/>
      <c r="C86" s="3091" t="s">
        <v>2680</v>
      </c>
      <c r="D86" s="3091" t="s">
        <v>2681</v>
      </c>
      <c r="E86" s="3117">
        <v>0.1</v>
      </c>
      <c r="F86" s="3117">
        <v>15</v>
      </c>
    </row>
    <row r="87" spans="1:6" ht="13.5">
      <c r="A87" s="3117">
        <v>15</v>
      </c>
      <c r="B87" s="3792"/>
      <c r="C87" s="3091" t="s">
        <v>2682</v>
      </c>
      <c r="D87" s="3091" t="s">
        <v>2683</v>
      </c>
      <c r="E87" s="3117">
        <v>0.1</v>
      </c>
      <c r="F87" s="3117">
        <v>15</v>
      </c>
    </row>
    <row r="88" spans="1:6" ht="24">
      <c r="A88" s="3117">
        <v>16</v>
      </c>
      <c r="B88" s="3792"/>
      <c r="C88" s="3091" t="s">
        <v>2684</v>
      </c>
      <c r="D88" s="3091" t="s">
        <v>2685</v>
      </c>
      <c r="E88" s="3117">
        <v>0.1</v>
      </c>
      <c r="F88" s="3117">
        <v>15</v>
      </c>
    </row>
    <row r="89" spans="1:6" ht="24">
      <c r="A89" s="3117">
        <v>17</v>
      </c>
      <c r="B89" s="3801"/>
      <c r="C89" s="3091" t="s">
        <v>2686</v>
      </c>
      <c r="D89" s="3091" t="s">
        <v>2687</v>
      </c>
      <c r="E89" s="3117">
        <v>0.1</v>
      </c>
      <c r="F89" s="3117">
        <v>15</v>
      </c>
    </row>
    <row r="90" spans="1:6" ht="13.5">
      <c r="A90" s="3117">
        <v>18</v>
      </c>
      <c r="B90" s="3797" t="s">
        <v>2688</v>
      </c>
      <c r="C90" s="3091" t="s">
        <v>2689</v>
      </c>
      <c r="D90" s="3091" t="s">
        <v>2690</v>
      </c>
      <c r="E90" s="3117">
        <v>0.2</v>
      </c>
      <c r="F90" s="3117">
        <v>25</v>
      </c>
    </row>
    <row r="91" spans="1:6" ht="24">
      <c r="A91" s="3117">
        <v>19</v>
      </c>
      <c r="B91" s="3792"/>
      <c r="C91" s="3091" t="s">
        <v>2691</v>
      </c>
      <c r="D91" s="3091" t="s">
        <v>2692</v>
      </c>
      <c r="E91" s="3117">
        <v>0.2</v>
      </c>
      <c r="F91" s="3117">
        <v>25</v>
      </c>
    </row>
    <row r="92" spans="1:6" ht="13.5">
      <c r="A92" s="3117">
        <v>20</v>
      </c>
      <c r="B92" s="3792"/>
      <c r="C92" s="3091" t="s">
        <v>2693</v>
      </c>
      <c r="D92" s="3091" t="s">
        <v>2694</v>
      </c>
      <c r="E92" s="3117">
        <v>0.15</v>
      </c>
      <c r="F92" s="3117">
        <v>20</v>
      </c>
    </row>
    <row r="93" spans="1:6" ht="13.5">
      <c r="A93" s="3117">
        <v>21</v>
      </c>
      <c r="B93" s="3792"/>
      <c r="C93" s="3091" t="s">
        <v>2695</v>
      </c>
      <c r="D93" s="3091" t="s">
        <v>2696</v>
      </c>
      <c r="E93" s="3117">
        <v>0.15</v>
      </c>
      <c r="F93" s="3117">
        <v>20</v>
      </c>
    </row>
    <row r="94" spans="1:6" ht="13.5">
      <c r="A94" s="3117">
        <v>22</v>
      </c>
      <c r="B94" s="3792"/>
      <c r="C94" s="3091" t="s">
        <v>2697</v>
      </c>
      <c r="D94" s="3091" t="s">
        <v>2698</v>
      </c>
      <c r="E94" s="3117">
        <v>0.15</v>
      </c>
      <c r="F94" s="3117">
        <v>20</v>
      </c>
    </row>
    <row r="95" spans="1:6" ht="36">
      <c r="A95" s="3117">
        <v>23</v>
      </c>
      <c r="B95" s="3792"/>
      <c r="C95" s="3091" t="s">
        <v>2699</v>
      </c>
      <c r="D95" s="3091" t="s">
        <v>2700</v>
      </c>
      <c r="E95" s="3117">
        <v>0.15</v>
      </c>
      <c r="F95" s="3117">
        <v>20</v>
      </c>
    </row>
    <row r="96" spans="1:6" ht="13.5">
      <c r="A96" s="3117">
        <v>24</v>
      </c>
      <c r="B96" s="3792"/>
      <c r="C96" s="3091" t="s">
        <v>2701</v>
      </c>
      <c r="D96" s="3091" t="s">
        <v>2702</v>
      </c>
      <c r="E96" s="3117">
        <v>0.1</v>
      </c>
      <c r="F96" s="3117">
        <v>15</v>
      </c>
    </row>
    <row r="97" spans="1:6" ht="13.5">
      <c r="A97" s="3117">
        <v>25</v>
      </c>
      <c r="B97" s="3792"/>
      <c r="C97" s="3091" t="s">
        <v>2703</v>
      </c>
      <c r="D97" s="3091" t="s">
        <v>2704</v>
      </c>
      <c r="E97" s="3117">
        <v>0.1</v>
      </c>
      <c r="F97" s="3117">
        <v>15</v>
      </c>
    </row>
    <row r="98" spans="1:6" ht="24">
      <c r="A98" s="3117">
        <v>26</v>
      </c>
      <c r="B98" s="3792"/>
      <c r="C98" s="3091" t="s">
        <v>2705</v>
      </c>
      <c r="D98" s="3091" t="s">
        <v>2706</v>
      </c>
      <c r="E98" s="3117">
        <v>0.1</v>
      </c>
      <c r="F98" s="3117">
        <v>15</v>
      </c>
    </row>
    <row r="99" spans="1:6" ht="24">
      <c r="A99" s="3117">
        <v>27</v>
      </c>
      <c r="B99" s="3792"/>
      <c r="C99" s="3091" t="s">
        <v>2707</v>
      </c>
      <c r="D99" s="3091" t="s">
        <v>2708</v>
      </c>
      <c r="E99" s="3117">
        <v>0.1</v>
      </c>
      <c r="F99" s="3117">
        <v>15</v>
      </c>
    </row>
    <row r="100" spans="1:6" ht="13.5">
      <c r="A100" s="3117">
        <v>28</v>
      </c>
      <c r="B100" s="3792"/>
      <c r="C100" s="3091" t="s">
        <v>2709</v>
      </c>
      <c r="D100" s="3091" t="s">
        <v>2710</v>
      </c>
      <c r="E100" s="3117">
        <v>0.1</v>
      </c>
      <c r="F100" s="3117">
        <v>15</v>
      </c>
    </row>
    <row r="101" spans="1:6" ht="13.5">
      <c r="A101" s="3117">
        <v>29</v>
      </c>
      <c r="B101" s="3792"/>
      <c r="C101" s="3091" t="s">
        <v>2711</v>
      </c>
      <c r="D101" s="3091" t="s">
        <v>2712</v>
      </c>
      <c r="E101" s="3117">
        <v>0.1</v>
      </c>
      <c r="F101" s="3117">
        <v>15</v>
      </c>
    </row>
    <row r="102" spans="1:6" ht="13.5">
      <c r="A102" s="3117">
        <v>30</v>
      </c>
      <c r="B102" s="3792"/>
      <c r="C102" s="3091" t="s">
        <v>2713</v>
      </c>
      <c r="D102" s="3091" t="s">
        <v>2714</v>
      </c>
      <c r="E102" s="3117">
        <v>0.1</v>
      </c>
      <c r="F102" s="3117">
        <v>15</v>
      </c>
    </row>
    <row r="103" spans="1:6" ht="24">
      <c r="A103" s="3117">
        <v>31</v>
      </c>
      <c r="B103" s="3792"/>
      <c r="C103" s="3091" t="s">
        <v>2715</v>
      </c>
      <c r="D103" s="3091" t="s">
        <v>2716</v>
      </c>
      <c r="E103" s="3117">
        <v>0.1</v>
      </c>
      <c r="F103" s="3117">
        <v>15</v>
      </c>
    </row>
    <row r="104" spans="1:6" ht="24">
      <c r="A104" s="3117">
        <v>32</v>
      </c>
      <c r="B104" s="3792"/>
      <c r="C104" s="3091" t="s">
        <v>2717</v>
      </c>
      <c r="D104" s="3091" t="s">
        <v>2718</v>
      </c>
      <c r="E104" s="3117">
        <v>0.1</v>
      </c>
      <c r="F104" s="3117">
        <v>15</v>
      </c>
    </row>
    <row r="105" spans="1:6" ht="24">
      <c r="A105" s="3117">
        <v>33</v>
      </c>
      <c r="B105" s="3792"/>
      <c r="C105" s="3091" t="s">
        <v>2719</v>
      </c>
      <c r="D105" s="3091" t="s">
        <v>2720</v>
      </c>
      <c r="E105" s="3117">
        <v>0.1</v>
      </c>
      <c r="F105" s="3117">
        <v>15</v>
      </c>
    </row>
    <row r="106" spans="1:6" ht="24">
      <c r="A106" s="3117">
        <v>34</v>
      </c>
      <c r="B106" s="3801"/>
      <c r="C106" s="3091" t="s">
        <v>2721</v>
      </c>
      <c r="D106" s="3091" t="s">
        <v>2722</v>
      </c>
      <c r="E106" s="3117">
        <v>0.1</v>
      </c>
      <c r="F106" s="3117">
        <v>15</v>
      </c>
    </row>
    <row r="107" spans="1:6" ht="24">
      <c r="A107" s="3117">
        <v>35</v>
      </c>
      <c r="B107" s="3797" t="s">
        <v>2723</v>
      </c>
      <c r="C107" s="3117" t="s">
        <v>2724</v>
      </c>
      <c r="D107" s="3091" t="s">
        <v>2725</v>
      </c>
      <c r="E107" s="3117">
        <v>0.15</v>
      </c>
      <c r="F107" s="3117">
        <v>20</v>
      </c>
    </row>
    <row r="108" spans="1:6" ht="13.5">
      <c r="A108" s="3117">
        <v>36</v>
      </c>
      <c r="B108" s="3792"/>
      <c r="C108" s="3117" t="s">
        <v>2726</v>
      </c>
      <c r="D108" s="3091" t="s">
        <v>2727</v>
      </c>
      <c r="E108" s="3117">
        <v>0.15</v>
      </c>
      <c r="F108" s="3117">
        <v>20</v>
      </c>
    </row>
    <row r="109" spans="1:6" ht="13.5">
      <c r="A109" s="3117">
        <v>37</v>
      </c>
      <c r="B109" s="3792"/>
      <c r="C109" s="3117" t="s">
        <v>2728</v>
      </c>
      <c r="D109" s="3091" t="s">
        <v>2729</v>
      </c>
      <c r="E109" s="3117">
        <v>0.15</v>
      </c>
      <c r="F109" s="3117">
        <v>20</v>
      </c>
    </row>
    <row r="110" spans="1:6" ht="13.5">
      <c r="A110" s="3117">
        <v>38</v>
      </c>
      <c r="B110" s="3792"/>
      <c r="C110" s="3117" t="s">
        <v>2730</v>
      </c>
      <c r="D110" s="3091" t="s">
        <v>2731</v>
      </c>
      <c r="E110" s="3117">
        <v>0.1</v>
      </c>
      <c r="F110" s="3117">
        <v>15</v>
      </c>
    </row>
    <row r="111" spans="1:6" ht="24">
      <c r="A111" s="3117">
        <v>39</v>
      </c>
      <c r="B111" s="3792"/>
      <c r="C111" s="3117" t="s">
        <v>2732</v>
      </c>
      <c r="D111" s="3091" t="s">
        <v>2733</v>
      </c>
      <c r="E111" s="3117">
        <v>0.1</v>
      </c>
      <c r="F111" s="3117">
        <v>15</v>
      </c>
    </row>
    <row r="112" spans="1:6" ht="24">
      <c r="A112" s="3117">
        <v>40</v>
      </c>
      <c r="B112" s="3801"/>
      <c r="C112" s="3117" t="s">
        <v>2734</v>
      </c>
      <c r="D112" s="3091" t="s">
        <v>2735</v>
      </c>
      <c r="E112" s="3117">
        <v>0.1</v>
      </c>
      <c r="F112" s="3117">
        <v>15</v>
      </c>
    </row>
    <row r="113" spans="1:6" ht="13.5">
      <c r="A113" s="3117">
        <v>41</v>
      </c>
      <c r="B113" s="3802" t="s">
        <v>2736</v>
      </c>
      <c r="C113" s="3117" t="s">
        <v>2737</v>
      </c>
      <c r="D113" s="3091" t="s">
        <v>2738</v>
      </c>
      <c r="E113" s="3117">
        <v>0.1</v>
      </c>
      <c r="F113" s="3117">
        <v>15</v>
      </c>
    </row>
    <row r="114" spans="1:6" ht="13.5">
      <c r="A114" s="3117">
        <v>42</v>
      </c>
      <c r="B114" s="3802"/>
      <c r="C114" s="3117" t="s">
        <v>2739</v>
      </c>
      <c r="D114" s="3091" t="s">
        <v>2740</v>
      </c>
      <c r="E114" s="3117">
        <v>0.1</v>
      </c>
      <c r="F114" s="3117">
        <v>15</v>
      </c>
    </row>
    <row r="115" spans="1:6" ht="24">
      <c r="A115" s="3117">
        <v>43</v>
      </c>
      <c r="B115" s="3802"/>
      <c r="C115" s="3117" t="s">
        <v>2741</v>
      </c>
      <c r="D115" s="3091" t="s">
        <v>2742</v>
      </c>
      <c r="E115" s="3117">
        <v>0.1</v>
      </c>
      <c r="F115" s="3117">
        <v>15</v>
      </c>
    </row>
    <row r="116" spans="1:6" ht="13.5">
      <c r="A116" s="3117">
        <v>44</v>
      </c>
      <c r="B116" s="3797" t="s">
        <v>2743</v>
      </c>
      <c r="C116" s="3117" t="s">
        <v>2744</v>
      </c>
      <c r="D116" s="3091" t="s">
        <v>2745</v>
      </c>
      <c r="E116" s="3117">
        <v>0.1</v>
      </c>
      <c r="F116" s="3117">
        <v>15</v>
      </c>
    </row>
    <row r="117" spans="1:6" ht="24">
      <c r="A117" s="3117">
        <v>45</v>
      </c>
      <c r="B117" s="3801"/>
      <c r="C117" s="3091" t="s">
        <v>2746</v>
      </c>
      <c r="D117" s="3091" t="s">
        <v>2747</v>
      </c>
      <c r="E117" s="3117">
        <v>0.1</v>
      </c>
      <c r="F117" s="3117">
        <v>15</v>
      </c>
    </row>
    <row r="118" spans="1:6" ht="24">
      <c r="A118" s="3117">
        <v>46</v>
      </c>
      <c r="B118" s="3797" t="s">
        <v>2748</v>
      </c>
      <c r="C118" s="3117" t="s">
        <v>2749</v>
      </c>
      <c r="D118" s="3091" t="s">
        <v>2750</v>
      </c>
      <c r="E118" s="3117">
        <v>0.1</v>
      </c>
      <c r="F118" s="3117">
        <v>15</v>
      </c>
    </row>
    <row r="119" spans="1:6" ht="24">
      <c r="A119" s="3117">
        <v>47</v>
      </c>
      <c r="B119" s="3801"/>
      <c r="C119" s="3117" t="s">
        <v>2751</v>
      </c>
      <c r="D119" s="3091" t="s">
        <v>2752</v>
      </c>
      <c r="E119" s="3117">
        <v>0.1</v>
      </c>
      <c r="F119" s="3117">
        <v>15</v>
      </c>
    </row>
    <row r="120" spans="1:6" ht="13.5">
      <c r="A120" s="3117">
        <v>48</v>
      </c>
      <c r="B120" s="3797" t="s">
        <v>2753</v>
      </c>
      <c r="C120" s="3117" t="s">
        <v>2754</v>
      </c>
      <c r="D120" s="3091" t="s">
        <v>2755</v>
      </c>
      <c r="E120" s="3117">
        <v>0.1</v>
      </c>
      <c r="F120" s="3117">
        <v>15</v>
      </c>
    </row>
    <row r="121" spans="1:6" ht="13.5">
      <c r="A121" s="3117">
        <v>49</v>
      </c>
      <c r="B121" s="3801"/>
      <c r="C121" s="3117" t="s">
        <v>2756</v>
      </c>
      <c r="D121" s="3091" t="s">
        <v>2757</v>
      </c>
      <c r="E121" s="3117">
        <v>0.1</v>
      </c>
      <c r="F121" s="3117">
        <v>15</v>
      </c>
    </row>
    <row r="122" spans="1:6" ht="24">
      <c r="A122" s="3117">
        <v>50</v>
      </c>
      <c r="B122" s="3802" t="s">
        <v>2758</v>
      </c>
      <c r="C122" s="3117" t="s">
        <v>2759</v>
      </c>
      <c r="D122" s="3091" t="s">
        <v>2760</v>
      </c>
      <c r="E122" s="3117">
        <v>0.1</v>
      </c>
      <c r="F122" s="3117">
        <v>15</v>
      </c>
    </row>
    <row r="123" spans="1:6" ht="24">
      <c r="A123" s="3117">
        <v>51</v>
      </c>
      <c r="B123" s="3802"/>
      <c r="C123" s="3117" t="s">
        <v>2761</v>
      </c>
      <c r="D123" s="3091" t="s">
        <v>2762</v>
      </c>
      <c r="E123" s="3117">
        <v>0.1</v>
      </c>
      <c r="F123" s="3117">
        <v>15</v>
      </c>
    </row>
    <row r="124" spans="1:6" ht="24">
      <c r="A124" s="3117">
        <v>52</v>
      </c>
      <c r="B124" s="3802" t="s">
        <v>2763</v>
      </c>
      <c r="C124" s="3117" t="s">
        <v>2764</v>
      </c>
      <c r="D124" s="3091" t="s">
        <v>2765</v>
      </c>
      <c r="E124" s="3117">
        <v>0.1</v>
      </c>
      <c r="F124" s="3117">
        <v>15</v>
      </c>
    </row>
    <row r="125" spans="1:6" ht="24">
      <c r="A125" s="3117">
        <v>53</v>
      </c>
      <c r="B125" s="3802"/>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802" t="s">
        <v>2771</v>
      </c>
      <c r="C127" s="3117" t="s">
        <v>2772</v>
      </c>
      <c r="D127" s="3091" t="s">
        <v>2773</v>
      </c>
      <c r="E127" s="3117">
        <v>0.1</v>
      </c>
      <c r="F127" s="3117">
        <v>15</v>
      </c>
    </row>
    <row r="128" spans="1:6" ht="13.5">
      <c r="A128" s="3117">
        <v>56</v>
      </c>
      <c r="B128" s="3802"/>
      <c r="C128" s="3117" t="s">
        <v>2774</v>
      </c>
      <c r="D128" s="3091" t="s">
        <v>2775</v>
      </c>
      <c r="E128" s="3117">
        <v>0.1</v>
      </c>
      <c r="F128" s="3117">
        <v>15</v>
      </c>
    </row>
    <row r="129" spans="1:6" ht="24">
      <c r="A129" s="3117">
        <v>57</v>
      </c>
      <c r="B129" s="3802"/>
      <c r="C129" s="3117" t="s">
        <v>2776</v>
      </c>
      <c r="D129" s="3091" t="s">
        <v>2777</v>
      </c>
      <c r="E129" s="3117">
        <v>0.1</v>
      </c>
      <c r="F129" s="3117">
        <v>15</v>
      </c>
    </row>
    <row r="130" spans="1:6" ht="24">
      <c r="A130" s="3117">
        <v>58</v>
      </c>
      <c r="B130" s="3802" t="s">
        <v>2778</v>
      </c>
      <c r="C130" s="3117" t="s">
        <v>2779</v>
      </c>
      <c r="D130" s="3091" t="s">
        <v>2780</v>
      </c>
      <c r="E130" s="3117">
        <v>0.1</v>
      </c>
      <c r="F130" s="3117">
        <v>15</v>
      </c>
    </row>
    <row r="131" spans="1:6" ht="13.5">
      <c r="A131" s="3117">
        <v>59</v>
      </c>
      <c r="B131" s="3802"/>
      <c r="C131" s="3117" t="s">
        <v>2781</v>
      </c>
      <c r="D131" s="3091" t="s">
        <v>2782</v>
      </c>
      <c r="E131" s="3117">
        <v>0.1</v>
      </c>
      <c r="F131" s="3117">
        <v>15</v>
      </c>
    </row>
    <row r="132" spans="1:6" ht="13.5">
      <c r="A132" s="3117">
        <v>60</v>
      </c>
      <c r="B132" s="3797" t="s">
        <v>2783</v>
      </c>
      <c r="C132" s="3117" t="s">
        <v>2784</v>
      </c>
      <c r="D132" s="3091" t="s">
        <v>2785</v>
      </c>
      <c r="E132" s="3117">
        <v>0.1</v>
      </c>
      <c r="F132" s="3117">
        <v>15</v>
      </c>
    </row>
    <row r="133" spans="1:6" ht="13.5">
      <c r="A133" s="3117">
        <v>61</v>
      </c>
      <c r="B133" s="3801"/>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802" t="s">
        <v>2791</v>
      </c>
      <c r="C135" s="3117" t="s">
        <v>2792</v>
      </c>
      <c r="D135" s="3091" t="s">
        <v>2793</v>
      </c>
      <c r="E135" s="3117">
        <v>0.1</v>
      </c>
      <c r="F135" s="3117">
        <v>15</v>
      </c>
    </row>
    <row r="136" spans="1:6" ht="13.5">
      <c r="A136" s="3117">
        <v>64</v>
      </c>
      <c r="B136" s="3802"/>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3" zoomScale="85" zoomScaleNormal="85" workbookViewId="0">
      <selection activeCell="G279" sqref="G279"/>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907</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3"/>
      <c r="B4" s="3478" t="s">
        <v>916</v>
      </c>
      <c r="C4" s="3478"/>
      <c r="D4" s="3478"/>
      <c r="E4" s="1493"/>
    </row>
    <row r="5" spans="1:5" ht="16.5" thickTop="1">
      <c r="A5" s="1491"/>
      <c r="B5" s="3476" t="s">
        <v>908</v>
      </c>
      <c r="C5" s="1494" t="s">
        <v>909</v>
      </c>
      <c r="D5" s="850">
        <f ca="1">结果表!H101</f>
        <v>215092</v>
      </c>
      <c r="E5" s="1491"/>
    </row>
    <row r="6" spans="1:5" ht="15.75">
      <c r="A6" s="1491"/>
      <c r="B6" s="3476"/>
      <c r="C6" s="1494" t="s">
        <v>910</v>
      </c>
      <c r="D6" s="850" t="str">
        <f ca="1">NUMBERSTRING(INT(D5*10000),2)&amp;"元整"</f>
        <v>贰拾壹亿伍仟零玖拾贰万元整</v>
      </c>
      <c r="E6" s="1491"/>
    </row>
    <row r="7" spans="1:5" ht="15.75">
      <c r="A7" s="1491"/>
      <c r="B7" s="3481"/>
      <c r="C7" s="1495" t="s">
        <v>911</v>
      </c>
      <c r="D7" s="851">
        <f ca="1">结果表!H102</f>
        <v>18850</v>
      </c>
      <c r="E7" s="1491"/>
    </row>
    <row r="8" spans="1:5" ht="15.75">
      <c r="A8" s="1491"/>
      <c r="B8" s="3482" t="str">
        <f>结果表!E103</f>
        <v>2.估价师知悉的法定优先受偿款</v>
      </c>
      <c r="C8" s="1496" t="s">
        <v>912</v>
      </c>
      <c r="D8" s="851">
        <f>结果表!H103</f>
        <v>0</v>
      </c>
      <c r="E8" s="1491"/>
    </row>
    <row r="9" spans="1:5" ht="15.75">
      <c r="A9" s="1491"/>
      <c r="B9" s="3484"/>
      <c r="C9" s="1494" t="s">
        <v>910</v>
      </c>
      <c r="D9" s="850" t="str">
        <f>NUMBERSTRING(INT(D8*10000),2)&amp;"元整"</f>
        <v>零元整</v>
      </c>
      <c r="E9" s="1491"/>
    </row>
    <row r="10" spans="1:5" ht="15">
      <c r="A10" s="1491"/>
      <c r="B10" s="1497" t="s">
        <v>915</v>
      </c>
      <c r="C10" s="1498" t="s">
        <v>913</v>
      </c>
      <c r="D10" s="852">
        <f>结果表!H104</f>
        <v>0</v>
      </c>
      <c r="E10" s="1491"/>
    </row>
    <row r="11" spans="1:5" ht="15">
      <c r="A11" s="1491"/>
      <c r="B11" s="1497" t="s">
        <v>917</v>
      </c>
      <c r="C11" s="1498" t="s">
        <v>918</v>
      </c>
      <c r="D11" s="852">
        <f>结果表!H105</f>
        <v>0</v>
      </c>
      <c r="E11" s="1491"/>
    </row>
    <row r="12" spans="1:5" ht="15">
      <c r="A12" s="1491"/>
      <c r="B12" s="1497" t="s">
        <v>919</v>
      </c>
      <c r="C12" s="1498" t="s">
        <v>918</v>
      </c>
      <c r="D12" s="852">
        <f>结果表!H106</f>
        <v>0</v>
      </c>
      <c r="E12" s="1491"/>
    </row>
    <row r="13" spans="1:5" ht="15.75">
      <c r="A13" s="1491"/>
      <c r="B13" s="3475" t="str">
        <f>结果表!E107</f>
        <v>3.房地产抵押价值</v>
      </c>
      <c r="C13" s="1499" t="s">
        <v>909</v>
      </c>
      <c r="D13" s="853">
        <f ca="1">结果表!H107</f>
        <v>215092</v>
      </c>
      <c r="E13" s="1491"/>
    </row>
    <row r="14" spans="1:5" ht="15.75">
      <c r="A14" s="1491"/>
      <c r="B14" s="3476"/>
      <c r="C14" s="1494" t="s">
        <v>910</v>
      </c>
      <c r="D14" s="850" t="str">
        <f ca="1">NUMBERSTRING(INT(D13*10000),2)&amp;"元整"</f>
        <v>贰拾壹亿伍仟零玖拾贰万元整</v>
      </c>
      <c r="E14" s="1491"/>
    </row>
    <row r="15" spans="1:5" ht="15">
      <c r="A15" s="1491"/>
      <c r="B15" s="3481"/>
      <c r="C15" s="1495" t="s">
        <v>920</v>
      </c>
      <c r="D15" s="859">
        <f ca="1">结果表!H108</f>
        <v>18850</v>
      </c>
      <c r="E15" s="1491"/>
    </row>
    <row r="16" spans="1:5" ht="15">
      <c r="A16" s="1491"/>
      <c r="B16" s="3482" t="str">
        <f>结果表!E109</f>
        <v>——</v>
      </c>
      <c r="C16" s="1499" t="s">
        <v>921</v>
      </c>
      <c r="D16" s="1500" t="str">
        <f>结果表!H109</f>
        <v>——</v>
      </c>
      <c r="E16" s="1491"/>
    </row>
    <row r="17" spans="1:5" ht="15.75">
      <c r="A17" s="1491"/>
      <c r="B17" s="3483"/>
      <c r="C17" s="1494" t="s">
        <v>922</v>
      </c>
      <c r="D17" s="850" t="e">
        <f>NUMBERSTRING(INT(D16*10000),2)&amp;"元整"</f>
        <v>#VALUE!</v>
      </c>
      <c r="E17" s="1491"/>
    </row>
    <row r="18" spans="1:5" ht="15">
      <c r="A18" s="1491"/>
      <c r="B18" s="3484"/>
      <c r="C18" s="1495" t="s">
        <v>911</v>
      </c>
      <c r="D18" s="859" t="str">
        <f>结果表!H110</f>
        <v>——</v>
      </c>
      <c r="E18" s="1491"/>
    </row>
    <row r="19" spans="1:5" ht="15.75">
      <c r="A19" s="1491"/>
      <c r="B19" s="3475" t="str">
        <f>结果表!E111</f>
        <v>——</v>
      </c>
      <c r="C19" s="1499" t="s">
        <v>909</v>
      </c>
      <c r="D19" s="851" t="str">
        <f>结果表!H111</f>
        <v>——</v>
      </c>
      <c r="E19" s="1491"/>
    </row>
    <row r="20" spans="1:5" ht="15.75">
      <c r="A20" s="1491"/>
      <c r="B20" s="3476"/>
      <c r="C20" s="1494" t="s">
        <v>922</v>
      </c>
      <c r="D20" s="850" t="e">
        <f>NUMBERSTRING(INT(D19*10000),2)&amp;"元整"</f>
        <v>#VALUE!</v>
      </c>
      <c r="E20" s="1491"/>
    </row>
    <row r="21" spans="1:5" ht="15.75" thickBot="1">
      <c r="A21" s="1491"/>
      <c r="B21" s="3477"/>
      <c r="C21" s="1501" t="s">
        <v>920</v>
      </c>
      <c r="D21" s="860" t="str">
        <f>结果表!H112</f>
        <v>——</v>
      </c>
      <c r="E21" s="1491"/>
    </row>
    <row r="22" spans="1:5" ht="15" thickTop="1">
      <c r="A22" s="1491"/>
      <c r="B22" s="1502" t="s">
        <v>923</v>
      </c>
      <c r="C22" s="1491"/>
      <c r="D22" s="1491"/>
      <c r="E22" s="1491"/>
    </row>
    <row r="23" spans="1:5">
      <c r="A23" s="1491"/>
      <c r="B23" s="1491"/>
      <c r="C23" s="1491"/>
      <c r="D23" s="1491"/>
      <c r="E23" s="1491"/>
    </row>
    <row r="24" spans="1:5" ht="18.75">
      <c r="A24" s="1503"/>
      <c r="B24" s="1504" t="s">
        <v>914</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69294</v>
      </c>
      <c r="C2" s="2" t="s">
        <v>106</v>
      </c>
      <c r="D2" s="199"/>
      <c r="E2" s="199"/>
      <c r="F2" s="199"/>
      <c r="G2" s="199"/>
    </row>
    <row r="3" spans="1:7" s="200" customFormat="1" ht="18" customHeight="1" thickBot="1">
      <c r="A3" s="203" t="s">
        <v>58</v>
      </c>
      <c r="B3" s="204">
        <f ca="1">ROUND(B2*10000/'数据-汇总表'!E3,0)</f>
        <v>6073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114107.98000000001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2282</v>
      </c>
      <c r="D19" s="849">
        <f>'数据-汇总表'!E3</f>
        <v>114107.98000000001</v>
      </c>
      <c r="E19" s="211">
        <f>'数据-取费表'!B31</f>
        <v>200</v>
      </c>
      <c r="F19" s="231"/>
      <c r="G19" s="1" t="s">
        <v>436</v>
      </c>
    </row>
    <row r="20" spans="1:7" s="214" customFormat="1" ht="13.5" customHeight="1">
      <c r="A20" s="777" t="s">
        <v>419</v>
      </c>
      <c r="B20" s="210" t="s">
        <v>77</v>
      </c>
      <c r="C20" s="232">
        <f>ROUND((C5+C19)*F20,0)</f>
        <v>458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1454</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144</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4670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4670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31932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35670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31950</v>
      </c>
      <c r="D34" s="217"/>
      <c r="E34" s="220"/>
      <c r="F34" s="257">
        <f>IF('数据-取费表'!B24=0,1,'数据-取费表'!N16)</f>
        <v>1</v>
      </c>
      <c r="G34" s="219" t="s">
        <v>89</v>
      </c>
    </row>
    <row r="35" spans="1:7" ht="13.5" customHeight="1">
      <c r="A35" s="780" t="s">
        <v>351</v>
      </c>
      <c r="B35" s="215" t="s">
        <v>33</v>
      </c>
      <c r="C35" s="220">
        <f>ROUND(C34*F35,0)</f>
        <v>959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2282</v>
      </c>
      <c r="D37" s="217">
        <f>'数据-汇总表'!E3</f>
        <v>114107.98000000001</v>
      </c>
      <c r="E37" s="249">
        <f>'数据-取费表'!B35</f>
        <v>200</v>
      </c>
      <c r="F37" s="259"/>
      <c r="G37" s="261" t="s">
        <v>92</v>
      </c>
    </row>
    <row r="38" spans="1:7" ht="13.5" customHeight="1">
      <c r="A38" s="780" t="s">
        <v>354</v>
      </c>
      <c r="B38" s="215" t="s">
        <v>36</v>
      </c>
      <c r="C38" s="220">
        <f>ROUND(C34*F38,0)</f>
        <v>479</v>
      </c>
      <c r="D38" s="220"/>
      <c r="E38" s="220"/>
      <c r="F38" s="259">
        <f>'数据-取费表'!B36</f>
        <v>1.4999999999999999E-2</v>
      </c>
      <c r="G38" s="219" t="s">
        <v>90</v>
      </c>
    </row>
    <row r="39" spans="1:7" s="214" customFormat="1" ht="13.5" customHeight="1">
      <c r="A39" s="777" t="s">
        <v>338</v>
      </c>
      <c r="B39" s="210" t="s">
        <v>77</v>
      </c>
      <c r="C39" s="232">
        <f>ROUND(C33*F20,0)</f>
        <v>713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1127</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1105</v>
      </c>
      <c r="D42" s="238"/>
      <c r="E42" s="238"/>
      <c r="F42" s="239"/>
      <c r="G42" s="3667" t="s">
        <v>94</v>
      </c>
    </row>
    <row r="43" spans="1:7" ht="13.5" customHeight="1">
      <c r="A43" s="780" t="s">
        <v>347</v>
      </c>
      <c r="B43" s="215" t="s">
        <v>426</v>
      </c>
      <c r="C43" s="238">
        <f ca="1">ROUND(IF('数据-取费表'!B22&lt;=1,C39*F22*'数据-取费表'!B21/2,C39*(POWER((1+F22),'数据-取费表'!B21/2)-1)),0)</f>
        <v>22</v>
      </c>
      <c r="D43" s="238"/>
      <c r="E43" s="238"/>
      <c r="F43" s="239"/>
      <c r="G43" s="3668"/>
    </row>
    <row r="44" spans="1:7" ht="13.5" customHeight="1">
      <c r="A44" s="780"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7" t="s">
        <v>341</v>
      </c>
      <c r="B45" s="244" t="s">
        <v>85</v>
      </c>
      <c r="C45" s="245">
        <f>C46</f>
        <v>7277</v>
      </c>
      <c r="D45" s="235">
        <f>C47</f>
        <v>4.0000000000000001E-3</v>
      </c>
      <c r="E45" s="236" t="s">
        <v>102</v>
      </c>
      <c r="F45" s="246"/>
      <c r="G45" s="247" t="s">
        <v>434</v>
      </c>
    </row>
    <row r="46" spans="1:7" s="214" customFormat="1" ht="13.5" customHeight="1">
      <c r="A46" s="780" t="s">
        <v>349</v>
      </c>
      <c r="B46" s="248" t="s">
        <v>427</v>
      </c>
      <c r="C46" s="249">
        <f>ROUND((C33+C39)*F27,0)</f>
        <v>7277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48522</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37362</v>
      </c>
      <c r="D51" s="232"/>
      <c r="E51" s="232"/>
      <c r="F51" s="264"/>
      <c r="G51" s="234" t="s">
        <v>37</v>
      </c>
    </row>
    <row r="52" spans="1:7" s="208" customFormat="1" ht="16.5" thickBot="1">
      <c r="A52" s="265" t="s">
        <v>38</v>
      </c>
      <c r="B52" s="266"/>
      <c r="C52" s="267">
        <f ca="1">C31+C51</f>
        <v>69294</v>
      </c>
      <c r="D52" s="266"/>
      <c r="E52" s="266"/>
      <c r="F52" s="266"/>
      <c r="G52" s="268"/>
    </row>
    <row r="55" spans="1:7" ht="15">
      <c r="B55" s="270" t="s">
        <v>39</v>
      </c>
      <c r="C55" s="271"/>
    </row>
    <row r="56" spans="1:7">
      <c r="B56" s="273" t="s">
        <v>40</v>
      </c>
      <c r="C56" s="274">
        <f ca="1">ROUND(C51/C52,3)</f>
        <v>0.53900000000000003</v>
      </c>
    </row>
    <row r="57" spans="1:7">
      <c r="B57" s="273" t="s">
        <v>41</v>
      </c>
      <c r="C57" s="275">
        <f ca="1">1-C56</f>
        <v>0.46099999999999997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5" t="s">
        <v>2845</v>
      </c>
      <c r="B1" s="3805"/>
      <c r="C1" s="3805"/>
      <c r="D1" s="3805"/>
      <c r="E1" s="3805"/>
      <c r="F1" s="3805"/>
      <c r="G1" s="3806"/>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803" t="s">
        <v>2872</v>
      </c>
      <c r="B3" s="3229"/>
      <c r="C3" s="3230" t="s">
        <v>2813</v>
      </c>
      <c r="D3" s="3230" t="s">
        <v>2873</v>
      </c>
      <c r="E3" s="3230" t="s">
        <v>2815</v>
      </c>
      <c r="F3" s="3230" t="s">
        <v>2874</v>
      </c>
      <c r="G3" s="3230" t="s">
        <v>2633</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804"/>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7" t="s">
        <v>3187</v>
      </c>
      <c r="B1" s="3807"/>
    </row>
    <row r="2" spans="1:7" ht="14.25" thickBot="1">
      <c r="A2" s="3254"/>
      <c r="B2" s="3254"/>
    </row>
    <row r="3" spans="1:7" ht="14.25" thickBot="1">
      <c r="A3" s="3254"/>
      <c r="B3" s="3254"/>
      <c r="C3" s="3255" t="s">
        <v>2813</v>
      </c>
      <c r="D3" s="3255" t="s">
        <v>2873</v>
      </c>
      <c r="E3" s="3255" t="s">
        <v>2815</v>
      </c>
      <c r="F3" s="3255" t="s">
        <v>2874</v>
      </c>
      <c r="G3" s="3255" t="s">
        <v>2633</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8" t="s">
        <v>3238</v>
      </c>
      <c r="B1" s="3808"/>
      <c r="C1" s="3808"/>
      <c r="D1" s="3808"/>
      <c r="E1" s="3808"/>
      <c r="F1" s="3809"/>
    </row>
    <row r="2" spans="1:6">
      <c r="A2" s="3290" t="s">
        <v>3239</v>
      </c>
      <c r="B2" s="3291"/>
      <c r="C2" s="3291"/>
      <c r="D2" s="3291"/>
      <c r="E2" s="3291"/>
      <c r="F2" s="3291"/>
    </row>
    <row r="3" spans="1:6">
      <c r="A3" s="3290" t="s">
        <v>3240</v>
      </c>
      <c r="B3" s="3291"/>
      <c r="C3" s="3291"/>
      <c r="D3" s="3291"/>
      <c r="E3" s="3291"/>
      <c r="F3" s="3292" t="s">
        <v>3241</v>
      </c>
    </row>
    <row r="4" spans="1:6">
      <c r="A4" s="3293" t="s">
        <v>671</v>
      </c>
      <c r="B4" s="3293" t="s">
        <v>672</v>
      </c>
      <c r="C4" s="3293" t="s">
        <v>21</v>
      </c>
      <c r="D4" s="3293" t="s">
        <v>673</v>
      </c>
      <c r="E4" s="3293" t="s">
        <v>3</v>
      </c>
      <c r="F4" s="3293" t="s">
        <v>3242</v>
      </c>
    </row>
    <row r="5" spans="1:6">
      <c r="A5" s="3294" t="s">
        <v>674</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E49" sqref="AE49"/>
    </sheetView>
  </sheetViews>
  <sheetFormatPr defaultRowHeight="13.5"/>
  <cols>
    <col min="1" max="1" width="13.875" customWidth="1"/>
    <col min="11" max="17" width="0" hidden="1" customWidth="1"/>
    <col min="25" max="30" width="0" hidden="1" customWidth="1"/>
  </cols>
  <sheetData>
    <row r="1" spans="1:30">
      <c r="A1" s="3220">
        <f>基准地价修正!G23</f>
        <v>45002</v>
      </c>
      <c r="B1" s="3209" t="s">
        <v>2844</v>
      </c>
      <c r="C1" s="3210"/>
      <c r="D1" s="3210"/>
      <c r="E1" s="3210"/>
      <c r="F1" s="3210"/>
      <c r="G1" s="3210"/>
      <c r="H1" s="3210"/>
      <c r="I1" s="3210"/>
      <c r="J1" s="3164"/>
      <c r="K1" s="3210" t="s">
        <v>454</v>
      </c>
      <c r="L1" s="3210"/>
      <c r="M1" s="3210"/>
      <c r="N1" s="3210"/>
      <c r="O1" s="3210"/>
      <c r="P1" s="3210"/>
      <c r="Q1" s="3164"/>
      <c r="R1" s="3810" t="s">
        <v>456</v>
      </c>
      <c r="S1" s="3811"/>
      <c r="T1" s="3811"/>
      <c r="U1" s="3811"/>
      <c r="V1" s="3811"/>
      <c r="W1" s="3811"/>
      <c r="X1" s="3164"/>
      <c r="Y1" s="3810" t="s">
        <v>457</v>
      </c>
      <c r="Z1" s="3811"/>
      <c r="AA1" s="3811"/>
      <c r="AB1" s="3811"/>
      <c r="AC1" s="3811"/>
      <c r="AD1" s="3811"/>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3376</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3377</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3375</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2822</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2823</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ROUND(IF([5]项目基本情况!B8="出让",SUMPRODUCT(PRODUCT(1+K9:K16)),SUMPRODUCT(PRODUCT(1+K9:K15))),4)</f>
        <v>1.0565</v>
      </c>
      <c r="S9" s="3191">
        <f>ROUND(IF([5]项目基本情况!B8="出让",SUMPRODUCT(PRODUCT(1+L9:L16)),SUMPRODUCT(PRODUCT(1+L9:L15))),4)</f>
        <v>1.0250999999999999</v>
      </c>
      <c r="T9" s="3191">
        <f>ROUND(IF([5]项目基本情况!B8="出让",SUMPRODUCT(PRODUCT(1+M9:M16)),SUMPRODUCT(PRODUCT(1+M9:M15))),4)</f>
        <v>1.0145</v>
      </c>
      <c r="U9" s="3191">
        <f>ROUND(IF([5]项目基本情况!B8="出让",SUMPRODUCT(PRODUCT(1+N9:N16)),SUMPRODUCT(PRODUCT(1+N9:N15))),4)</f>
        <v>1.0618000000000001</v>
      </c>
      <c r="V9" s="3191">
        <f>ROUND(IF([5]项目基本情况!B8="出让",SUMPRODUCT(PRODUCT(1+O9:O16)),SUMPRODUCT(PRODUCT(1+O9:O15))),4)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ROUND(IF([5]项目基本情况!B8="出让",SUMPRODUCT(PRODUCT(1+K10:K16)),SUMPRODUCT(PRODUCT(1+K10:K15))),4)</f>
        <v>1.05</v>
      </c>
      <c r="S10" s="3182">
        <f>ROUND(IF([5]项目基本情况!B8="出让",SUMPRODUCT(PRODUCT(1+L10:L16)),SUMPRODUCT(PRODUCT(1+L10:L15))),4)</f>
        <v>1.0229999999999999</v>
      </c>
      <c r="T10" s="3182">
        <f>ROUND(IF([5]项目基本情况!B8="出让",SUMPRODUCT(PRODUCT(1+M10:M16)),SUMPRODUCT(PRODUCT(1+M10:M15))),4)</f>
        <v>1.0134000000000001</v>
      </c>
      <c r="U10" s="3182">
        <f>ROUND(IF([5]项目基本情况!B8="出让",SUMPRODUCT(PRODUCT(1+N10:N16)),SUMPRODUCT(PRODUCT(1+N10:N15))),4)</f>
        <v>1.0545</v>
      </c>
      <c r="V10" s="3182">
        <f>ROUND(IF([5]项目基本情况!B8="出让",SUMPRODUCT(PRODUCT(1+O10:O16)),SUMPRODUCT(PRODUCT(1+O10:O15))),4)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ROUND(IF([5]项目基本情况!B8="出让",SUMPRODUCT(PRODUCT(1+K11:K16)),SUMPRODUCT(PRODUCT(1+K11:K15))),4)</f>
        <v>1.0430999999999999</v>
      </c>
      <c r="S11" s="3182">
        <f>ROUND(IF([5]项目基本情况!B8="出让",SUMPRODUCT(PRODUCT(1+L11:L16)),SUMPRODUCT(PRODUCT(1+L11:L15))),4)</f>
        <v>1.0197000000000001</v>
      </c>
      <c r="T11" s="3182">
        <f>ROUND(IF([5]项目基本情况!B8="出让",SUMPRODUCT(PRODUCT(1+M11:M16)),SUMPRODUCT(PRODUCT(1+M11:M15))),4)</f>
        <v>1.0109999999999999</v>
      </c>
      <c r="U11" s="3182">
        <f>ROUND(IF([5]项目基本情况!B8="出让",SUMPRODUCT(PRODUCT(1+N11:N16)),SUMPRODUCT(PRODUCT(1+N11:N15))),4)</f>
        <v>1.0468999999999999</v>
      </c>
      <c r="V11" s="3182">
        <f>ROUND(IF([5]项目基本情况!B8="出让",SUMPRODUCT(PRODUCT(1+O11:O16)),SUMPRODUCT(PRODUCT(1+O11:O15))),4)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ROUND(IF([5]项目基本情况!B8="出让",SUMPRODUCT(PRODUCT(1+K12:K16)),SUMPRODUCT(PRODUCT(1+K12:K15))),4)</f>
        <v>1.0335000000000001</v>
      </c>
      <c r="S12" s="3182">
        <f>ROUND(IF([5]项目基本情况!B8="出让",SUMPRODUCT(PRODUCT(1+L12:L16)),SUMPRODUCT(PRODUCT(1+L12:L15))),4)</f>
        <v>1.0182</v>
      </c>
      <c r="T12" s="3182">
        <f>ROUND(IF([5]项目基本情况!B8="出让",SUMPRODUCT(PRODUCT(1+M12:M16)),SUMPRODUCT(PRODUCT(1+M12:M15))),4)</f>
        <v>1.0108999999999999</v>
      </c>
      <c r="U12" s="3182">
        <f>ROUND(IF([5]项目基本情况!B8="出让",SUMPRODUCT(PRODUCT(1+N12:N16)),SUMPRODUCT(PRODUCT(1+N12:N15))),4)</f>
        <v>1.0361</v>
      </c>
      <c r="V12" s="3182">
        <f>ROUND(IF([5]项目基本情况!B8="出让",SUMPRODUCT(PRODUCT(1+O12:O16)),SUMPRODUCT(PRODUCT(1+O12:O15))),4)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ROUND(IF([5]项目基本情况!B8="出让",SUMPRODUCT(PRODUCT(1+K13:K16)),SUMPRODUCT(PRODUCT(1+K13:K15))),4)</f>
        <v>1.0244</v>
      </c>
      <c r="S13" s="3182">
        <f>ROUND(IF([5]项目基本情况!B8="出让",SUMPRODUCT(PRODUCT(1+L13:L16)),SUMPRODUCT(PRODUCT(1+L13:L15))),4)</f>
        <v>1.0138</v>
      </c>
      <c r="T13" s="3182">
        <f>ROUND(IF([5]项目基本情况!B8="出让",SUMPRODUCT(PRODUCT(1+M13:M16)),SUMPRODUCT(PRODUCT(1+M13:M15))),4)</f>
        <v>1.0072000000000001</v>
      </c>
      <c r="U13" s="3182">
        <f>ROUND(IF([5]项目基本情况!B8="出让",SUMPRODUCT(PRODUCT(1+N13:N16)),SUMPRODUCT(PRODUCT(1+N13:N15))),4)</f>
        <v>1.0262</v>
      </c>
      <c r="V13" s="3182">
        <f>ROUND(IF([5]项目基本情况!B8="出让",SUMPRODUCT(PRODUCT(1+O13:O16)),SUMPRODUCT(PRODUCT(1+O13:O15))),4)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ROUND(IF([5]项目基本情况!B8="出让",SUMPRODUCT(PRODUCT(1+K14:K16)),SUMPRODUCT(PRODUCT(1+K14:K15))),4)</f>
        <v>1.0139</v>
      </c>
      <c r="S14" s="3182">
        <f>ROUND(IF([5]项目基本情况!B8="出让",SUMPRODUCT(PRODUCT(1+L14:L16)),SUMPRODUCT(PRODUCT(1+L14:L15))),4)</f>
        <v>1.0113000000000001</v>
      </c>
      <c r="T14" s="3182">
        <f>ROUND(IF([5]项目基本情况!B8="出让",SUMPRODUCT(PRODUCT(1+M14:M16)),SUMPRODUCT(PRODUCT(1+M14:M15))),4)</f>
        <v>1.0065</v>
      </c>
      <c r="U14" s="3182">
        <f>ROUND(IF([5]项目基本情况!B8="出让",SUMPRODUCT(PRODUCT(1+N14:N16)),SUMPRODUCT(PRODUCT(1+N14:N15))),4)</f>
        <v>1.0143</v>
      </c>
      <c r="V14" s="3182">
        <f>ROUND(IF([5]项目基本情况!B8="出让",SUMPRODUCT(PRODUCT(1+O14:O16)),SUMPRODUCT(PRODUCT(1+O14:O15))),4)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ROUND(IF([5]项目基本情况!B8="出让",SUMPRODUCT(PRODUCT(1+K15:K16)),SUMPRODUCT(PRODUCT(1+K15:K15))),4)</f>
        <v>1.0092000000000001</v>
      </c>
      <c r="S15" s="3182">
        <f>ROUND(IF([5]项目基本情况!B8="出让",SUMPRODUCT(PRODUCT(1+L15:L16)),SUMPRODUCT(PRODUCT(1+L15:L15))),4)</f>
        <v>1.0072000000000001</v>
      </c>
      <c r="T15" s="3182">
        <f>ROUND(IF([5]项目基本情况!B8="出让",SUMPRODUCT(PRODUCT(1+M15:M16)),SUMPRODUCT(PRODUCT(1+M15:M15))),4)</f>
        <v>1.0041</v>
      </c>
      <c r="U15" s="3182">
        <f>ROUND(IF([5]项目基本情况!B8="出让",SUMPRODUCT(PRODUCT(1+N15:N16)),SUMPRODUCT(PRODUCT(1+N15:N15))),4)</f>
        <v>1.0095000000000001</v>
      </c>
      <c r="V15" s="3182">
        <f>ROUND(IF([5]项目基本情况!B8="出让",SUMPRODUCT(PRODUCT(1+O15:O16)),SUMPRODUCT(PRODUCT(1+O15:O15))),4)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3373</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10" t="s">
        <v>2832</v>
      </c>
      <c r="S21" s="3811"/>
      <c r="T21" s="3811"/>
      <c r="U21" s="3811"/>
      <c r="V21" s="3811"/>
      <c r="W21" s="3811"/>
      <c r="X21" s="3164"/>
      <c r="Y21" s="3810" t="s">
        <v>2833</v>
      </c>
      <c r="Z21" s="3811"/>
      <c r="AA21" s="3811"/>
      <c r="AB21" s="3811"/>
      <c r="AC21" s="3811"/>
      <c r="AD21" s="3811"/>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3376</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ROUND(IF([5]项目基本情况!$B$8="出让",SUMPRODUCT(PRODUCT(1+L25:L$36)),SUMPRODUCT(PRODUCT(1+L25:L$35))),4)</f>
        <v>1.0286999999999999</v>
      </c>
      <c r="T25" s="3182">
        <f>ROUND(IF([5]项目基本情况!$B$8="出让",SUMPRODUCT(PRODUCT(1+M25:M$36)),SUMPRODUCT(PRODUCT(1+M25:M$35))),4)</f>
        <v>1.0164</v>
      </c>
      <c r="U25" s="3182">
        <f>ROUND(IF([5]项目基本情况!$B$8="出让",SUMPRODUCT(PRODUCT(1+N25:N$36)),SUMPRODUCT(PRODUCT(1+N25:N$35))),4)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3377</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ROUND(IF([5]项目基本情况!$B$8="出让",SUMPRODUCT(PRODUCT(1+L26:L$36)),SUMPRODUCT(PRODUCT(1+L26:L$35))),4)</f>
        <v>1.0286999999999999</v>
      </c>
      <c r="T26" s="3182">
        <f>ROUND(IF([5]项目基本情况!$B$8="出让",SUMPRODUCT(PRODUCT(1+M26:M$36)),SUMPRODUCT(PRODUCT(1+M26:M$35))),4)</f>
        <v>1.0164</v>
      </c>
      <c r="U26" s="3182">
        <f>ROUND(IF([5]项目基本情况!$B$8="出让",SUMPRODUCT(PRODUCT(1+N26:N$36)),SUMPRODUCT(PRODUCT(1+N26:N$35))),4)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3375</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ROUND(IF([5]项目基本情况!$B$8="出让",SUMPRODUCT(PRODUCT(1+L27:L$36)),SUMPRODUCT(PRODUCT(1+L27:L$35))),4)</f>
        <v>1.0286999999999999</v>
      </c>
      <c r="T27" s="3182">
        <f>ROUND(IF([5]项目基本情况!$B$8="出让",SUMPRODUCT(PRODUCT(1+M27:M$36)),SUMPRODUCT(PRODUCT(1+M27:M$35))),4)</f>
        <v>1.0164</v>
      </c>
      <c r="U27" s="3182">
        <f>ROUND(IF([5]项目基本情况!$B$8="出让",SUMPRODUCT(PRODUCT(1+N27:N$36)),SUMPRODUCT(PRODUCT(1+N27:N$35))),4)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2822</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ROUND(IF([5]项目基本情况!$B$8="出让",SUMPRODUCT(PRODUCT(1+L28:L$36)),SUMPRODUCT(PRODUCT(1+L28:L$35))),4)</f>
        <v>1.0286999999999999</v>
      </c>
      <c r="T28" s="3182">
        <f>ROUND(IF([5]项目基本情况!$B$8="出让",SUMPRODUCT(PRODUCT(1+M28:M$36)),SUMPRODUCT(PRODUCT(1+M28:M$35))),4)</f>
        <v>1.0164</v>
      </c>
      <c r="U28" s="3182">
        <f>ROUND(IF([5]项目基本情况!$B$8="出让",SUMPRODUCT(PRODUCT(1+N28:N$36)),SUMPRODUCT(PRODUCT(1+N28:N$35))),4)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3371</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ROUND(IF([5]项目基本情况!$B$8="出让",SUMPRODUCT(PRODUCT(1+L29:L$36)),SUMPRODUCT(PRODUCT(1+L29:L$35))),4)</f>
        <v>1.0286999999999999</v>
      </c>
      <c r="T29" s="3191">
        <f>ROUND(IF([5]项目基本情况!$B$8="出让",SUMPRODUCT(PRODUCT(1+M29:M$36)),SUMPRODUCT(PRODUCT(1+M29:M$35))),4)</f>
        <v>1.0164</v>
      </c>
      <c r="U29" s="3191">
        <f>ROUND(IF([5]项目基本情况!$B$8="出让",SUMPRODUCT(PRODUCT(1+N29:N$36)),SUMPRODUCT(PRODUCT(1+N29:N$35))),4)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3372</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ROUND(IF([5]项目基本情况!$B$8="出让",SUMPRODUCT(PRODUCT(1+L30:L$36)),SUMPRODUCT(PRODUCT(1+L30:L$35))),4)</f>
        <v>1.0241</v>
      </c>
      <c r="T30" s="3182">
        <f>ROUND(IF([5]项目基本情况!$B$8="出让",SUMPRODUCT(PRODUCT(1+M30:M$36)),SUMPRODUCT(PRODUCT(1+M30:M$35))),4)</f>
        <v>1.0144</v>
      </c>
      <c r="U30" s="3182">
        <f>ROUND(IF([5]项目基本情况!$B$8="出让",SUMPRODUCT(PRODUCT(1+N30:N$36)),SUMPRODUCT(PRODUCT(1+N30:N$35))),4)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ROUND(IF([5]项目基本情况!$B$8="出让",SUMPRODUCT(PRODUCT(1+L31:L$36)),SUMPRODUCT(PRODUCT(1+L31:L$35))),4)</f>
        <v>1.0210999999999999</v>
      </c>
      <c r="T31" s="3182">
        <f>ROUND(IF([5]项目基本情况!$B$8="出让",SUMPRODUCT(PRODUCT(1+M31:M$36)),SUMPRODUCT(PRODUCT(1+M31:M$35))),4)</f>
        <v>1.0114000000000001</v>
      </c>
      <c r="U31" s="3182">
        <f>ROUND(IF([5]项目基本情况!$B$8="出让",SUMPRODUCT(PRODUCT(1+N31:N$36)),SUMPRODUCT(PRODUCT(1+N31:N$35))),4)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ROUND(IF([5]项目基本情况!$B$8="出让",SUMPRODUCT(PRODUCT(1+L32:L$36)),SUMPRODUCT(PRODUCT(1+L32:L$35))),4)</f>
        <v>1.0222</v>
      </c>
      <c r="T32" s="3182">
        <f>ROUND(IF([5]项目基本情况!$B$8="出让",SUMPRODUCT(PRODUCT(1+M32:M$36)),SUMPRODUCT(PRODUCT(1+M32:M$35))),4)</f>
        <v>1.0127999999999999</v>
      </c>
      <c r="U32" s="3182">
        <f>ROUND(IF([5]项目基本情况!$B$8="出让",SUMPRODUCT(PRODUCT(1+N32:N$36)),SUMPRODUCT(PRODUCT(1+N32:N$35))),4)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ROUND(IF([5]项目基本情况!$B$8="出让",SUMPRODUCT(PRODUCT(1+L33:L$36)),SUMPRODUCT(PRODUCT(1+L33:L$35))),4)</f>
        <v>1.0161</v>
      </c>
      <c r="T33" s="3182">
        <f>ROUND(IF([5]项目基本情况!$B$8="出让",SUMPRODUCT(PRODUCT(1+M33:M$36)),SUMPRODUCT(PRODUCT(1+M33:M$35))),4)</f>
        <v>1.0082</v>
      </c>
      <c r="U33" s="3182">
        <f>ROUND(IF([5]项目基本情况!$B$8="出让",SUMPRODUCT(PRODUCT(1+N33:N$36)),SUMPRODUCT(PRODUCT(1+N33:N$35))),4)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ROUND(IF([5]项目基本情况!$B$8="出让",SUMPRODUCT(PRODUCT(1+L34:L$36)),SUMPRODUCT(PRODUCT(1+L34:L$35))),4)</f>
        <v>1.0102</v>
      </c>
      <c r="T34" s="3182">
        <f>ROUND(IF([5]项目基本情况!$B$8="出让",SUMPRODUCT(PRODUCT(1+M34:M$36)),SUMPRODUCT(PRODUCT(1+M34:M$35))),4)</f>
        <v>1.0074000000000001</v>
      </c>
      <c r="U34" s="3182">
        <f>ROUND(IF([5]项目基本情况!$B$8="出让",SUMPRODUCT(PRODUCT(1+N34:N$36)),SUMPRODUCT(PRODUCT(1+N34:N$35))),4)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ROUND(IF([5]项目基本情况!$B$8="出让",SUMPRODUCT(PRODUCT(1+L35:L$36)),SUMPRODUCT(PRODUCT(1+L35:L$35))),4)</f>
        <v>1.0055000000000001</v>
      </c>
      <c r="T35" s="3182">
        <f>ROUND(IF([5]项目基本情况!$B$8="出让",SUMPRODUCT(PRODUCT(1+M35:M$36)),SUMPRODUCT(PRODUCT(1+M35:M$35))),4)</f>
        <v>1.0045999999999999</v>
      </c>
      <c r="U35" s="3182">
        <f>ROUND(IF([5]项目基本情况!$B$8="出让",SUMPRODUCT(PRODUCT(1+N35:N$36)),SUMPRODUCT(PRODUCT(1+N35:N$35))),4)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7" t="s">
        <v>452</v>
      </c>
      <c r="C1" s="3817"/>
      <c r="D1" s="3817"/>
      <c r="E1" s="3817"/>
      <c r="F1" s="3817"/>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2" customFormat="1" ht="14.25" thickBot="1">
      <c r="B2" s="2173" t="s">
        <v>458</v>
      </c>
      <c r="C2" s="2173" t="s">
        <v>459</v>
      </c>
      <c r="D2" s="2174" t="s">
        <v>460</v>
      </c>
      <c r="E2" s="2174" t="s">
        <v>461</v>
      </c>
      <c r="F2" s="2173" t="s">
        <v>462</v>
      </c>
      <c r="G2" s="2175"/>
      <c r="I2" s="2173" t="s">
        <v>458</v>
      </c>
      <c r="J2" s="2174" t="s">
        <v>675</v>
      </c>
      <c r="K2" s="2174" t="s">
        <v>308</v>
      </c>
      <c r="L2" s="2173" t="s">
        <v>462</v>
      </c>
      <c r="N2" s="2173" t="s">
        <v>458</v>
      </c>
      <c r="O2" s="2174" t="s">
        <v>675</v>
      </c>
      <c r="P2" s="2174" t="s">
        <v>308</v>
      </c>
      <c r="Q2" s="2173" t="s">
        <v>462</v>
      </c>
      <c r="S2" s="2173" t="s">
        <v>458</v>
      </c>
      <c r="T2" s="2174" t="s">
        <v>675</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676</v>
      </c>
      <c r="B27" s="2206">
        <f t="shared" si="232"/>
        <v>419.31181600000002</v>
      </c>
      <c r="C27" s="2206">
        <f t="shared" si="233"/>
        <v>313.95436800000004</v>
      </c>
      <c r="D27" s="2206">
        <f t="shared" si="234"/>
        <v>313.95436800000004</v>
      </c>
      <c r="E27" s="2206">
        <f t="shared" si="235"/>
        <v>596.63028431999999</v>
      </c>
      <c r="F27" s="2206">
        <f t="shared" si="236"/>
        <v>274.74220703999998</v>
      </c>
      <c r="G27" s="381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45002</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2312</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927</v>
      </c>
      <c r="B2" s="3486" t="s">
        <v>928</v>
      </c>
      <c r="C2" s="3486" t="s">
        <v>929</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854" t="s">
        <v>924</v>
      </c>
      <c r="E3" s="854" t="s">
        <v>930</v>
      </c>
      <c r="F3" s="854" t="s">
        <v>924</v>
      </c>
      <c r="G3" s="854" t="s">
        <v>925</v>
      </c>
      <c r="H3" s="854" t="s">
        <v>924</v>
      </c>
      <c r="I3" s="854" t="s">
        <v>925</v>
      </c>
    </row>
    <row r="4" spans="1:9" ht="15">
      <c r="A4" s="1505" t="str">
        <f>项目基本情况!S2</f>
        <v>北京市房地产</v>
      </c>
      <c r="B4" s="854">
        <f>项目基本情况!C17</f>
        <v>114107.98000000001</v>
      </c>
      <c r="C4" s="854">
        <f>项目基本情况!C18</f>
        <v>236852.67</v>
      </c>
      <c r="D4" s="854">
        <f ca="1">结果表!D118</f>
        <v>177729</v>
      </c>
      <c r="E4" s="854">
        <f ca="1">结果表!E118</f>
        <v>15576</v>
      </c>
      <c r="F4" s="854">
        <f ca="1">结果表!F118</f>
        <v>37363</v>
      </c>
      <c r="G4" s="854">
        <f ca="1">结果表!G118</f>
        <v>3274</v>
      </c>
      <c r="H4" s="854">
        <f ca="1">结果表!H118</f>
        <v>215092</v>
      </c>
      <c r="I4" s="854">
        <f ca="1">结果表!I118</f>
        <v>18850</v>
      </c>
    </row>
    <row r="5" spans="1:9" ht="30" customHeight="1">
      <c r="A5" s="3487" t="s">
        <v>926</v>
      </c>
      <c r="B5" s="3487"/>
      <c r="C5" s="3487"/>
      <c r="D5" s="3487" t="str">
        <f ca="1">结果表!D119</f>
        <v>壹拾柒亿柒仟柒佰贰拾玖万元整</v>
      </c>
      <c r="E5" s="3487"/>
      <c r="F5" s="3487" t="str">
        <f ca="1">结果表!F119</f>
        <v>叁亿柒仟叁佰陆拾叁万元整</v>
      </c>
      <c r="G5" s="3487"/>
      <c r="H5" s="3487" t="str">
        <f ca="1">结果表!H119</f>
        <v>贰拾壹亿伍仟零玖拾贰万元整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926</v>
      </c>
      <c r="B7" s="3487"/>
      <c r="C7" s="3487"/>
      <c r="D7" s="3489" t="str">
        <f>结果表!D121</f>
        <v>零元整</v>
      </c>
      <c r="E7" s="3490"/>
      <c r="F7" s="3490"/>
      <c r="G7" s="3490"/>
      <c r="H7" s="3490"/>
      <c r="I7" s="3491"/>
    </row>
    <row r="8" spans="1:9" ht="15.75">
      <c r="A8" s="3488" t="str">
        <f>结果表!A122</f>
        <v>房地产抵押价值</v>
      </c>
      <c r="B8" s="3488"/>
      <c r="C8" s="3488"/>
      <c r="D8" s="3488">
        <f ca="1">结果表!D122</f>
        <v>215092</v>
      </c>
      <c r="E8" s="3488"/>
      <c r="F8" s="3488"/>
      <c r="G8" s="3488"/>
      <c r="H8" s="3488"/>
      <c r="I8" s="3488"/>
    </row>
    <row r="9" spans="1:9" ht="15">
      <c r="A9" s="3487" t="s">
        <v>926</v>
      </c>
      <c r="B9" s="3487"/>
      <c r="C9" s="3487"/>
      <c r="D9" s="3487" t="str">
        <f ca="1">结果表!D123</f>
        <v>贰拾壹亿伍仟零玖拾贰万元整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926</v>
      </c>
      <c r="B11" s="3487"/>
      <c r="C11" s="3487"/>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75" thickBot="1">
      <c r="A13" s="3492" t="s">
        <v>926</v>
      </c>
      <c r="B13" s="3492"/>
      <c r="C13" s="3492"/>
      <c r="D13" s="3492" t="e">
        <f>结果表!D127</f>
        <v>#VALUE!</v>
      </c>
      <c r="E13" s="3492"/>
      <c r="F13" s="3492"/>
      <c r="G13" s="3492"/>
      <c r="H13" s="3492"/>
      <c r="I13" s="3492"/>
    </row>
    <row r="14" spans="1:9" ht="15" thickTop="1">
      <c r="A14" s="3493" t="s">
        <v>931</v>
      </c>
      <c r="B14" s="3493"/>
      <c r="C14" s="3493"/>
      <c r="D14" s="3493"/>
      <c r="E14" s="3493"/>
      <c r="F14" s="3493"/>
      <c r="G14" s="3493"/>
      <c r="H14" s="3493"/>
      <c r="I14" s="3493"/>
    </row>
    <row r="16" spans="1:9" ht="18.75">
      <c r="A16" s="1506" t="s">
        <v>914</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948</v>
      </c>
      <c r="B1" s="3494"/>
      <c r="C1" s="3494"/>
      <c r="D1" s="3494"/>
    </row>
    <row r="2" spans="1:4" ht="18">
      <c r="A2" s="3495" t="s">
        <v>932</v>
      </c>
      <c r="B2" s="3495"/>
      <c r="C2" s="3495"/>
      <c r="D2" s="3495"/>
    </row>
    <row r="3" spans="1:4" ht="18.75">
      <c r="A3" s="1509" t="s">
        <v>933</v>
      </c>
      <c r="B3" s="1509" t="s">
        <v>934</v>
      </c>
      <c r="C3" s="1509" t="s">
        <v>935</v>
      </c>
      <c r="D3" s="1509" t="s">
        <v>936</v>
      </c>
    </row>
    <row r="4" spans="1:4" ht="56.25" customHeight="1">
      <c r="A4" s="1510">
        <f>项目基本情况!B4</f>
        <v>0</v>
      </c>
      <c r="B4" s="1511">
        <f>项目基本情况!C4</f>
        <v>0</v>
      </c>
      <c r="C4" s="1512"/>
      <c r="D4" s="1513" t="s">
        <v>937</v>
      </c>
    </row>
    <row r="5" spans="1:4" ht="56.25" customHeight="1">
      <c r="A5" s="1510">
        <f>项目基本情况!D4</f>
        <v>0</v>
      </c>
      <c r="B5" s="1511">
        <f>项目基本情况!E4</f>
        <v>0</v>
      </c>
      <c r="C5" s="1514"/>
      <c r="D5" s="1513" t="s">
        <v>937</v>
      </c>
    </row>
    <row r="6" spans="1:4" ht="18">
      <c r="A6" s="3495" t="s">
        <v>938</v>
      </c>
      <c r="B6" s="3495"/>
      <c r="C6" s="3495"/>
      <c r="D6" s="3495"/>
    </row>
    <row r="7" spans="1:4" ht="18.75">
      <c r="A7" s="1509" t="s">
        <v>933</v>
      </c>
      <c r="B7" s="1511" t="s">
        <v>939</v>
      </c>
      <c r="C7" s="1509" t="s">
        <v>935</v>
      </c>
      <c r="D7" s="1509" t="s">
        <v>936</v>
      </c>
    </row>
    <row r="8" spans="1:4" ht="56.25" customHeight="1">
      <c r="A8" s="1515" t="s">
        <v>390</v>
      </c>
      <c r="B8" s="1515" t="s">
        <v>0</v>
      </c>
      <c r="C8" s="1512"/>
      <c r="D8" s="1513" t="s">
        <v>937</v>
      </c>
    </row>
    <row r="9" spans="1:4">
      <c r="A9" s="675"/>
      <c r="B9" s="675"/>
      <c r="C9" s="675"/>
      <c r="D9" s="675"/>
    </row>
    <row r="10" spans="1:4" ht="18.75">
      <c r="A10" s="1516" t="s">
        <v>940</v>
      </c>
      <c r="B10" s="675"/>
      <c r="C10" s="675"/>
      <c r="D10" s="675"/>
    </row>
    <row r="11" spans="1:4" ht="30" customHeight="1">
      <c r="A11" s="3496" t="s">
        <v>941</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942</v>
      </c>
      <c r="B16" s="3500"/>
      <c r="C16" s="3500"/>
      <c r="D16" s="3500"/>
    </row>
    <row r="17" spans="1:4" ht="144" customHeight="1">
      <c r="A17" s="3500" t="s">
        <v>943</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944</v>
      </c>
      <c r="B22" s="3502"/>
      <c r="C22" s="3502"/>
      <c r="D22" s="3502"/>
    </row>
    <row r="23" spans="1:4">
      <c r="A23" s="1517"/>
      <c r="B23" s="1489"/>
      <c r="C23" s="1489"/>
      <c r="D23" s="1489"/>
    </row>
    <row r="24" spans="1:4">
      <c r="A24" s="1517"/>
      <c r="B24" s="1489"/>
      <c r="C24" s="1489"/>
      <c r="D24" s="1489"/>
    </row>
    <row r="25" spans="1:4" ht="18.75">
      <c r="A25" s="1518" t="s">
        <v>945</v>
      </c>
    </row>
    <row r="26" spans="1:4" ht="18">
      <c r="A26" s="1487"/>
    </row>
    <row r="27" spans="1:4" ht="18.75">
      <c r="A27" s="1487" t="s">
        <v>946</v>
      </c>
    </row>
    <row r="30" spans="1:4" ht="18.75">
      <c r="D30" s="1518" t="s">
        <v>947</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949</v>
      </c>
    </row>
    <row r="3" spans="1:7">
      <c r="A3" s="1523" t="s">
        <v>55</v>
      </c>
      <c r="B3" s="1507" t="s">
        <v>950</v>
      </c>
      <c r="G3" s="1524"/>
    </row>
    <row r="4" spans="1:7">
      <c r="G4" s="1524"/>
    </row>
    <row r="5" spans="1:7">
      <c r="A5" s="1526" t="s">
        <v>46</v>
      </c>
      <c r="B5" s="1507" t="s">
        <v>951</v>
      </c>
      <c r="G5" s="1524"/>
    </row>
    <row r="6" spans="1:7">
      <c r="G6" s="1524"/>
    </row>
    <row r="7" spans="1:7">
      <c r="A7" s="1527" t="s">
        <v>108</v>
      </c>
      <c r="B7" s="1507" t="s">
        <v>952</v>
      </c>
      <c r="G7" s="1524"/>
    </row>
    <row r="8" spans="1:7">
      <c r="G8" s="1524"/>
    </row>
    <row r="9" spans="1:7">
      <c r="A9" s="1528" t="s">
        <v>47</v>
      </c>
      <c r="B9" s="1507" t="s">
        <v>953</v>
      </c>
    </row>
    <row r="11" spans="1:7">
      <c r="A11" s="1529" t="s">
        <v>48</v>
      </c>
      <c r="B11" s="1530" t="s">
        <v>45</v>
      </c>
    </row>
    <row r="13" spans="1:7">
      <c r="A13" s="1531" t="s">
        <v>954</v>
      </c>
    </row>
    <row r="15" spans="1:7" ht="13.5">
      <c r="A15" s="3508" t="s">
        <v>955</v>
      </c>
      <c r="B15" s="3503" t="s">
        <v>109</v>
      </c>
      <c r="C15" s="3504"/>
    </row>
    <row r="16" spans="1:7" ht="13.5">
      <c r="A16" s="3509"/>
      <c r="B16" s="3503" t="s">
        <v>42</v>
      </c>
      <c r="C16" s="3504"/>
    </row>
    <row r="17" spans="1:3" ht="13.5">
      <c r="A17" s="3509"/>
      <c r="B17" s="3506" t="s">
        <v>956</v>
      </c>
      <c r="C17" s="1532" t="s">
        <v>955</v>
      </c>
    </row>
    <row r="18" spans="1:3" ht="13.5">
      <c r="A18" s="3509"/>
      <c r="B18" s="3506"/>
      <c r="C18" s="1532" t="s">
        <v>957</v>
      </c>
    </row>
    <row r="19" spans="1:3" ht="13.5">
      <c r="A19" s="3509"/>
      <c r="B19" s="3506"/>
      <c r="C19" s="1532" t="s">
        <v>958</v>
      </c>
    </row>
    <row r="20" spans="1:3" ht="13.5">
      <c r="A20" s="3510"/>
      <c r="B20" s="3505" t="s">
        <v>959</v>
      </c>
      <c r="C20" s="3504"/>
    </row>
    <row r="21" spans="1:3" ht="13.5">
      <c r="A21" s="1533" t="s">
        <v>960</v>
      </c>
      <c r="B21" s="1534"/>
      <c r="C21" s="1535"/>
    </row>
    <row r="22" spans="1:3" ht="13.5">
      <c r="A22" s="3507" t="s">
        <v>961</v>
      </c>
      <c r="B22" s="3505" t="s">
        <v>962</v>
      </c>
      <c r="C22" s="3504"/>
    </row>
    <row r="23" spans="1:3" ht="13.5">
      <c r="A23" s="3507"/>
      <c r="B23" s="3505" t="s">
        <v>963</v>
      </c>
      <c r="C23" s="3504"/>
    </row>
    <row r="24" spans="1:3" ht="13.5">
      <c r="A24" s="3507"/>
      <c r="B24" s="3505" t="s">
        <v>964</v>
      </c>
      <c r="C24" s="3504"/>
    </row>
    <row r="25" spans="1:3" ht="13.5">
      <c r="A25" s="3507"/>
      <c r="B25" s="3506" t="s">
        <v>965</v>
      </c>
      <c r="C25" s="1532" t="s">
        <v>966</v>
      </c>
    </row>
    <row r="26" spans="1:3" ht="13.5">
      <c r="A26" s="3507"/>
      <c r="B26" s="3506"/>
      <c r="C26" s="1532" t="s">
        <v>967</v>
      </c>
    </row>
    <row r="27" spans="1:3" ht="13.5">
      <c r="A27" s="3507"/>
      <c r="B27" s="3506"/>
      <c r="C27" s="1532" t="s">
        <v>968</v>
      </c>
    </row>
    <row r="28" spans="1:3" ht="13.5">
      <c r="A28" s="3507"/>
      <c r="B28" s="3506"/>
      <c r="C28" s="1532" t="s">
        <v>969</v>
      </c>
    </row>
    <row r="29" spans="1:3" ht="13.5">
      <c r="A29" s="3507"/>
      <c r="B29" s="3506"/>
      <c r="C29" s="1532" t="s">
        <v>970</v>
      </c>
    </row>
    <row r="30" spans="1:3" ht="13.5">
      <c r="A30" s="3507"/>
      <c r="B30" s="3506"/>
      <c r="C30" s="1532" t="s">
        <v>971</v>
      </c>
    </row>
    <row r="31" spans="1:3" ht="13.5">
      <c r="A31" s="3507"/>
      <c r="B31" s="3506"/>
      <c r="C31" s="1532" t="s">
        <v>972</v>
      </c>
    </row>
    <row r="32" spans="1:3" ht="13.5">
      <c r="A32" s="3507"/>
      <c r="B32" s="3506"/>
      <c r="C32" s="1532" t="s">
        <v>973</v>
      </c>
    </row>
    <row r="33" spans="1:3" ht="13.5">
      <c r="A33" s="3507"/>
      <c r="B33" s="3506"/>
      <c r="C33" s="1532" t="s">
        <v>974</v>
      </c>
    </row>
    <row r="34" spans="1:3">
      <c r="A34" s="1536" t="s">
        <v>49</v>
      </c>
    </row>
    <row r="37" spans="1:3">
      <c r="A37" s="1536" t="s">
        <v>975</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45005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2159</v>
      </c>
      <c r="B17" s="3511"/>
      <c r="C17" s="3511"/>
      <c r="D17" s="3511"/>
      <c r="E17" s="3511"/>
      <c r="F17" s="3511"/>
      <c r="G17" s="3511"/>
      <c r="H17" s="3511"/>
    </row>
    <row r="18" spans="1:8" ht="24" customHeight="1">
      <c r="A18" s="3512" t="s">
        <v>2160</v>
      </c>
      <c r="B18" s="3512"/>
      <c r="C18" s="3512"/>
      <c r="D18" s="2343"/>
      <c r="E18" s="3513" t="s">
        <v>2161</v>
      </c>
      <c r="F18" s="3512"/>
      <c r="G18" s="351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2023-03-20T02:30:39Z</dcterms:modified>
</cp:coreProperties>
</file>