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479 北京市朝阳区南郎家园18号楼19层2113\"/>
    </mc:Choice>
  </mc:AlternateContent>
  <xr:revisionPtr revIDLastSave="0" documentId="13_ncr:1_{2BBC1B31-64D7-4506-ACE8-ECEA1D939DB6}" xr6:coauthVersionLast="45" xr6:coauthVersionMax="45" xr10:uidLastSave="{00000000-0000-0000-0000-000000000000}"/>
  <bookViews>
    <workbookView xWindow="-120" yWindow="-120" windowWidth="21840" windowHeight="131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B3" i="81"/>
  <c r="B4" i="81" s="1"/>
  <c r="G7" i="21" l="1"/>
  <c r="G33" i="21"/>
  <c r="E33" i="21"/>
  <c r="E7" i="21"/>
  <c r="F179" i="80"/>
  <c r="F178" i="80"/>
  <c r="F177" i="80"/>
  <c r="G47" i="21" s="1"/>
  <c r="F176" i="80"/>
  <c r="E47" i="21" s="1"/>
  <c r="I37" i="21" l="1"/>
  <c r="G37" i="21"/>
  <c r="E37" i="21"/>
  <c r="F90" i="21"/>
  <c r="E90" i="21"/>
  <c r="D90" i="21"/>
  <c r="C90" i="21"/>
  <c r="Y6" i="1"/>
  <c r="N18" i="1"/>
  <c r="F19" i="6"/>
  <c r="AH6" i="1" s="1"/>
  <c r="I11" i="21" l="1"/>
  <c r="G11" i="21"/>
  <c r="E11" i="21"/>
  <c r="O59" i="21"/>
  <c r="N59" i="21"/>
  <c r="M59" i="21"/>
  <c r="K59" i="21"/>
  <c r="J59" i="21"/>
  <c r="H59" i="21"/>
  <c r="G59" i="21"/>
  <c r="E59" i="21"/>
  <c r="D59" i="21"/>
  <c r="I5" i="21"/>
  <c r="G5" i="21"/>
  <c r="E5" i="2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D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c r="O39" i="71"/>
  <c r="Y39" i="71"/>
  <c r="Z39" i="71" s="1"/>
  <c r="N39" i="71"/>
  <c r="Q38" i="71"/>
  <c r="P38" i="71"/>
  <c r="AA38" i="71" s="1"/>
  <c r="O38" i="71"/>
  <c r="N38" i="71"/>
  <c r="X38" i="71" s="1"/>
  <c r="Q37" i="71"/>
  <c r="F38" i="71" s="1"/>
  <c r="P37" i="71"/>
  <c r="AA37" i="71" s="1"/>
  <c r="O37" i="71"/>
  <c r="N37" i="71"/>
  <c r="D37" i="71"/>
  <c r="Q36" i="71"/>
  <c r="AB36" i="71" s="1"/>
  <c r="P36" i="71"/>
  <c r="O36" i="71"/>
  <c r="Y36" i="71" s="1"/>
  <c r="Z36" i="71" s="1"/>
  <c r="N36" i="71"/>
  <c r="Q35" i="71"/>
  <c r="AB35" i="71"/>
  <c r="P35" i="71"/>
  <c r="O35" i="71"/>
  <c r="N35" i="71"/>
  <c r="Q34" i="71"/>
  <c r="AB26" i="71" s="1"/>
  <c r="P34" i="71"/>
  <c r="O34" i="71"/>
  <c r="Y34" i="71" s="1"/>
  <c r="Z34" i="71" s="1"/>
  <c r="N34" i="71"/>
  <c r="X34" i="71" s="1"/>
  <c r="Q33" i="71"/>
  <c r="F34" i="71" s="1"/>
  <c r="P33" i="71"/>
  <c r="AA31" i="71" s="1"/>
  <c r="O33" i="71"/>
  <c r="N33" i="71"/>
  <c r="D33" i="71"/>
  <c r="Q32" i="71"/>
  <c r="P32" i="71"/>
  <c r="O32" i="71"/>
  <c r="N32" i="71"/>
  <c r="X29" i="71" s="1"/>
  <c r="Q31" i="71"/>
  <c r="AB31" i="71"/>
  <c r="P31" i="71"/>
  <c r="O31" i="71"/>
  <c r="Y31" i="71" s="1"/>
  <c r="Z31" i="71" s="1"/>
  <c r="N31" i="71"/>
  <c r="Q30" i="71"/>
  <c r="P30" i="71"/>
  <c r="O30" i="71"/>
  <c r="N30" i="71"/>
  <c r="Q29" i="71"/>
  <c r="P29" i="71"/>
  <c r="O29" i="71"/>
  <c r="N29" i="71"/>
  <c r="D29" i="71"/>
  <c r="O28" i="71"/>
  <c r="C28" i="71" s="1"/>
  <c r="N28" i="71"/>
  <c r="B30" i="71"/>
  <c r="B31" i="71" s="1"/>
  <c r="E38" i="71"/>
  <c r="E39" i="71" s="1"/>
  <c r="E40" i="71" s="1"/>
  <c r="U40" i="71" s="1"/>
  <c r="E34" i="71"/>
  <c r="E35" i="71" s="1"/>
  <c r="E36" i="71" s="1"/>
  <c r="U36" i="71" s="1"/>
  <c r="AA33" i="71"/>
  <c r="Y29" i="71"/>
  <c r="Z29" i="71" s="1"/>
  <c r="AA30" i="71"/>
  <c r="AA32" i="71"/>
  <c r="C34" i="71"/>
  <c r="C35" i="71"/>
  <c r="C36" i="71" s="1"/>
  <c r="D36" i="71" s="1"/>
  <c r="X35" i="71"/>
  <c r="C38" i="71"/>
  <c r="D38" i="71" s="1"/>
  <c r="F51" i="71"/>
  <c r="F52" i="71" s="1"/>
  <c r="V52" i="71" s="1"/>
  <c r="Y27" i="71"/>
  <c r="Z27" i="71" s="1"/>
  <c r="B28" i="71"/>
  <c r="B27" i="71" s="1"/>
  <c r="B26" i="71" s="1"/>
  <c r="X28" i="71"/>
  <c r="D34" i="71"/>
  <c r="C43" i="71"/>
  <c r="C44" i="71" s="1"/>
  <c r="D44" i="71" s="1"/>
  <c r="C47" i="71"/>
  <c r="D47" i="71" s="1"/>
  <c r="C51" i="71"/>
  <c r="C52" i="71" s="1"/>
  <c r="D52" i="71" s="1"/>
  <c r="P28" i="71"/>
  <c r="E56" i="71"/>
  <c r="U56" i="71" s="1"/>
  <c r="E63" i="71"/>
  <c r="E64" i="71" s="1"/>
  <c r="U64" i="71" s="1"/>
  <c r="Q65" i="71"/>
  <c r="U68" i="71"/>
  <c r="E67" i="71"/>
  <c r="P67" i="71" s="1"/>
  <c r="Q28" i="71"/>
  <c r="C55" i="71"/>
  <c r="C56" i="71" s="1"/>
  <c r="D56" i="71" s="1"/>
  <c r="D54" i="71"/>
  <c r="C59" i="71"/>
  <c r="C60" i="71" s="1"/>
  <c r="D60" i="71" s="1"/>
  <c r="C63" i="71"/>
  <c r="D63" i="71" s="1"/>
  <c r="Q67" i="71"/>
  <c r="T68" i="71"/>
  <c r="O68" i="71"/>
  <c r="D68" i="71"/>
  <c r="C67" i="71"/>
  <c r="Q68" i="71"/>
  <c r="C71" i="71"/>
  <c r="C70" i="71" s="1"/>
  <c r="D70" i="71" s="1"/>
  <c r="E71" i="71"/>
  <c r="E70" i="71"/>
  <c r="C75" i="71"/>
  <c r="D75" i="71" s="1"/>
  <c r="E75" i="71"/>
  <c r="E74" i="71"/>
  <c r="D76" i="71"/>
  <c r="C79" i="71"/>
  <c r="C78" i="71" s="1"/>
  <c r="D78" i="71" s="1"/>
  <c r="E79" i="71"/>
  <c r="E78" i="71"/>
  <c r="C83" i="71"/>
  <c r="C82" i="71" s="1"/>
  <c r="D82" i="71" s="1"/>
  <c r="C87" i="71"/>
  <c r="T28" i="71"/>
  <c r="C27" i="71"/>
  <c r="S28" i="71"/>
  <c r="F28" i="71"/>
  <c r="F27" i="71"/>
  <c r="F26" i="71" s="1"/>
  <c r="AB28" i="71"/>
  <c r="AA3" i="71"/>
  <c r="AA26" i="71"/>
  <c r="AA28" i="71"/>
  <c r="D28" i="71"/>
  <c r="U28" i="71"/>
  <c r="O67" i="71"/>
  <c r="C64" i="71"/>
  <c r="D83" i="71"/>
  <c r="C74" i="71"/>
  <c r="D74" i="71" s="1"/>
  <c r="D87" i="71"/>
  <c r="C86" i="71"/>
  <c r="D86" i="71" s="1"/>
  <c r="D79" i="71"/>
  <c r="D71" i="71"/>
  <c r="D59" i="71"/>
  <c r="E66" i="71"/>
  <c r="D43" i="71"/>
  <c r="D35" i="71"/>
  <c r="C26" i="71"/>
  <c r="D26" i="71"/>
  <c r="D27" i="71"/>
  <c r="T36" i="71"/>
  <c r="T44" i="71"/>
  <c r="T52" i="71"/>
  <c r="T56" i="71"/>
  <c r="T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J21" i="21"/>
  <c r="W21" i="21" s="1"/>
  <c r="C40" i="69"/>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s="1"/>
  <c r="D123" i="21"/>
  <c r="E123" i="21"/>
  <c r="F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H12" i="21"/>
  <c r="S41" i="21"/>
  <c r="AA41" i="21"/>
  <c r="F45" i="39"/>
  <c r="S45" i="39" s="1"/>
  <c r="J45" i="39"/>
  <c r="J44" i="39"/>
  <c r="AC44" i="39" s="1"/>
  <c r="F36" i="39"/>
  <c r="S36" i="39" s="1"/>
  <c r="H36" i="39"/>
  <c r="J35" i="39"/>
  <c r="AC35" i="39" s="1"/>
  <c r="F35" i="39"/>
  <c r="AA35" i="39" s="1"/>
  <c r="J36" i="39"/>
  <c r="U9" i="39"/>
  <c r="U30" i="37"/>
  <c r="W31" i="37"/>
  <c r="F103" i="37"/>
  <c r="G103" i="37" s="1"/>
  <c r="H103" i="37" s="1"/>
  <c r="I103" i="37" s="1"/>
  <c r="J103" i="37" s="1"/>
  <c r="K103" i="37" s="1"/>
  <c r="L103" i="37" s="1"/>
  <c r="M103" i="37" s="1"/>
  <c r="F39" i="37"/>
  <c r="U14" i="37"/>
  <c r="F29" i="36"/>
  <c r="AA29" i="36" s="1"/>
  <c r="F16" i="36"/>
  <c r="AA16" i="36" s="1"/>
  <c r="U9" i="36"/>
  <c r="W28" i="36"/>
  <c r="U31" i="36"/>
  <c r="J33" i="36"/>
  <c r="AC33" i="36" s="1"/>
  <c r="H22" i="35"/>
  <c r="AB22" i="35" s="1"/>
  <c r="AC27" i="35"/>
  <c r="W28" i="35"/>
  <c r="U31" i="35"/>
  <c r="S34" i="35"/>
  <c r="W34" i="35"/>
  <c r="W22" i="35"/>
  <c r="S31" i="35"/>
  <c r="F36" i="34"/>
  <c r="J35" i="34"/>
  <c r="U34" i="34"/>
  <c r="H39" i="33"/>
  <c r="AB39" i="33"/>
  <c r="F26" i="33"/>
  <c r="AA26" i="33"/>
  <c r="U35" i="33"/>
  <c r="W33" i="33"/>
  <c r="W39" i="33"/>
  <c r="H39" i="37"/>
  <c r="AB39" i="37" s="1"/>
  <c r="S27" i="35"/>
  <c r="F11" i="40"/>
  <c r="AA11" i="40" s="1"/>
  <c r="H11" i="40"/>
  <c r="AB11" i="40" s="1"/>
  <c r="W8" i="40"/>
  <c r="AC40" i="40"/>
  <c r="AA9" i="40"/>
  <c r="AC9" i="40"/>
  <c r="U9" i="40"/>
  <c r="S34" i="40"/>
  <c r="S40" i="40"/>
  <c r="W31" i="40"/>
  <c r="U34" i="40"/>
  <c r="U40"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C25" i="39"/>
  <c r="C21" i="39"/>
  <c r="H11" i="39"/>
  <c r="S40" i="39"/>
  <c r="H32" i="33"/>
  <c r="H11" i="21"/>
  <c r="U11" i="21" s="1"/>
  <c r="J11" i="21"/>
  <c r="W11" i="21" s="1"/>
  <c r="H37" i="40"/>
  <c r="U37" i="40" s="1"/>
  <c r="H36" i="40"/>
  <c r="AB36" i="40" s="1"/>
  <c r="F35" i="40"/>
  <c r="AA35" i="40" s="1"/>
  <c r="H23" i="40"/>
  <c r="H17" i="40"/>
  <c r="U17" i="40" s="1"/>
  <c r="J15" i="40"/>
  <c r="W15" i="40" s="1"/>
  <c r="J11" i="40"/>
  <c r="AB8" i="39"/>
  <c r="AC12" i="34"/>
  <c r="AA12" i="34"/>
  <c r="AB12" i="35"/>
  <c r="F37" i="39"/>
  <c r="AA37" i="39" s="1"/>
  <c r="J34" i="36"/>
  <c r="W34" i="36" s="1"/>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W40" i="33"/>
  <c r="F37" i="40"/>
  <c r="AA37" i="40"/>
  <c r="F36" i="40"/>
  <c r="AA36" i="40"/>
  <c r="H28" i="40"/>
  <c r="U28" i="40"/>
  <c r="F23" i="40"/>
  <c r="AA23" i="40"/>
  <c r="F17" i="40"/>
  <c r="AA17" i="40"/>
  <c r="J17" i="40"/>
  <c r="W17" i="40"/>
  <c r="F15" i="40"/>
  <c r="S15" i="40"/>
  <c r="H15" i="40"/>
  <c r="AB15"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AB17" i="34"/>
  <c r="S41" i="33"/>
  <c r="F113" i="33"/>
  <c r="G113" i="33" s="1"/>
  <c r="H113" i="33"/>
  <c r="I113" i="33" s="1"/>
  <c r="J113" i="33" s="1"/>
  <c r="K113" i="33" s="1"/>
  <c r="L113" i="33" s="1"/>
  <c r="M113" i="33" s="1"/>
  <c r="H37" i="33"/>
  <c r="AB37" i="33" s="1"/>
  <c r="H15" i="33"/>
  <c r="AB15" i="33" s="1"/>
  <c r="H11" i="33"/>
  <c r="AB11" i="33" s="1"/>
  <c r="F28" i="40"/>
  <c r="AA28" i="40" s="1"/>
  <c r="AA42" i="34"/>
  <c r="AC38" i="34"/>
  <c r="J37" i="34"/>
  <c r="AC37" i="34" s="1"/>
  <c r="J11" i="33"/>
  <c r="W11" i="33" s="1"/>
  <c r="S28" i="34"/>
  <c r="G123" i="21"/>
  <c r="H123" i="21" s="1"/>
  <c r="I123" i="21"/>
  <c r="J123" i="21" s="1"/>
  <c r="K123" i="21" s="1"/>
  <c r="L123" i="21" s="1"/>
  <c r="M123" i="21"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F31" i="33"/>
  <c r="H45" i="33"/>
  <c r="U45" i="33" s="1"/>
  <c r="J45" i="33"/>
  <c r="W45" i="33" s="1"/>
  <c r="F45" i="33"/>
  <c r="J14" i="34"/>
  <c r="W14" i="34" s="1"/>
  <c r="F14" i="34"/>
  <c r="H14" i="34"/>
  <c r="H30" i="34"/>
  <c r="F30" i="34"/>
  <c r="S30" i="34" s="1"/>
  <c r="J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c r="J13" i="37"/>
  <c r="W13" i="37" s="1"/>
  <c r="F28" i="37"/>
  <c r="AA28" i="37" s="1"/>
  <c r="J28" i="37"/>
  <c r="AC28" i="37" s="1"/>
  <c r="H28" i="37"/>
  <c r="H38" i="37"/>
  <c r="AB38" i="37" s="1"/>
  <c r="J38" i="37"/>
  <c r="AC38" i="37" s="1"/>
  <c r="F38" i="37"/>
  <c r="S38" i="37" s="1"/>
  <c r="F43" i="39"/>
  <c r="AA43" i="39" s="1"/>
  <c r="H43" i="39"/>
  <c r="F14" i="39"/>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J14" i="37"/>
  <c r="J27" i="37"/>
  <c r="AC27" i="37" s="1"/>
  <c r="J36" i="37"/>
  <c r="AC36" i="37" s="1"/>
  <c r="J10" i="36"/>
  <c r="AC10" i="36" s="1"/>
  <c r="AB26" i="33"/>
  <c r="AB30" i="21"/>
  <c r="AA14" i="37"/>
  <c r="W31" i="34"/>
  <c r="S11" i="36"/>
  <c r="AB46" i="34"/>
  <c r="AB45" i="33"/>
  <c r="AC28" i="21"/>
  <c r="BA586" i="3"/>
  <c r="F17" i="21"/>
  <c r="AA17" i="21" s="1"/>
  <c r="H17" i="21"/>
  <c r="AB17" i="21" s="1"/>
  <c r="F15" i="21"/>
  <c r="S15" i="21" s="1"/>
  <c r="J41" i="39"/>
  <c r="W41" i="39" s="1"/>
  <c r="W44" i="39"/>
  <c r="S35" i="39"/>
  <c r="G544" i="3"/>
  <c r="G540" i="3"/>
  <c r="G536" i="3"/>
  <c r="G535" i="3"/>
  <c r="G532" i="3"/>
  <c r="G531" i="3"/>
  <c r="G528" i="3"/>
  <c r="G527" i="3"/>
  <c r="G518" i="3"/>
  <c r="G510" i="3"/>
  <c r="G504" i="3"/>
  <c r="G496" i="3"/>
  <c r="G580" i="3"/>
  <c r="G576" i="3"/>
  <c r="G572" i="3"/>
  <c r="G564" i="3"/>
  <c r="G560" i="3"/>
  <c r="G554" i="3"/>
  <c r="BL584" i="3"/>
  <c r="BL576" i="3"/>
  <c r="BL572" i="3"/>
  <c r="BL568" i="3"/>
  <c r="BL560" i="3"/>
  <c r="BL546" i="3"/>
  <c r="BL542" i="3"/>
  <c r="BL538" i="3"/>
  <c r="BL534" i="3"/>
  <c r="BL530" i="3"/>
  <c r="BL526" i="3"/>
  <c r="BL522" i="3"/>
  <c r="BL512" i="3"/>
  <c r="BL502" i="3"/>
  <c r="BL494" i="3"/>
  <c r="BL578" i="3"/>
  <c r="BL574" i="3"/>
  <c r="BL570" i="3"/>
  <c r="BL562" i="3"/>
  <c r="BL556" i="3"/>
  <c r="BL552" i="3"/>
  <c r="BL544" i="3"/>
  <c r="BL540" i="3"/>
  <c r="BL536" i="3"/>
  <c r="G533" i="3"/>
  <c r="BL532" i="3"/>
  <c r="G529" i="3"/>
  <c r="BL528" i="3"/>
  <c r="G525" i="3"/>
  <c r="BL518" i="3"/>
  <c r="BL510" i="3"/>
  <c r="BL500" i="3"/>
  <c r="AZ500" i="3" s="1"/>
  <c r="G493" i="3"/>
  <c r="BA582" i="3"/>
  <c r="BA580" i="3"/>
  <c r="BA578" i="3"/>
  <c r="AZ578" i="3" s="1"/>
  <c r="BA576" i="3"/>
  <c r="BA574" i="3"/>
  <c r="AZ574" i="3" s="1"/>
  <c r="BA572" i="3"/>
  <c r="AZ572" i="3" s="1"/>
  <c r="BA570" i="3"/>
  <c r="AZ570" i="3" s="1"/>
  <c r="BA568" i="3"/>
  <c r="BA566" i="3"/>
  <c r="BA564" i="3"/>
  <c r="BA562" i="3"/>
  <c r="BA560" i="3"/>
  <c r="BA558" i="3"/>
  <c r="AZ558" i="3" s="1"/>
  <c r="BA556" i="3"/>
  <c r="AZ556" i="3" s="1"/>
  <c r="BA548" i="3"/>
  <c r="BA546" i="3"/>
  <c r="BA544" i="3"/>
  <c r="AZ544" i="3" s="1"/>
  <c r="BA542" i="3"/>
  <c r="AZ542" i="3" s="1"/>
  <c r="BA540" i="3"/>
  <c r="AZ540" i="3" s="1"/>
  <c r="BA538" i="3"/>
  <c r="AZ538" i="3" s="1"/>
  <c r="BA536" i="3"/>
  <c r="AZ536" i="3" s="1"/>
  <c r="BA534" i="3"/>
  <c r="AZ534" i="3" s="1"/>
  <c r="BA532" i="3"/>
  <c r="AZ532" i="3" s="1"/>
  <c r="BA530" i="3"/>
  <c r="BA528" i="3"/>
  <c r="BA526" i="3"/>
  <c r="AZ526" i="3" s="1"/>
  <c r="BA524" i="3"/>
  <c r="BA522" i="3"/>
  <c r="AZ522" i="3" s="1"/>
  <c r="BA518" i="3"/>
  <c r="BA516" i="3"/>
  <c r="BA514" i="3"/>
  <c r="BA506" i="3"/>
  <c r="BA500" i="3"/>
  <c r="BA494" i="3"/>
  <c r="BA581" i="3"/>
  <c r="BA579" i="3"/>
  <c r="BA577" i="3"/>
  <c r="BA575" i="3"/>
  <c r="BA573" i="3"/>
  <c r="BA571" i="3"/>
  <c r="BA567" i="3"/>
  <c r="BA563" i="3"/>
  <c r="BA561" i="3"/>
  <c r="BA559" i="3"/>
  <c r="BA553" i="3"/>
  <c r="BA547" i="3"/>
  <c r="BA545" i="3"/>
  <c r="BA543" i="3"/>
  <c r="BA541" i="3"/>
  <c r="BA539" i="3"/>
  <c r="BA537" i="3"/>
  <c r="BA535" i="3"/>
  <c r="BA533" i="3"/>
  <c r="BA531" i="3"/>
  <c r="BA529" i="3"/>
  <c r="BA527" i="3"/>
  <c r="BA523" i="3"/>
  <c r="BA517" i="3"/>
  <c r="BA513" i="3"/>
  <c r="BA507" i="3"/>
  <c r="BA503" i="3"/>
  <c r="BA499" i="3"/>
  <c r="AZ499" i="3" s="1"/>
  <c r="BA495" i="3"/>
  <c r="AZ560" i="3"/>
  <c r="G581" i="3"/>
  <c r="G577" i="3"/>
  <c r="G575" i="3"/>
  <c r="G573" i="3"/>
  <c r="G571" i="3"/>
  <c r="G569" i="3"/>
  <c r="G565" i="3"/>
  <c r="G561" i="3"/>
  <c r="BL558" i="3"/>
  <c r="BA557" i="3"/>
  <c r="AC557" i="3"/>
  <c r="G557" i="3" s="1"/>
  <c r="BQ557" i="3"/>
  <c r="BL557" i="3" s="1"/>
  <c r="BQ583" i="3"/>
  <c r="BQ581" i="3"/>
  <c r="BL581" i="3" s="1"/>
  <c r="BQ579" i="3"/>
  <c r="BL579" i="3" s="1"/>
  <c r="BQ577" i="3"/>
  <c r="BL577" i="3" s="1"/>
  <c r="AZ577" i="3" s="1"/>
  <c r="BQ575" i="3"/>
  <c r="BL575" i="3" s="1"/>
  <c r="BQ573" i="3"/>
  <c r="BL573" i="3" s="1"/>
  <c r="AZ573" i="3" s="1"/>
  <c r="BQ571" i="3"/>
  <c r="BL571" i="3" s="1"/>
  <c r="BQ569" i="3"/>
  <c r="BQ567" i="3"/>
  <c r="BL567" i="3"/>
  <c r="BQ565" i="3"/>
  <c r="BQ563" i="3"/>
  <c r="BL563" i="3" s="1"/>
  <c r="BQ561" i="3"/>
  <c r="BL561" i="3" s="1"/>
  <c r="AZ561" i="3" s="1"/>
  <c r="BQ559" i="3"/>
  <c r="BL559" i="3" s="1"/>
  <c r="G559" i="3"/>
  <c r="G555" i="3"/>
  <c r="G549" i="3"/>
  <c r="G547" i="3"/>
  <c r="G545" i="3"/>
  <c r="G543" i="3"/>
  <c r="G541" i="3"/>
  <c r="G539" i="3"/>
  <c r="G537" i="3"/>
  <c r="BQ555" i="3"/>
  <c r="BL555" i="3"/>
  <c r="BQ553" i="3"/>
  <c r="BQ551" i="3"/>
  <c r="BL551" i="3" s="1"/>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s="1"/>
  <c r="BQ521" i="3"/>
  <c r="BL521" i="3" s="1"/>
  <c r="G517" i="3"/>
  <c r="G513" i="3"/>
  <c r="BQ519" i="3"/>
  <c r="BQ517" i="3"/>
  <c r="BL517" i="3"/>
  <c r="BQ515" i="3"/>
  <c r="BQ513" i="3"/>
  <c r="BL513" i="3" s="1"/>
  <c r="BQ511" i="3"/>
  <c r="AC509" i="3"/>
  <c r="BQ509" i="3"/>
  <c r="BL509" i="3" s="1"/>
  <c r="G505" i="3"/>
  <c r="G501" i="3"/>
  <c r="G497" i="3"/>
  <c r="BQ507" i="3"/>
  <c r="BQ505" i="3"/>
  <c r="BL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AA12" i="35"/>
  <c r="U39" i="37"/>
  <c r="AB13" i="34"/>
  <c r="AC45" i="33"/>
  <c r="U11" i="33"/>
  <c r="U19" i="21"/>
  <c r="W44" i="21"/>
  <c r="AC46" i="21"/>
  <c r="F43" i="33"/>
  <c r="AA43" i="33"/>
  <c r="W15" i="34"/>
  <c r="AC15" i="34"/>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H19" i="40"/>
  <c r="U19" i="40" s="1"/>
  <c r="F88" i="40"/>
  <c r="G88" i="40" s="1"/>
  <c r="F19" i="40"/>
  <c r="S19" i="40" s="1"/>
  <c r="AC13" i="40"/>
  <c r="AB33" i="40"/>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32" i="3"/>
  <c r="AZ530" i="3"/>
  <c r="G546"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AZ115" i="3"/>
  <c r="BL116" i="3"/>
  <c r="AZ116" i="3"/>
  <c r="G117" i="3"/>
  <c r="BA119" i="3"/>
  <c r="BL120" i="3"/>
  <c r="AZ120" i="3" s="1"/>
  <c r="G121" i="3"/>
  <c r="BA123" i="3"/>
  <c r="AZ123" i="3" s="1"/>
  <c r="BL124" i="3"/>
  <c r="G125" i="3"/>
  <c r="BA127" i="3"/>
  <c r="AZ127" i="3" s="1"/>
  <c r="BL128" i="3"/>
  <c r="G129" i="3"/>
  <c r="BA131" i="3"/>
  <c r="AZ131" i="3" s="1"/>
  <c r="BL132" i="3"/>
  <c r="AZ132" i="3" s="1"/>
  <c r="G133" i="3"/>
  <c r="BA135" i="3"/>
  <c r="AZ135" i="3" s="1"/>
  <c r="BL136" i="3"/>
  <c r="G137" i="3"/>
  <c r="BA139" i="3"/>
  <c r="AZ139" i="3" s="1"/>
  <c r="BL140" i="3"/>
  <c r="AZ140" i="3" s="1"/>
  <c r="G141" i="3"/>
  <c r="BA143" i="3"/>
  <c r="AZ143" i="3"/>
  <c r="BL144" i="3"/>
  <c r="G145" i="3"/>
  <c r="BA147" i="3"/>
  <c r="AZ147" i="3"/>
  <c r="BL148" i="3"/>
  <c r="AZ148" i="3"/>
  <c r="G149" i="3"/>
  <c r="BA151" i="3"/>
  <c r="BL152" i="3"/>
  <c r="AZ152" i="3" s="1"/>
  <c r="G153" i="3"/>
  <c r="BA155" i="3"/>
  <c r="BL156" i="3"/>
  <c r="AZ156" i="3" s="1"/>
  <c r="G157" i="3"/>
  <c r="BA159" i="3"/>
  <c r="AZ159" i="3" s="1"/>
  <c r="BL160" i="3"/>
  <c r="AZ160" i="3" s="1"/>
  <c r="G161" i="3"/>
  <c r="BA163" i="3"/>
  <c r="AZ163" i="3" s="1"/>
  <c r="BL164" i="3"/>
  <c r="G165" i="3"/>
  <c r="BA167" i="3"/>
  <c r="AZ167" i="3" s="1"/>
  <c r="BL168" i="3"/>
  <c r="AZ168" i="3" s="1"/>
  <c r="G169" i="3"/>
  <c r="BA171" i="3"/>
  <c r="AZ171" i="3" s="1"/>
  <c r="BL172" i="3"/>
  <c r="G173" i="3"/>
  <c r="BA175" i="3"/>
  <c r="AZ175" i="3"/>
  <c r="BL176" i="3"/>
  <c r="G177" i="3"/>
  <c r="BA179" i="3"/>
  <c r="AZ179" i="3"/>
  <c r="BL180" i="3"/>
  <c r="G181" i="3"/>
  <c r="BA183" i="3"/>
  <c r="AZ183" i="3" s="1"/>
  <c r="BL184" i="3"/>
  <c r="AZ184" i="3" s="1"/>
  <c r="G185" i="3"/>
  <c r="BA187" i="3"/>
  <c r="AZ187" i="3" s="1"/>
  <c r="BL188" i="3"/>
  <c r="G189" i="3"/>
  <c r="BA191" i="3"/>
  <c r="AZ191" i="3" s="1"/>
  <c r="BL192" i="3"/>
  <c r="AZ192" i="3" s="1"/>
  <c r="G193" i="3"/>
  <c r="BA195" i="3"/>
  <c r="AZ195" i="3" s="1"/>
  <c r="BL196" i="3"/>
  <c r="G197" i="3"/>
  <c r="BA199" i="3"/>
  <c r="AZ199" i="3" s="1"/>
  <c r="BL200" i="3"/>
  <c r="G201" i="3"/>
  <c r="BA203" i="3"/>
  <c r="AZ203" i="3" s="1"/>
  <c r="BL204" i="3"/>
  <c r="AZ39" i="3"/>
  <c r="AZ43" i="3"/>
  <c r="AZ47" i="3"/>
  <c r="AZ59" i="3"/>
  <c r="AZ63" i="3"/>
  <c r="AZ71" i="3"/>
  <c r="AZ79" i="3"/>
  <c r="AZ83" i="3"/>
  <c r="AZ176" i="3"/>
  <c r="AZ200" i="3"/>
  <c r="AZ85" i="3"/>
  <c r="AZ93" i="3"/>
  <c r="AZ97" i="3"/>
  <c r="AZ105" i="3"/>
  <c r="AZ128" i="3"/>
  <c r="G534" i="3"/>
  <c r="G530" i="3"/>
  <c r="G522" i="3"/>
  <c r="G512" i="3"/>
  <c r="G498" i="3"/>
  <c r="G16" i="3"/>
  <c r="G15" i="3"/>
  <c r="BA304" i="3"/>
  <c r="AZ304" i="3" s="1"/>
  <c r="BA305" i="3"/>
  <c r="BL305" i="3"/>
  <c r="G306" i="3"/>
  <c r="G309" i="3"/>
  <c r="BL310" i="3"/>
  <c r="BA312" i="3"/>
  <c r="BA313" i="3"/>
  <c r="BL313" i="3"/>
  <c r="AZ313" i="3" s="1"/>
  <c r="G314" i="3"/>
  <c r="G317" i="3"/>
  <c r="BL318" i="3"/>
  <c r="BA320" i="3"/>
  <c r="BA321" i="3"/>
  <c r="AZ321" i="3" s="1"/>
  <c r="BL321" i="3"/>
  <c r="G322" i="3"/>
  <c r="G325" i="3"/>
  <c r="BL326" i="3"/>
  <c r="AZ326" i="3" s="1"/>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BL351" i="3"/>
  <c r="G352" i="3"/>
  <c r="G354" i="3"/>
  <c r="BA355" i="3"/>
  <c r="BA356" i="3"/>
  <c r="AZ356" i="3" s="1"/>
  <c r="BL356" i="3"/>
  <c r="G357" i="3"/>
  <c r="G360" i="3"/>
  <c r="BL361" i="3"/>
  <c r="AZ361" i="3" s="1"/>
  <c r="BA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AZ390" i="3" s="1"/>
  <c r="G391" i="3"/>
  <c r="G394" i="3"/>
  <c r="AZ138" i="3"/>
  <c r="AZ146" i="3"/>
  <c r="AZ158" i="3"/>
  <c r="AZ166" i="3"/>
  <c r="AZ174" i="3"/>
  <c r="AZ182" i="3"/>
  <c r="AZ190" i="3"/>
  <c r="AZ198" i="3"/>
  <c r="BA16" i="3"/>
  <c r="AZ16" i="3" s="1"/>
  <c r="BL303" i="3"/>
  <c r="G304" i="3"/>
  <c r="BA306" i="3"/>
  <c r="AZ306" i="3" s="1"/>
  <c r="BL307" i="3"/>
  <c r="G308" i="3"/>
  <c r="BA310" i="3"/>
  <c r="AZ310" i="3" s="1"/>
  <c r="BL311" i="3"/>
  <c r="G312" i="3"/>
  <c r="BA314" i="3"/>
  <c r="AZ314" i="3" s="1"/>
  <c r="BL315" i="3"/>
  <c r="AZ315" i="3" s="1"/>
  <c r="G316" i="3"/>
  <c r="BA318" i="3"/>
  <c r="BL319" i="3"/>
  <c r="AZ319" i="3" s="1"/>
  <c r="G320" i="3"/>
  <c r="BA322" i="3"/>
  <c r="BL323" i="3"/>
  <c r="AZ323" i="3" s="1"/>
  <c r="G324" i="3"/>
  <c r="BA326" i="3"/>
  <c r="BL327" i="3"/>
  <c r="AZ327" i="3"/>
  <c r="G328" i="3"/>
  <c r="BA330" i="3"/>
  <c r="BL331" i="3"/>
  <c r="AZ331" i="3" s="1"/>
  <c r="G332" i="3"/>
  <c r="BA334" i="3"/>
  <c r="AZ334" i="3"/>
  <c r="BL335" i="3"/>
  <c r="G336" i="3"/>
  <c r="BA338" i="3"/>
  <c r="AZ338" i="3"/>
  <c r="BL339" i="3"/>
  <c r="G340" i="3"/>
  <c r="BL343" i="3"/>
  <c r="G344" i="3"/>
  <c r="G348" i="3"/>
  <c r="G355" i="3"/>
  <c r="AZ214" i="3"/>
  <c r="AZ222" i="3"/>
  <c r="G342" i="3"/>
  <c r="BL345" i="3"/>
  <c r="G346" i="3"/>
  <c r="BL349" i="3"/>
  <c r="AZ349" i="3" s="1"/>
  <c r="BL352" i="3"/>
  <c r="G353" i="3"/>
  <c r="BA357" i="3"/>
  <c r="BL358" i="3"/>
  <c r="G359" i="3"/>
  <c r="BA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57" i="3"/>
  <c r="AZ261" i="3"/>
  <c r="AZ265" i="3"/>
  <c r="BA379" i="3"/>
  <c r="BL380" i="3"/>
  <c r="G381" i="3"/>
  <c r="BA383" i="3"/>
  <c r="AZ383" i="3" s="1"/>
  <c r="BL384" i="3"/>
  <c r="AZ384" i="3" s="1"/>
  <c r="G385" i="3"/>
  <c r="BA387" i="3"/>
  <c r="AZ387" i="3" s="1"/>
  <c r="BL388" i="3"/>
  <c r="AZ388" i="3" s="1"/>
  <c r="G389" i="3"/>
  <c r="BA391" i="3"/>
  <c r="BL392" i="3"/>
  <c r="G393" i="3"/>
  <c r="AZ263" i="3"/>
  <c r="AZ279" i="3"/>
  <c r="AZ287" i="3"/>
  <c r="AZ295" i="3"/>
  <c r="BO5" i="3"/>
  <c r="BJ5" i="3"/>
  <c r="BF5" i="3"/>
  <c r="AZ333" i="3"/>
  <c r="AC5" i="3"/>
  <c r="G548" i="3"/>
  <c r="G538" i="3"/>
  <c r="G520" i="3"/>
  <c r="BS5" i="3"/>
  <c r="BN5" i="3"/>
  <c r="BK5" i="3"/>
  <c r="BG5" i="3"/>
  <c r="BC5" i="3"/>
  <c r="G17" i="3"/>
  <c r="BA17" i="3"/>
  <c r="AZ350" i="3"/>
  <c r="AZ368" i="3"/>
  <c r="BA15" i="3"/>
  <c r="BB5" i="3"/>
  <c r="E5" i="6" s="1"/>
  <c r="BR5" i="3"/>
  <c r="AZ392" i="3"/>
  <c r="G509" i="3"/>
  <c r="BL493" i="3"/>
  <c r="AZ376" i="3"/>
  <c r="U36" i="40"/>
  <c r="F83" i="43"/>
  <c r="H85" i="43" s="1"/>
  <c r="F50" i="43"/>
  <c r="H54" i="43" s="1"/>
  <c r="F72" i="43"/>
  <c r="H75" i="43" s="1"/>
  <c r="U17" i="39"/>
  <c r="S14" i="35"/>
  <c r="U43" i="21"/>
  <c r="G8" i="1"/>
  <c r="G10" i="1"/>
  <c r="AC11" i="39"/>
  <c r="W37" i="37"/>
  <c r="W44" i="34"/>
  <c r="AC44" i="34"/>
  <c r="S15" i="37"/>
  <c r="U13" i="37"/>
  <c r="J37" i="33"/>
  <c r="W37" i="33"/>
  <c r="F106" i="33"/>
  <c r="G106" i="33" s="1"/>
  <c r="H106" i="33" s="1"/>
  <c r="I106" i="33" s="1"/>
  <c r="J106" i="33" s="1"/>
  <c r="K106" i="33" s="1"/>
  <c r="L106" i="33" s="1"/>
  <c r="M106" i="33" s="1"/>
  <c r="J34" i="33"/>
  <c r="W34" i="33" s="1"/>
  <c r="F33" i="34"/>
  <c r="S33" i="34" s="1"/>
  <c r="H20" i="36"/>
  <c r="U20" i="36" s="1"/>
  <c r="J20" i="36"/>
  <c r="W20" i="36" s="1"/>
  <c r="J27" i="36"/>
  <c r="W27" i="36" s="1"/>
  <c r="AC33" i="40"/>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280" i="3"/>
  <c r="AZ288" i="3"/>
  <c r="AZ130" i="3"/>
  <c r="AZ29" i="3"/>
  <c r="AZ31" i="3"/>
  <c r="AZ33" i="3"/>
  <c r="AZ37" i="3"/>
  <c r="AZ42" i="3"/>
  <c r="AZ45" i="3"/>
  <c r="AZ58" i="3"/>
  <c r="AZ61"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W27" i="34"/>
  <c r="AC27" i="34"/>
  <c r="AB34" i="36"/>
  <c r="U34" i="36"/>
  <c r="AB33" i="36"/>
  <c r="U33" i="36"/>
  <c r="AC12" i="39"/>
  <c r="W12" i="39"/>
  <c r="AZ433" i="3"/>
  <c r="AZ465" i="3"/>
  <c r="W12" i="33"/>
  <c r="AC12" i="33"/>
  <c r="AA32" i="36"/>
  <c r="S32" i="36"/>
  <c r="AZ408" i="3"/>
  <c r="AZ457" i="3"/>
  <c r="AZ473" i="3"/>
  <c r="AA39" i="34"/>
  <c r="BL14" i="3"/>
  <c r="AZ266" i="3"/>
  <c r="U30" i="33"/>
  <c r="AC13" i="34"/>
  <c r="AA47" i="34"/>
  <c r="W28" i="37"/>
  <c r="S19" i="39"/>
  <c r="F12" i="33"/>
  <c r="H12" i="39"/>
  <c r="AB12" i="39" s="1"/>
  <c r="F39" i="40"/>
  <c r="BA14" i="3"/>
  <c r="AZ14" i="3" s="1"/>
  <c r="AZ213" i="3"/>
  <c r="AZ224" i="3"/>
  <c r="AZ238" i="3"/>
  <c r="AZ254" i="3"/>
  <c r="AZ286" i="3"/>
  <c r="AZ297" i="3"/>
  <c r="AZ157" i="3"/>
  <c r="AZ165" i="3"/>
  <c r="AZ173" i="3"/>
  <c r="AZ181" i="3"/>
  <c r="AZ189" i="3"/>
  <c r="AZ197" i="3"/>
  <c r="AZ35" i="3"/>
  <c r="AZ41" i="3"/>
  <c r="B12" i="1"/>
  <c r="E12" i="1" s="1"/>
  <c r="B10" i="1"/>
  <c r="E10" i="1" s="1"/>
  <c r="AZ84" i="3"/>
  <c r="AZ88" i="3"/>
  <c r="K12" i="1"/>
  <c r="M12" i="1" s="1"/>
  <c r="S13" i="1"/>
  <c r="AR13" i="1" s="1"/>
  <c r="R13" i="1"/>
  <c r="J51" i="67"/>
  <c r="C42" i="1"/>
  <c r="C24" i="12" s="1"/>
  <c r="AC34" i="33"/>
  <c r="AA34" i="33"/>
  <c r="B41" i="1"/>
  <c r="F48" i="9" s="1"/>
  <c r="O52" i="9" s="1"/>
  <c r="AB37" i="40"/>
  <c r="S35" i="40"/>
  <c r="U35" i="40"/>
  <c r="AC36"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U28" i="21"/>
  <c r="S45" i="2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AB25" i="21"/>
  <c r="AB44" i="21"/>
  <c r="AA30" i="21"/>
  <c r="W42" i="21"/>
  <c r="AC45" i="21"/>
  <c r="F10" i="21"/>
  <c r="AA10" i="21" s="1"/>
  <c r="K145" i="21"/>
  <c r="W17" i="21"/>
  <c r="W25" i="21"/>
  <c r="AA29" i="21"/>
  <c r="W31" i="21"/>
  <c r="S17" i="21"/>
  <c r="AA15" i="21"/>
  <c r="AC27" i="21"/>
  <c r="AB29" i="21"/>
  <c r="S28" i="21"/>
  <c r="AC34"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2" i="69"/>
  <c r="F7" i="15"/>
  <c r="E11" i="76"/>
  <c r="F43" i="67"/>
  <c r="E7" i="76"/>
  <c r="B7" i="76"/>
  <c r="F26" i="15"/>
  <c r="F5" i="73"/>
  <c r="M24" i="15"/>
  <c r="M9" i="67"/>
  <c r="F8" i="67"/>
  <c r="F13" i="15"/>
  <c r="F4" i="73"/>
  <c r="F13" i="67"/>
  <c r="F40" i="67"/>
  <c r="F38" i="15"/>
  <c r="E9" i="76"/>
  <c r="M26" i="67"/>
  <c r="B12" i="76"/>
  <c r="F20" i="31"/>
  <c r="M22" i="67"/>
  <c r="M29" i="15"/>
  <c r="F7" i="67"/>
  <c r="M22" i="15"/>
  <c r="F42" i="15"/>
  <c r="F6" i="15"/>
  <c r="F6" i="67"/>
  <c r="B10" i="76"/>
  <c r="F36" i="67"/>
  <c r="B11" i="76"/>
  <c r="F40" i="15"/>
  <c r="F16" i="67"/>
  <c r="M8" i="15"/>
  <c r="B8" i="76"/>
  <c r="M28" i="67"/>
  <c r="F16" i="15"/>
  <c r="D35" i="9"/>
  <c r="AO13" i="1"/>
  <c r="J15" i="67"/>
  <c r="F38" i="67"/>
  <c r="E10" i="76"/>
  <c r="M26" i="15"/>
  <c r="C76" i="67"/>
  <c r="D3" i="73"/>
  <c r="D7" i="73"/>
  <c r="M6" i="67"/>
  <c r="F3" i="73"/>
  <c r="E2" i="68"/>
  <c r="D34" i="9"/>
  <c r="M28" i="15"/>
  <c r="F37" i="67"/>
  <c r="B9" i="76"/>
  <c r="C76" i="15"/>
  <c r="M6" i="15"/>
  <c r="E13" i="76"/>
  <c r="F43" i="15"/>
  <c r="M23" i="67"/>
  <c r="F8" i="15"/>
  <c r="M29" i="67"/>
  <c r="M8" i="67"/>
  <c r="E12" i="76"/>
  <c r="J15" i="15"/>
  <c r="F9" i="67"/>
  <c r="L48" i="15"/>
  <c r="M23" i="15"/>
  <c r="L47" i="67"/>
  <c r="L48" i="67"/>
  <c r="F7" i="73"/>
  <c r="D5" i="73"/>
  <c r="F36" i="15"/>
  <c r="M9" i="15"/>
  <c r="F6" i="73"/>
  <c r="F42" i="67"/>
  <c r="D4" i="73"/>
  <c r="F37" i="15"/>
  <c r="M24" i="67"/>
  <c r="F9" i="15"/>
  <c r="B13" i="76"/>
  <c r="F26" i="67"/>
  <c r="E8" i="76"/>
  <c r="L47" i="15"/>
  <c r="D6" i="73"/>
  <c r="AZ322" i="3" l="1"/>
  <c r="AZ311" i="3"/>
  <c r="AZ351" i="3"/>
  <c r="AZ378" i="3"/>
  <c r="W11" i="35"/>
  <c r="AC11" i="35"/>
  <c r="S14" i="34"/>
  <c r="AA14" i="34"/>
  <c r="AB31" i="33"/>
  <c r="U31" i="33"/>
  <c r="AB34" i="35"/>
  <c r="U34" i="35"/>
  <c r="AZ559" i="3"/>
  <c r="AZ563" i="3"/>
  <c r="AA14" i="40"/>
  <c r="S14" i="40"/>
  <c r="U28" i="37"/>
  <c r="AB28" i="37"/>
  <c r="AB35" i="35"/>
  <c r="U35" i="35"/>
  <c r="AB31" i="34"/>
  <c r="U31" i="34"/>
  <c r="AC9" i="34"/>
  <c r="W9" i="34"/>
  <c r="BL586" i="3"/>
  <c r="AZ586" i="3" s="1"/>
  <c r="F9" i="34"/>
  <c r="AA9" i="34" s="1"/>
  <c r="F9" i="36"/>
  <c r="G578" i="3"/>
  <c r="G562" i="3"/>
  <c r="AC17" i="34"/>
  <c r="AZ391" i="3"/>
  <c r="AZ380" i="3"/>
  <c r="AZ345" i="3"/>
  <c r="AZ318" i="3"/>
  <c r="AZ320" i="3"/>
  <c r="AZ362" i="3"/>
  <c r="W16" i="35"/>
  <c r="AC28" i="34"/>
  <c r="BQ5" i="3"/>
  <c r="F28" i="6" s="1"/>
  <c r="AZ518" i="3"/>
  <c r="AZ528" i="3"/>
  <c r="AZ546" i="3"/>
  <c r="AZ568" i="3"/>
  <c r="AZ576" i="3"/>
  <c r="AZ494" i="3"/>
  <c r="W35" i="39"/>
  <c r="J13" i="21"/>
  <c r="G556" i="3"/>
  <c r="G553" i="3"/>
  <c r="BA550" i="3"/>
  <c r="G526" i="3"/>
  <c r="G524" i="3"/>
  <c r="G523" i="3"/>
  <c r="G519" i="3"/>
  <c r="G516" i="3"/>
  <c r="G515" i="3"/>
  <c r="G514" i="3"/>
  <c r="G511" i="3"/>
  <c r="G508" i="3"/>
  <c r="G507" i="3"/>
  <c r="G506" i="3"/>
  <c r="G503" i="3"/>
  <c r="G502" i="3"/>
  <c r="G500" i="3"/>
  <c r="G499" i="3"/>
  <c r="G495" i="3"/>
  <c r="G494" i="3"/>
  <c r="BA493" i="3"/>
  <c r="AZ493" i="3" s="1"/>
  <c r="G14" i="3"/>
  <c r="G5" i="3" s="1"/>
  <c r="B3"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BL425" i="3"/>
  <c r="BA426" i="3"/>
  <c r="AZ426" i="3" s="1"/>
  <c r="BL428" i="3"/>
  <c r="AZ428" i="3" s="1"/>
  <c r="G430" i="3"/>
  <c r="BL430" i="3"/>
  <c r="G432" i="3"/>
  <c r="BL432" i="3"/>
  <c r="BA435" i="3"/>
  <c r="BL435" i="3"/>
  <c r="BA436" i="3"/>
  <c r="AZ436" i="3" s="1"/>
  <c r="BA437" i="3"/>
  <c r="AZ437" i="3" s="1"/>
  <c r="BA438" i="3"/>
  <c r="BL438" i="3"/>
  <c r="BA439" i="3"/>
  <c r="AZ439" i="3" s="1"/>
  <c r="BL441" i="3"/>
  <c r="AZ441" i="3" s="1"/>
  <c r="G443" i="3"/>
  <c r="BA444" i="3"/>
  <c r="AZ444" i="3" s="1"/>
  <c r="BA448" i="3"/>
  <c r="AZ448" i="3" s="1"/>
  <c r="BA451" i="3"/>
  <c r="AZ451" i="3" s="1"/>
  <c r="BL451" i="3"/>
  <c r="G453" i="3"/>
  <c r="BL453" i="3"/>
  <c r="G455" i="3"/>
  <c r="BL455" i="3"/>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AZ246" i="3" s="1"/>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AZ294" i="3"/>
  <c r="BL15" i="3"/>
  <c r="AZ15" i="3" s="1"/>
  <c r="AZ398" i="3"/>
  <c r="AZ405" i="3"/>
  <c r="AZ407" i="3"/>
  <c r="AZ410" i="3"/>
  <c r="AZ415" i="3"/>
  <c r="AZ420" i="3"/>
  <c r="AZ425" i="3"/>
  <c r="AZ446" i="3"/>
  <c r="AZ450" i="3"/>
  <c r="AZ459" i="3"/>
  <c r="AZ464" i="3"/>
  <c r="AZ467" i="3"/>
  <c r="AZ474" i="3"/>
  <c r="AZ477" i="3"/>
  <c r="AZ480" i="3"/>
  <c r="AZ482" i="3"/>
  <c r="AZ486" i="3"/>
  <c r="AZ488" i="3"/>
  <c r="AZ216" i="3"/>
  <c r="AZ221" i="3"/>
  <c r="AZ226" i="3"/>
  <c r="AZ230" i="3"/>
  <c r="AZ242" i="3"/>
  <c r="AZ258" i="3"/>
  <c r="AZ262" i="3"/>
  <c r="AZ267" i="3"/>
  <c r="AZ278" i="3"/>
  <c r="BL281" i="3"/>
  <c r="AZ281" i="3" s="1"/>
  <c r="BA282" i="3"/>
  <c r="AZ282" i="3" s="1"/>
  <c r="BA283" i="3"/>
  <c r="AZ283" i="3" s="1"/>
  <c r="G286" i="3"/>
  <c r="G287" i="3"/>
  <c r="G288" i="3"/>
  <c r="G289" i="3"/>
  <c r="BL289" i="3"/>
  <c r="BA290" i="3"/>
  <c r="AZ290" i="3" s="1"/>
  <c r="BA291" i="3"/>
  <c r="AZ291" i="3" s="1"/>
  <c r="G294" i="3"/>
  <c r="BL294" i="3"/>
  <c r="BL296" i="3"/>
  <c r="AZ296" i="3" s="1"/>
  <c r="BA298" i="3"/>
  <c r="AZ298" i="3" s="1"/>
  <c r="BA299" i="3"/>
  <c r="AZ299" i="3" s="1"/>
  <c r="BA301" i="3"/>
  <c r="AZ301" i="3" s="1"/>
  <c r="BL114" i="3"/>
  <c r="AZ114" i="3" s="1"/>
  <c r="BL117" i="3"/>
  <c r="AZ117" i="3" s="1"/>
  <c r="BA118" i="3"/>
  <c r="AZ118" i="3" s="1"/>
  <c r="BL119" i="3"/>
  <c r="AZ119" i="3" s="1"/>
  <c r="BA121" i="3"/>
  <c r="AZ121" i="3" s="1"/>
  <c r="BA122" i="3"/>
  <c r="AZ122" i="3" s="1"/>
  <c r="BA124" i="3"/>
  <c r="AZ124" i="3" s="1"/>
  <c r="G126" i="3"/>
  <c r="G127" i="3"/>
  <c r="G128" i="3"/>
  <c r="G130" i="3"/>
  <c r="G131" i="3"/>
  <c r="G132" i="3"/>
  <c r="BA133" i="3"/>
  <c r="AZ133" i="3" s="1"/>
  <c r="BA134" i="3"/>
  <c r="AZ134" i="3" s="1"/>
  <c r="BA136" i="3"/>
  <c r="AZ136" i="3" s="1"/>
  <c r="G138" i="3"/>
  <c r="G139" i="3"/>
  <c r="G140" i="3"/>
  <c r="BA141" i="3"/>
  <c r="AZ141" i="3" s="1"/>
  <c r="BA142" i="3"/>
  <c r="AZ142" i="3" s="1"/>
  <c r="BA144" i="3"/>
  <c r="AZ144" i="3" s="1"/>
  <c r="BL145" i="3"/>
  <c r="AZ145" i="3" s="1"/>
  <c r="G148" i="3"/>
  <c r="BA149" i="3"/>
  <c r="AZ149" i="3" s="1"/>
  <c r="BA150" i="3"/>
  <c r="AZ150" i="3" s="1"/>
  <c r="BL151" i="3"/>
  <c r="AZ151" i="3" s="1"/>
  <c r="BA153" i="3"/>
  <c r="AZ153" i="3" s="1"/>
  <c r="BA154" i="3"/>
  <c r="AZ154" i="3" s="1"/>
  <c r="BL155" i="3"/>
  <c r="AZ155" i="3" s="1"/>
  <c r="G159" i="3"/>
  <c r="G160" i="3"/>
  <c r="BA161" i="3"/>
  <c r="AZ161" i="3" s="1"/>
  <c r="BA162" i="3"/>
  <c r="AZ162" i="3" s="1"/>
  <c r="BA164" i="3"/>
  <c r="AZ164" i="3" s="1"/>
  <c r="G166" i="3"/>
  <c r="G167" i="3"/>
  <c r="G168" i="3"/>
  <c r="BA169" i="3"/>
  <c r="AZ169" i="3" s="1"/>
  <c r="BA170" i="3"/>
  <c r="AZ170" i="3" s="1"/>
  <c r="BA172" i="3"/>
  <c r="AZ172" i="3" s="1"/>
  <c r="G174" i="3"/>
  <c r="G175" i="3"/>
  <c r="G176" i="3"/>
  <c r="BA177" i="3"/>
  <c r="AZ177" i="3" s="1"/>
  <c r="BA178" i="3"/>
  <c r="AZ178" i="3" s="1"/>
  <c r="BA180" i="3"/>
  <c r="AZ180" i="3" s="1"/>
  <c r="G182" i="3"/>
  <c r="G183" i="3"/>
  <c r="G184" i="3"/>
  <c r="BA185" i="3"/>
  <c r="AZ185" i="3" s="1"/>
  <c r="BA186" i="3"/>
  <c r="AZ186" i="3" s="1"/>
  <c r="BA188" i="3"/>
  <c r="AZ188" i="3" s="1"/>
  <c r="G190" i="3"/>
  <c r="G191" i="3"/>
  <c r="G192" i="3"/>
  <c r="BA193" i="3"/>
  <c r="AZ193" i="3" s="1"/>
  <c r="BA194" i="3"/>
  <c r="AZ194" i="3" s="1"/>
  <c r="BA196" i="3"/>
  <c r="AZ196" i="3" s="1"/>
  <c r="G200" i="3"/>
  <c r="BL202" i="3"/>
  <c r="AZ202" i="3" s="1"/>
  <c r="BA204" i="3"/>
  <c r="AZ204" i="3" s="1"/>
  <c r="BA205" i="3"/>
  <c r="AZ205" i="3" s="1"/>
  <c r="BA206" i="3"/>
  <c r="AZ206" i="3" s="1"/>
  <c r="BA207" i="3"/>
  <c r="AZ207" i="3" s="1"/>
  <c r="BA18" i="3"/>
  <c r="AZ18" i="3" s="1"/>
  <c r="BA19" i="3"/>
  <c r="AZ19" i="3" s="1"/>
  <c r="BA20" i="3"/>
  <c r="AZ20" i="3" s="1"/>
  <c r="BA21" i="3"/>
  <c r="AZ21" i="3" s="1"/>
  <c r="BA22" i="3"/>
  <c r="AZ22" i="3" s="1"/>
  <c r="BA23" i="3"/>
  <c r="AZ23" i="3" s="1"/>
  <c r="BA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BA99" i="3"/>
  <c r="AZ99" i="3" s="1"/>
  <c r="BL101" i="3"/>
  <c r="AZ101" i="3" s="1"/>
  <c r="G104" i="3"/>
  <c r="BL104" i="3"/>
  <c r="BA106" i="3"/>
  <c r="AZ106" i="3" s="1"/>
  <c r="BA107" i="3"/>
  <c r="AZ107" i="3" s="1"/>
  <c r="BL109" i="3"/>
  <c r="AZ109" i="3" s="1"/>
  <c r="BL111" i="3"/>
  <c r="AZ111" i="3" s="1"/>
  <c r="BA112" i="3"/>
  <c r="AZ112" i="3" s="1"/>
  <c r="P65" i="71"/>
  <c r="P66" i="71"/>
  <c r="C66" i="71"/>
  <c r="D67" i="71"/>
  <c r="X36" i="71"/>
  <c r="Y38" i="71"/>
  <c r="Z38" i="71" s="1"/>
  <c r="Y37" i="71"/>
  <c r="Z37" i="71" s="1"/>
  <c r="AZ34" i="3"/>
  <c r="AZ38" i="3"/>
  <c r="AZ44" i="3"/>
  <c r="AZ48" i="3"/>
  <c r="AZ64" i="3"/>
  <c r="AZ98" i="3"/>
  <c r="AZ104" i="3"/>
  <c r="C40" i="68"/>
  <c r="AB21" i="21"/>
  <c r="S21" i="34"/>
  <c r="D51" i="71"/>
  <c r="D55" i="71"/>
  <c r="E28" i="71"/>
  <c r="AA25" i="71"/>
  <c r="AA27" i="71"/>
  <c r="C39" i="71"/>
  <c r="Y25" i="71"/>
  <c r="Z25" i="71" s="1"/>
  <c r="X26" i="71"/>
  <c r="C30" i="71"/>
  <c r="Y28" i="71"/>
  <c r="Z28" i="71" s="1"/>
  <c r="F30" i="71"/>
  <c r="F31" i="71" s="1"/>
  <c r="F32" i="71" s="1"/>
  <c r="V32" i="71" s="1"/>
  <c r="AB29" i="71"/>
  <c r="AB25" i="71"/>
  <c r="AB27" i="71"/>
  <c r="Y30" i="71"/>
  <c r="Z30" i="71" s="1"/>
  <c r="Y32" i="71"/>
  <c r="Z32" i="71" s="1"/>
  <c r="AB32" i="71"/>
  <c r="B34" i="71"/>
  <c r="B35" i="71" s="1"/>
  <c r="B36" i="71" s="1"/>
  <c r="S36" i="71" s="1"/>
  <c r="X33" i="71"/>
  <c r="T72" i="71"/>
  <c r="D72" i="71"/>
  <c r="T80" i="71"/>
  <c r="D80" i="71"/>
  <c r="Y26" i="71"/>
  <c r="Z26" i="71" s="1"/>
  <c r="B32" i="71"/>
  <c r="S32" i="71" s="1"/>
  <c r="X30" i="71"/>
  <c r="AB30" i="71"/>
  <c r="F35" i="71"/>
  <c r="F36" i="71" s="1"/>
  <c r="V36" i="71" s="1"/>
  <c r="AA34" i="71"/>
  <c r="F39" i="71"/>
  <c r="F40" i="71" s="1"/>
  <c r="V40" i="71" s="1"/>
  <c r="V24" i="71"/>
  <c r="U27" i="21"/>
  <c r="S27" i="21"/>
  <c r="AB42" i="21"/>
  <c r="AC40" i="21"/>
  <c r="S40" i="21"/>
  <c r="AB38" i="21"/>
  <c r="AC35" i="21"/>
  <c r="U35" i="21"/>
  <c r="U34" i="21"/>
  <c r="AB36" i="21"/>
  <c r="F89" i="21"/>
  <c r="G89" i="21" s="1"/>
  <c r="H89" i="21" s="1"/>
  <c r="J26" i="21"/>
  <c r="D68" i="9"/>
  <c r="M18" i="15"/>
  <c r="F30" i="69"/>
  <c r="F48" i="69" s="1"/>
  <c r="M18" i="67"/>
  <c r="F31" i="12"/>
  <c r="F30" i="11"/>
  <c r="C48" i="11" s="1"/>
  <c r="C28" i="67"/>
  <c r="C21" i="68"/>
  <c r="E19" i="71"/>
  <c r="E18" i="71" s="1"/>
  <c r="E17" i="71" s="1"/>
  <c r="E16" i="71" s="1"/>
  <c r="V20" i="71"/>
  <c r="D17" i="71"/>
  <c r="C16" i="71"/>
  <c r="D19" i="53"/>
  <c r="B38" i="72" s="1"/>
  <c r="D16" i="53"/>
  <c r="B34" i="72" s="1"/>
  <c r="S20" i="35"/>
  <c r="U12" i="39"/>
  <c r="AA27" i="40"/>
  <c r="AB27" i="40"/>
  <c r="AZ343" i="3"/>
  <c r="S41" i="34"/>
  <c r="AA41" i="34"/>
  <c r="AB43" i="33"/>
  <c r="U43" i="33"/>
  <c r="AZ557" i="3"/>
  <c r="AZ517" i="3"/>
  <c r="AZ571" i="3"/>
  <c r="AZ575" i="3"/>
  <c r="AZ579" i="3"/>
  <c r="AB14" i="40"/>
  <c r="U14" i="40"/>
  <c r="AC47" i="34"/>
  <c r="W47" i="34"/>
  <c r="W31" i="33"/>
  <c r="AC31" i="33"/>
  <c r="AA44" i="34"/>
  <c r="S44" i="34"/>
  <c r="W36" i="34"/>
  <c r="AC36" i="34"/>
  <c r="U23" i="34"/>
  <c r="AB23" i="34"/>
  <c r="AB33" i="35"/>
  <c r="U33" i="35"/>
  <c r="AB23" i="40"/>
  <c r="U23" i="40"/>
  <c r="AB32" i="33"/>
  <c r="U32" i="33"/>
  <c r="AB40" i="39"/>
  <c r="U40" i="39"/>
  <c r="AC36" i="39"/>
  <c r="W36" i="39"/>
  <c r="W45" i="39"/>
  <c r="AC45" i="39"/>
  <c r="AB12" i="21"/>
  <c r="U12" i="21"/>
  <c r="AA34" i="21"/>
  <c r="S34" i="21"/>
  <c r="BA585" i="3"/>
  <c r="AZ585" i="3" s="1"/>
  <c r="AA42" i="21"/>
  <c r="S42" i="21"/>
  <c r="B94" i="43"/>
  <c r="B73" i="43"/>
  <c r="B99" i="43"/>
  <c r="B76" i="43"/>
  <c r="C27" i="39"/>
  <c r="U12" i="33"/>
  <c r="AB12" i="33"/>
  <c r="AB33" i="33"/>
  <c r="U33" i="33"/>
  <c r="J12" i="40"/>
  <c r="F12" i="40"/>
  <c r="H12" i="40"/>
  <c r="F38" i="40"/>
  <c r="J38" i="40"/>
  <c r="H38" i="40"/>
  <c r="U41" i="21"/>
  <c r="AB41" i="21"/>
  <c r="BA525" i="3"/>
  <c r="AZ525" i="3" s="1"/>
  <c r="BL524" i="3"/>
  <c r="AZ524" i="3" s="1"/>
  <c r="BL523" i="3"/>
  <c r="AZ523" i="3" s="1"/>
  <c r="BA521" i="3"/>
  <c r="AZ521" i="3" s="1"/>
  <c r="BL520" i="3"/>
  <c r="BA520" i="3"/>
  <c r="BL519" i="3"/>
  <c r="BA519" i="3"/>
  <c r="BL516" i="3"/>
  <c r="BL515" i="3"/>
  <c r="BA515" i="3"/>
  <c r="AZ515" i="3" s="1"/>
  <c r="BL514" i="3"/>
  <c r="AZ514" i="3" s="1"/>
  <c r="BA512" i="3"/>
  <c r="AZ512" i="3" s="1"/>
  <c r="BL511" i="3"/>
  <c r="BA511" i="3"/>
  <c r="AZ511" i="3" s="1"/>
  <c r="BA510" i="3"/>
  <c r="AZ510" i="3" s="1"/>
  <c r="BA509" i="3"/>
  <c r="AZ509" i="3" s="1"/>
  <c r="BL508" i="3"/>
  <c r="BA508" i="3"/>
  <c r="AZ508" i="3" s="1"/>
  <c r="BL507" i="3"/>
  <c r="AZ507" i="3" s="1"/>
  <c r="BL506" i="3"/>
  <c r="AZ506" i="3" s="1"/>
  <c r="BA505" i="3"/>
  <c r="AZ505" i="3" s="1"/>
  <c r="BL504" i="3"/>
  <c r="BA504" i="3"/>
  <c r="BL503" i="3"/>
  <c r="AZ503" i="3" s="1"/>
  <c r="BA502" i="3"/>
  <c r="AZ502" i="3" s="1"/>
  <c r="BA501" i="3"/>
  <c r="AZ501" i="3" s="1"/>
  <c r="BL498" i="3"/>
  <c r="BA498" i="3"/>
  <c r="AZ498" i="3" s="1"/>
  <c r="BA497" i="3"/>
  <c r="AZ497" i="3" s="1"/>
  <c r="BL496" i="3"/>
  <c r="BA496" i="3"/>
  <c r="BT5" i="3"/>
  <c r="G28" i="6" s="1"/>
  <c r="BP5" i="3"/>
  <c r="G29" i="6" s="1"/>
  <c r="BI5" i="3"/>
  <c r="BE5" i="3"/>
  <c r="BM5" i="3"/>
  <c r="F29" i="6" s="1"/>
  <c r="BH5" i="3"/>
  <c r="BD5" i="3"/>
  <c r="AZ379" i="3"/>
  <c r="AZ357" i="3"/>
  <c r="AZ372" i="3"/>
  <c r="AZ355" i="3"/>
  <c r="AZ337" i="3"/>
  <c r="AZ305" i="3"/>
  <c r="W40" i="37"/>
  <c r="AA13" i="33"/>
  <c r="S25" i="21"/>
  <c r="AA25" i="21"/>
  <c r="AZ495" i="3"/>
  <c r="AZ513" i="3"/>
  <c r="AZ567" i="3"/>
  <c r="AZ581" i="3"/>
  <c r="AZ516" i="3"/>
  <c r="AZ562" i="3"/>
  <c r="W13" i="36"/>
  <c r="AA14" i="33"/>
  <c r="AA44" i="33"/>
  <c r="AC14" i="37"/>
  <c r="W14" i="37"/>
  <c r="S13" i="35"/>
  <c r="AA13" i="35"/>
  <c r="AB46" i="33"/>
  <c r="U46" i="33"/>
  <c r="AC44" i="33"/>
  <c r="W44" i="33"/>
  <c r="W30" i="34"/>
  <c r="AC30" i="34"/>
  <c r="AA45" i="33"/>
  <c r="S45" i="33"/>
  <c r="AC29" i="33"/>
  <c r="W29" i="33"/>
  <c r="S15" i="34"/>
  <c r="AB33" i="37"/>
  <c r="U33" i="37"/>
  <c r="S29" i="35"/>
  <c r="AA29" i="35"/>
  <c r="W11" i="40"/>
  <c r="AC11" i="40"/>
  <c r="S39" i="37"/>
  <c r="AA39" i="37"/>
  <c r="AB36" i="39"/>
  <c r="U36" i="39"/>
  <c r="BL587" i="3"/>
  <c r="BA587" i="3"/>
  <c r="F12" i="21"/>
  <c r="J12" i="21"/>
  <c r="B72" i="43"/>
  <c r="C15" i="39"/>
  <c r="B101" i="43"/>
  <c r="B79" i="43"/>
  <c r="B97" i="43"/>
  <c r="B75" i="43"/>
  <c r="AB40" i="33"/>
  <c r="U40" i="33"/>
  <c r="H28" i="33"/>
  <c r="F28" i="33"/>
  <c r="J28" i="33"/>
  <c r="AC36" i="35"/>
  <c r="W36" i="35"/>
  <c r="H23" i="35"/>
  <c r="J23" i="35"/>
  <c r="J12" i="36"/>
  <c r="H12" i="36"/>
  <c r="F12" i="36"/>
  <c r="J24" i="36"/>
  <c r="H24" i="36"/>
  <c r="H25" i="37"/>
  <c r="J25" i="37"/>
  <c r="F25" i="37"/>
  <c r="AC40" i="39"/>
  <c r="W40" i="39"/>
  <c r="J14" i="39"/>
  <c r="AC14" i="39" s="1"/>
  <c r="H14" i="39"/>
  <c r="AC23" i="39"/>
  <c r="W23" i="39"/>
  <c r="J32" i="40"/>
  <c r="F32" i="40"/>
  <c r="H32" i="40"/>
  <c r="S38" i="34"/>
  <c r="AA38" i="34"/>
  <c r="BA584" i="3"/>
  <c r="AZ584" i="3" s="1"/>
  <c r="BL583" i="3"/>
  <c r="BA583" i="3"/>
  <c r="BL582" i="3"/>
  <c r="AZ582" i="3" s="1"/>
  <c r="BL580" i="3"/>
  <c r="AZ580" i="3" s="1"/>
  <c r="BL569" i="3"/>
  <c r="BA569" i="3"/>
  <c r="BL566" i="3"/>
  <c r="AZ566" i="3" s="1"/>
  <c r="BL565" i="3"/>
  <c r="BA565" i="3"/>
  <c r="BL564" i="3"/>
  <c r="AZ564" i="3" s="1"/>
  <c r="BA555" i="3"/>
  <c r="AZ555" i="3" s="1"/>
  <c r="BL554" i="3"/>
  <c r="BA554" i="3"/>
  <c r="BL553" i="3"/>
  <c r="AZ553" i="3" s="1"/>
  <c r="BA552" i="3"/>
  <c r="AZ552" i="3" s="1"/>
  <c r="BL550" i="3"/>
  <c r="AZ550" i="3" s="1"/>
  <c r="BL549" i="3"/>
  <c r="BA549" i="3"/>
  <c r="AZ549" i="3" s="1"/>
  <c r="BL548" i="3"/>
  <c r="BL5" i="3" s="1"/>
  <c r="AZ400" i="3"/>
  <c r="AZ413" i="3"/>
  <c r="AZ424" i="3"/>
  <c r="AZ548" i="3"/>
  <c r="J26" i="37"/>
  <c r="H26" i="37"/>
  <c r="F26" i="37"/>
  <c r="H44" i="39"/>
  <c r="F44" i="39"/>
  <c r="J39" i="40"/>
  <c r="H39" i="40"/>
  <c r="BA551" i="3"/>
  <c r="AZ551" i="3" s="1"/>
  <c r="AZ430" i="3"/>
  <c r="AZ432" i="3"/>
  <c r="AZ434" i="3"/>
  <c r="AZ445" i="3"/>
  <c r="AZ447" i="3"/>
  <c r="AZ449" i="3"/>
  <c r="AZ453" i="3"/>
  <c r="AZ455" i="3"/>
  <c r="AZ460" i="3"/>
  <c r="AZ471" i="3"/>
  <c r="AZ476" i="3"/>
  <c r="AZ478" i="3"/>
  <c r="AZ484" i="3"/>
  <c r="AZ492" i="3"/>
  <c r="AZ395" i="3"/>
  <c r="AZ208" i="3"/>
  <c r="AZ211" i="3"/>
  <c r="AZ219" i="3"/>
  <c r="AZ236" i="3"/>
  <c r="AZ252" i="3"/>
  <c r="AZ272" i="3"/>
  <c r="AZ276" i="3"/>
  <c r="AZ289" i="3"/>
  <c r="AZ300" i="3"/>
  <c r="AZ302" i="3"/>
  <c r="AZ113" i="3"/>
  <c r="AZ201" i="3"/>
  <c r="AZ27" i="3"/>
  <c r="AZ52" i="3"/>
  <c r="AZ56" i="3"/>
  <c r="AZ60" i="3"/>
  <c r="AZ73" i="3"/>
  <c r="AZ78" i="3"/>
  <c r="AZ87" i="3"/>
  <c r="AZ91" i="3"/>
  <c r="AZ95" i="3"/>
  <c r="AZ108" i="3"/>
  <c r="X31" i="71"/>
  <c r="X32" i="71"/>
  <c r="AB34" i="71"/>
  <c r="AB33" i="71"/>
  <c r="AA35" i="71"/>
  <c r="AA36" i="71"/>
  <c r="X9" i="71"/>
  <c r="X10" i="71"/>
  <c r="X39" i="71"/>
  <c r="U18" i="36"/>
  <c r="X25" i="71"/>
  <c r="X27" i="71"/>
  <c r="E30" i="71"/>
  <c r="E31" i="71" s="1"/>
  <c r="E32" i="71" s="1"/>
  <c r="U32" i="71" s="1"/>
  <c r="AA29" i="71"/>
  <c r="Y35" i="71"/>
  <c r="Z35" i="71" s="1"/>
  <c r="Y33" i="71"/>
  <c r="Z33" i="71" s="1"/>
  <c r="B38" i="71"/>
  <c r="B39" i="71" s="1"/>
  <c r="B40" i="71" s="1"/>
  <c r="S40" i="71" s="1"/>
  <c r="X37" i="71"/>
  <c r="AB38" i="71"/>
  <c r="AB37" i="71"/>
  <c r="AB10" i="71"/>
  <c r="AB9" i="71"/>
  <c r="AB39" i="71"/>
  <c r="Y9" i="71"/>
  <c r="Z9" i="71" s="1"/>
  <c r="Y10" i="71"/>
  <c r="Z10" i="71" s="1"/>
  <c r="AA9" i="71"/>
  <c r="AA10" i="71"/>
  <c r="X22" i="71"/>
  <c r="AA24" i="71"/>
  <c r="AA23" i="71"/>
  <c r="AA22" i="71"/>
  <c r="X21" i="71"/>
  <c r="Y18" i="71"/>
  <c r="Z18" i="71" s="1"/>
  <c r="X17" i="71"/>
  <c r="Y17" i="71"/>
  <c r="Z17" i="71" s="1"/>
  <c r="AA17" i="71"/>
  <c r="AB18" i="71"/>
  <c r="Y14" i="71"/>
  <c r="Z14" i="71" s="1"/>
  <c r="S68" i="71"/>
  <c r="B67" i="71"/>
  <c r="AB24" i="71"/>
  <c r="Y21" i="71"/>
  <c r="Z21" i="71" s="1"/>
  <c r="AB23" i="71"/>
  <c r="AB21" i="71"/>
  <c r="AA21" i="71"/>
  <c r="X18" i="71"/>
  <c r="AA18" i="71"/>
  <c r="X13" i="71"/>
  <c r="AA14" i="71"/>
  <c r="AB17" i="71"/>
  <c r="X24" i="71"/>
  <c r="Y24" i="71"/>
  <c r="Z24" i="71" s="1"/>
  <c r="AB15" i="71"/>
  <c r="AB13" i="71"/>
  <c r="AB14" i="71"/>
  <c r="Y12" i="71"/>
  <c r="Z12" i="71" s="1"/>
  <c r="Y13" i="71"/>
  <c r="Z13" i="71" s="1"/>
  <c r="AA11" i="71"/>
  <c r="Y23" i="71"/>
  <c r="Z23" i="71" s="1"/>
  <c r="Y22" i="71"/>
  <c r="Z22" i="71" s="1"/>
  <c r="X15" i="71"/>
  <c r="AA15" i="71"/>
  <c r="AB12" i="71"/>
  <c r="AB11" i="71"/>
  <c r="Y11" i="71"/>
  <c r="Z11" i="71" s="1"/>
  <c r="AA13" i="71"/>
  <c r="AA12" i="71"/>
  <c r="X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510" i="3" l="1"/>
  <c r="E539" i="3"/>
  <c r="E165" i="3"/>
  <c r="E536" i="3"/>
  <c r="E244" i="3"/>
  <c r="E149" i="3"/>
  <c r="E212" i="3"/>
  <c r="E199" i="3"/>
  <c r="E141" i="3"/>
  <c r="E312" i="3"/>
  <c r="E575" i="3"/>
  <c r="AD6" i="3"/>
  <c r="E542" i="3"/>
  <c r="R6" i="3"/>
  <c r="E552" i="3"/>
  <c r="E421" i="3"/>
  <c r="E442" i="3"/>
  <c r="E466" i="3"/>
  <c r="E487" i="3"/>
  <c r="E541" i="3"/>
  <c r="E416" i="3"/>
  <c r="E449" i="3"/>
  <c r="E459" i="3"/>
  <c r="E255" i="3"/>
  <c r="E374" i="3"/>
  <c r="I3" i="6"/>
  <c r="E566" i="3"/>
  <c r="AP6" i="3"/>
  <c r="E554" i="3"/>
  <c r="E582" i="3"/>
  <c r="E517" i="3"/>
  <c r="E413" i="3"/>
  <c r="E435" i="3"/>
  <c r="E460" i="3"/>
  <c r="E491" i="3"/>
  <c r="E520" i="3"/>
  <c r="E417" i="3"/>
  <c r="E436" i="3"/>
  <c r="E479" i="3"/>
  <c r="E39" i="3"/>
  <c r="E56" i="3"/>
  <c r="E90" i="3"/>
  <c r="E57" i="3"/>
  <c r="E152" i="3"/>
  <c r="E187" i="3"/>
  <c r="E155" i="3"/>
  <c r="E297" i="3"/>
  <c r="E259" i="3"/>
  <c r="E292" i="3"/>
  <c r="E348" i="3"/>
  <c r="E363" i="3"/>
  <c r="E378" i="3"/>
  <c r="E349" i="3"/>
  <c r="E375" i="3"/>
  <c r="E389" i="3"/>
  <c r="E504" i="3"/>
  <c r="E544" i="3"/>
  <c r="E76" i="3"/>
  <c r="E110" i="3"/>
  <c r="E409" i="3"/>
  <c r="E484" i="3"/>
  <c r="E521" i="3"/>
  <c r="E425" i="3"/>
  <c r="E446" i="3"/>
  <c r="E46" i="3"/>
  <c r="E65" i="3"/>
  <c r="E103" i="3"/>
  <c r="E195" i="3"/>
  <c r="E142" i="3"/>
  <c r="E163" i="3"/>
  <c r="E248" i="3"/>
  <c r="E209" i="3"/>
  <c r="E249" i="3"/>
  <c r="E300" i="3"/>
  <c r="E307" i="3"/>
  <c r="E371" i="3"/>
  <c r="E386" i="3"/>
  <c r="E310" i="3"/>
  <c r="E354" i="3"/>
  <c r="E492" i="3"/>
  <c r="E584" i="3"/>
  <c r="E23" i="3"/>
  <c r="E66" i="3"/>
  <c r="E24" i="3"/>
  <c r="E67" i="3"/>
  <c r="E144" i="3"/>
  <c r="E250" i="3"/>
  <c r="E233" i="3"/>
  <c r="E284" i="3"/>
  <c r="E355" i="3"/>
  <c r="E341" i="3"/>
  <c r="E381" i="3"/>
  <c r="Y6" i="3"/>
  <c r="E68" i="3"/>
  <c r="E51" i="3"/>
  <c r="E19" i="3"/>
  <c r="E81" i="3"/>
  <c r="E154" i="3"/>
  <c r="E118" i="3"/>
  <c r="E179" i="3"/>
  <c r="E264" i="3"/>
  <c r="E222" i="3"/>
  <c r="E283" i="3"/>
  <c r="E309" i="3"/>
  <c r="E373" i="3"/>
  <c r="E513" i="3"/>
  <c r="E21" i="3"/>
  <c r="E329" i="3"/>
  <c r="E205" i="3"/>
  <c r="E16" i="3"/>
  <c r="E296" i="3"/>
  <c r="E188" i="3"/>
  <c r="E223" i="3"/>
  <c r="E197" i="3"/>
  <c r="E116" i="3"/>
  <c r="E173" i="3"/>
  <c r="E105" i="3"/>
  <c r="E393" i="3"/>
  <c r="E525" i="3"/>
  <c r="E493" i="3"/>
  <c r="E534" i="3"/>
  <c r="E564" i="3"/>
  <c r="T6" i="3"/>
  <c r="E543" i="3"/>
  <c r="E427" i="3"/>
  <c r="E456" i="3"/>
  <c r="E469" i="3"/>
  <c r="E512" i="3"/>
  <c r="E422" i="3"/>
  <c r="E408" i="3"/>
  <c r="E440" i="3"/>
  <c r="E451" i="3"/>
  <c r="E490" i="3"/>
  <c r="E360" i="3"/>
  <c r="E376" i="3"/>
  <c r="AH6" i="3"/>
  <c r="E497" i="3"/>
  <c r="J6" i="3"/>
  <c r="E13" i="3"/>
  <c r="E498" i="3"/>
  <c r="E419" i="3"/>
  <c r="E452" i="3"/>
  <c r="E483" i="3"/>
  <c r="E470" i="3"/>
  <c r="E401" i="3"/>
  <c r="E463" i="3"/>
  <c r="E26" i="3"/>
  <c r="E40" i="3"/>
  <c r="E25" i="3"/>
  <c r="E108" i="3"/>
  <c r="E115" i="3"/>
  <c r="E178" i="3"/>
  <c r="E198" i="3"/>
  <c r="E119" i="3"/>
  <c r="E202" i="3"/>
  <c r="E225" i="3"/>
  <c r="E281" i="3"/>
  <c r="E243" i="3"/>
  <c r="E276" i="3"/>
  <c r="E332" i="3"/>
  <c r="E346" i="3"/>
  <c r="E391" i="3"/>
  <c r="E333" i="3"/>
  <c r="E356" i="3"/>
  <c r="E372" i="3"/>
  <c r="AL6" i="3"/>
  <c r="L6" i="3"/>
  <c r="E75" i="3"/>
  <c r="E540" i="3"/>
  <c r="E428" i="3"/>
  <c r="E15" i="3"/>
  <c r="E412" i="3"/>
  <c r="E18" i="3"/>
  <c r="E79" i="3"/>
  <c r="E96" i="3"/>
  <c r="E100" i="3"/>
  <c r="E129" i="3"/>
  <c r="E170" i="3"/>
  <c r="E137" i="3"/>
  <c r="E194" i="3"/>
  <c r="E220" i="3"/>
  <c r="E234" i="3"/>
  <c r="E275" i="3"/>
  <c r="E219" i="3"/>
  <c r="E235" i="3"/>
  <c r="E299" i="3"/>
  <c r="E324" i="3"/>
  <c r="E339" i="3"/>
  <c r="E383" i="3"/>
  <c r="E325" i="3"/>
  <c r="E342" i="3"/>
  <c r="E522" i="3"/>
  <c r="AQ6" i="3"/>
  <c r="E35" i="3"/>
  <c r="E52" i="3"/>
  <c r="E36" i="3"/>
  <c r="E112" i="3"/>
  <c r="E49" i="3"/>
  <c r="E123" i="3"/>
  <c r="E206" i="3"/>
  <c r="E147" i="3"/>
  <c r="E232" i="3"/>
  <c r="E251" i="3"/>
  <c r="E340" i="3"/>
  <c r="E370" i="3"/>
  <c r="E364" i="3"/>
  <c r="AF6" i="3"/>
  <c r="E50" i="3"/>
  <c r="E102" i="3"/>
  <c r="E20" i="3"/>
  <c r="E80" i="3"/>
  <c r="E62" i="3"/>
  <c r="E113" i="3"/>
  <c r="E158" i="3"/>
  <c r="E218" i="3"/>
  <c r="E308" i="3"/>
  <c r="E365" i="3"/>
  <c r="E326" i="3"/>
  <c r="E22"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C31" i="71"/>
  <c r="D30" i="71"/>
  <c r="E27" i="71"/>
  <c r="E26" i="71" s="1"/>
  <c r="V28" i="71"/>
  <c r="E104" i="3"/>
  <c r="E98" i="3"/>
  <c r="E94" i="3"/>
  <c r="E87" i="3"/>
  <c r="E83" i="3"/>
  <c r="E78" i="3"/>
  <c r="E64" i="3"/>
  <c r="E59" i="3"/>
  <c r="E47" i="3"/>
  <c r="E42" i="3"/>
  <c r="E37" i="3"/>
  <c r="E34" i="3"/>
  <c r="E167" i="3"/>
  <c r="E140" i="3"/>
  <c r="E138" i="3"/>
  <c r="E132" i="3"/>
  <c r="E286" i="3"/>
  <c r="E266" i="3"/>
  <c r="E258" i="3"/>
  <c r="E241" i="3"/>
  <c r="E226" i="3"/>
  <c r="E392" i="3"/>
  <c r="E323" i="3"/>
  <c r="E482" i="3"/>
  <c r="E473" i="3"/>
  <c r="E467" i="3"/>
  <c r="E464" i="3"/>
  <c r="AZ438" i="3"/>
  <c r="AZ435" i="3"/>
  <c r="E430" i="3"/>
  <c r="AZ422" i="3"/>
  <c r="E398" i="3"/>
  <c r="E500" i="3"/>
  <c r="E507" i="3"/>
  <c r="E524" i="3"/>
  <c r="E556" i="3"/>
  <c r="AA9" i="36"/>
  <c r="S9" i="36"/>
  <c r="AZ569" i="3"/>
  <c r="AZ583" i="3"/>
  <c r="C40" i="71"/>
  <c r="D39" i="71"/>
  <c r="D66" i="71"/>
  <c r="O65" i="71"/>
  <c r="O66" i="71"/>
  <c r="E95" i="3"/>
  <c r="E86" i="3"/>
  <c r="E84" i="3"/>
  <c r="E82" i="3"/>
  <c r="E63" i="3"/>
  <c r="E60" i="3"/>
  <c r="E58" i="3"/>
  <c r="E48" i="3"/>
  <c r="E43" i="3"/>
  <c r="E41" i="3"/>
  <c r="E38" i="3"/>
  <c r="E33" i="3"/>
  <c r="E200" i="3"/>
  <c r="E192" i="3"/>
  <c r="E190" i="3"/>
  <c r="E184" i="3"/>
  <c r="E176" i="3"/>
  <c r="E174" i="3"/>
  <c r="E160" i="3"/>
  <c r="E148" i="3"/>
  <c r="E139" i="3"/>
  <c r="E131" i="3"/>
  <c r="E127" i="3"/>
  <c r="E289" i="3"/>
  <c r="E287" i="3"/>
  <c r="E267" i="3"/>
  <c r="E265" i="3"/>
  <c r="E242" i="3"/>
  <c r="E240" i="3"/>
  <c r="E369" i="3"/>
  <c r="E488" i="3"/>
  <c r="E486" i="3"/>
  <c r="E462" i="3"/>
  <c r="E455" i="3"/>
  <c r="E420" i="3"/>
  <c r="E405" i="3"/>
  <c r="E494" i="3"/>
  <c r="E499" i="3"/>
  <c r="E502" i="3"/>
  <c r="AC13" i="21"/>
  <c r="W13" i="21"/>
  <c r="W26" i="21"/>
  <c r="AC26" i="21"/>
  <c r="I89" i="21"/>
  <c r="J89" i="21" s="1"/>
  <c r="H26" i="21"/>
  <c r="B15" i="71"/>
  <c r="B14" i="71" s="1"/>
  <c r="B13" i="71" s="1"/>
  <c r="B12" i="71" s="1"/>
  <c r="S16" i="71"/>
  <c r="F7" i="36"/>
  <c r="J7" i="37"/>
  <c r="H7" i="36"/>
  <c r="W39" i="40"/>
  <c r="AC39" i="40"/>
  <c r="U44" i="39"/>
  <c r="AB44" i="39"/>
  <c r="AB26" i="37"/>
  <c r="U26" i="37"/>
  <c r="AZ554" i="3"/>
  <c r="AZ565" i="3"/>
  <c r="AB32" i="40"/>
  <c r="U32" i="40"/>
  <c r="AC32" i="40"/>
  <c r="W32" i="40"/>
  <c r="AC25" i="37"/>
  <c r="W25" i="37"/>
  <c r="AB24" i="36"/>
  <c r="U24" i="36"/>
  <c r="AA12" i="36"/>
  <c r="S12" i="36"/>
  <c r="AC12" i="36"/>
  <c r="W12" i="36"/>
  <c r="U23" i="35"/>
  <c r="AB23" i="35"/>
  <c r="AA28" i="33"/>
  <c r="S28" i="33"/>
  <c r="AC12" i="21"/>
  <c r="W12" i="21"/>
  <c r="AZ587" i="3"/>
  <c r="AZ496" i="3"/>
  <c r="AZ504" i="3"/>
  <c r="AZ519" i="3"/>
  <c r="AZ520" i="3"/>
  <c r="AB38" i="40"/>
  <c r="U38" i="40"/>
  <c r="AA38" i="40"/>
  <c r="S38" i="40"/>
  <c r="S12" i="40"/>
  <c r="AA12" i="40"/>
  <c r="C15" i="71"/>
  <c r="T16" i="71"/>
  <c r="E15" i="71"/>
  <c r="E14" i="71" s="1"/>
  <c r="E13" i="71" s="1"/>
  <c r="E12" i="71" s="1"/>
  <c r="V16" i="71"/>
  <c r="N67" i="71"/>
  <c r="B66" i="71"/>
  <c r="U39" i="40"/>
  <c r="AB39" i="40"/>
  <c r="AA44" i="39"/>
  <c r="S44" i="39"/>
  <c r="AA26" i="37"/>
  <c r="S26" i="37"/>
  <c r="AC26" i="37"/>
  <c r="W26" i="37"/>
  <c r="AA32" i="40"/>
  <c r="S32" i="40"/>
  <c r="AB14" i="39"/>
  <c r="U14" i="39"/>
  <c r="AA25" i="37"/>
  <c r="S25" i="37"/>
  <c r="U25" i="37"/>
  <c r="AB25" i="37"/>
  <c r="AC24" i="36"/>
  <c r="W24" i="36"/>
  <c r="U12" i="36"/>
  <c r="AB12" i="36"/>
  <c r="AC23" i="35"/>
  <c r="W23" i="35"/>
  <c r="W28" i="33"/>
  <c r="AC28" i="33"/>
  <c r="U28" i="33"/>
  <c r="AB28" i="33"/>
  <c r="S12" i="21"/>
  <c r="AA12" i="21"/>
  <c r="AC38" i="40"/>
  <c r="W38" i="40"/>
  <c r="U12" i="40"/>
  <c r="AB12" i="40"/>
  <c r="W12" i="40"/>
  <c r="AC12" i="40"/>
  <c r="BA5" i="3"/>
  <c r="E27" i="6" s="1"/>
  <c r="K26" i="6" s="1"/>
  <c r="M26" i="6" s="1"/>
  <c r="I26" i="6" s="1"/>
  <c r="S26" i="6" s="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67" i="39" l="1"/>
  <c r="AZ5" i="3"/>
  <c r="E3" i="6" s="1"/>
  <c r="K89" i="21"/>
  <c r="L89" i="21" s="1"/>
  <c r="M89" i="21" s="1"/>
  <c r="F26" i="21"/>
  <c r="D40" i="71"/>
  <c r="T40" i="71"/>
  <c r="C32" i="71"/>
  <c r="D31" i="71"/>
  <c r="AB26" i="21"/>
  <c r="U26" i="21"/>
  <c r="AY6" i="3"/>
  <c r="E65" i="39"/>
  <c r="E11" i="71"/>
  <c r="E10" i="71" s="1"/>
  <c r="E9" i="71" s="1"/>
  <c r="E8" i="71" s="1"/>
  <c r="E7" i="71" s="1"/>
  <c r="E6" i="71" s="1"/>
  <c r="E5" i="71" s="1"/>
  <c r="V12" i="71"/>
  <c r="C14" i="71"/>
  <c r="D15" i="7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D14" i="12"/>
  <c r="D17" i="12" s="1"/>
  <c r="C17" i="12" s="1"/>
  <c r="D3" i="33"/>
  <c r="D3" i="21"/>
  <c r="D37" i="11"/>
  <c r="D19" i="11"/>
  <c r="C19" i="11" s="1"/>
  <c r="C17" i="4"/>
  <c r="D3" i="37"/>
  <c r="E6" i="6"/>
  <c r="D3" i="34"/>
  <c r="D116" i="43"/>
  <c r="D32" i="71"/>
  <c r="T32" i="71"/>
  <c r="S26" i="21"/>
  <c r="AA26" i="2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B4" i="52" l="1"/>
  <c r="B43" i="72" s="1"/>
  <c r="C33" i="2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J33" i="21" l="1"/>
  <c r="F33" i="21"/>
  <c r="H33" i="2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AA33" i="21" l="1"/>
  <c r="S33" i="21"/>
  <c r="AB33" i="21"/>
  <c r="U33" i="21"/>
  <c r="AC33" i="21"/>
  <c r="W33" i="21"/>
  <c r="J7" i="2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l="1"/>
  <c r="AC7" i="21"/>
  <c r="V48" i="21" s="1"/>
  <c r="I48"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C102" i="9" l="1"/>
  <c r="C21" i="9"/>
  <c r="B3" i="2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2" i="36"/>
  <c r="D19" i="9"/>
  <c r="L51" i="15"/>
  <c r="D2" i="37"/>
  <c r="D2" i="34"/>
  <c r="D2" i="35"/>
  <c r="C103" i="9" l="1"/>
  <c r="G19" i="9"/>
  <c r="D102" i="9"/>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AO9" i="1"/>
  <c r="AO8" i="1"/>
  <c r="AO6" i="1"/>
  <c r="AO10" i="1"/>
  <c r="D20" i="9"/>
  <c r="AO11" i="1"/>
  <c r="G21" i="9" l="1"/>
  <c r="D14" i="74"/>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4" i="9" l="1"/>
  <c r="C68" i="9"/>
  <c r="B49" i="72"/>
  <c r="D5" i="52"/>
  <c r="D119" i="9"/>
  <c r="B31" i="72"/>
  <c r="D15" i="53"/>
  <c r="D8" i="52"/>
  <c r="B48" i="72"/>
  <c r="E4" i="52"/>
  <c r="B53" i="72"/>
  <c r="F5" i="52"/>
  <c r="F119" i="9"/>
  <c r="B30" i="72"/>
  <c r="N60" i="9"/>
  <c r="N59" i="9"/>
  <c r="N61" i="9"/>
  <c r="B22" i="72"/>
  <c r="D6" i="53"/>
  <c r="C5" i="74"/>
  <c r="D122" i="9"/>
  <c r="D123" i="9"/>
  <c r="D9" i="52"/>
  <c r="C80" i="9"/>
  <c r="E80" i="9"/>
  <c r="E81" i="9"/>
  <c r="C72" i="9"/>
  <c r="C79" i="9"/>
  <c r="C81" i="9"/>
  <c r="C104" i="9"/>
  <c r="H4" i="52"/>
  <c r="C105" i="9"/>
  <c r="I4" i="52"/>
  <c r="M48" i="9"/>
  <c r="H108" i="9"/>
  <c r="C6" i="74"/>
  <c r="H107" i="9"/>
  <c r="D13" i="53"/>
  <c r="D14" i="53"/>
  <c r="B32" i="72"/>
  <c r="N58" i="9"/>
  <c r="D55" i="9"/>
  <c r="M53" i="9"/>
  <c r="N57" i="9"/>
  <c r="P57" i="9"/>
  <c r="D5" i="53"/>
  <c r="B20" i="72"/>
  <c r="D52" i="9"/>
  <c r="D53" i="9"/>
  <c r="C96" i="9"/>
  <c r="E96" i="9"/>
  <c r="E97" i="9"/>
  <c r="G4" i="52"/>
  <c r="B52" i="72"/>
  <c r="E118" i="9"/>
  <c r="D118" i="9"/>
  <c r="D4" i="52"/>
  <c r="B47" i="72"/>
  <c r="H119" i="9"/>
  <c r="H5" i="52"/>
  <c r="G118" i="9"/>
  <c r="F118" i="9"/>
  <c r="F4" i="52"/>
  <c r="B51" i="72"/>
  <c r="H102" i="9"/>
  <c r="D7" i="53"/>
  <c r="B21" i="72"/>
  <c r="C64" i="9"/>
  <c r="C63" i="9"/>
  <c r="C67" i="9"/>
  <c r="D59" i="9"/>
  <c r="M55" i="9"/>
  <c r="C78" i="9"/>
  <c r="C73" i="9"/>
  <c r="C93" i="9"/>
  <c r="C86" i="9"/>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<sst xmlns="http://schemas.openxmlformats.org/spreadsheetml/2006/main" count="7906" uniqueCount="3462">
  <si>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</si>
  <si>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</si>
  <si>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</si>
  <si>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</si>
  <si>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</si>
  <si>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</si>
  <si>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</si>
  <si>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</si>
  <si>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</si>
  <si>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</si>
  <si>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</si>
  <si>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</si>
  <si>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</si>
  <si>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</si>
  <si>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</si>
  <si>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</si>
  <si>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</si>
  <si>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</si>
  <si>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</si>
  <si>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</si>
  <si>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</si>
  <si>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</si>
  <si>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</si>
  <si>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</si>
  <si>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</si>
  <si>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</si>
  <si>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</si>
  <si>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</si>
  <si>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</si>
  <si>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</si>
  <si>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</si>
  <si>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</si>
  <si>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</si>
  <si>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</si>
  <si>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</si>
  <si>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</si>
  <si>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</si>
  <si>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</si>
  <si>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</si>
  <si>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</si>
  <si>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</si>
  <si>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</si>
  <si>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</si>
  <si>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</si>
  <si>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</si>
  <si>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</si>
  <si>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</si>
  <si>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</si>
  <si>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</si>
  <si>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</si>
  <si>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</si>
  <si>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</si>
  <si>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</si>
  <si>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</si>
  <si>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</si>
  <si>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</si>
  <si>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</si>
  <si>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</si>
  <si>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</si>
  <si>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</si>
  <si>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</si>
  <si>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</si>
  <si>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</si>
  <si>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</si>
  <si>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</si>
  <si>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</si>
  <si>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</si>
  <si>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</si>
  <si>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</si>
  <si>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</si>
  <si>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</si>
  <si>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</si>
  <si>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</si>
  <si>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</si>
  <si>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</si>
  <si>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</si>
  <si>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</si>
  <si>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</si>
  <si>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</si>
  <si>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</si>
  <si>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</si>
  <si>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</si>
  <si>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</si>
  <si>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</si>
  <si>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</si>
  <si>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</si>
  <si>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</si>
  <si>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</si>
  <si>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</si>
  <si>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</si>
  <si>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</si>
  <si>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</si>
  <si>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</si>
  <si>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</si>
  <si>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</si>
  <si>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</si>
  <si>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</si>
  <si>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</si>
  <si>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</si>
  <si>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</si>
  <si>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</si>
  <si>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</si>
  <si>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</si>
  <si>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</si>
  <si>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</si>
  <si>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</si>
  <si>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</si>
  <si>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</si>
  <si>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</si>
  <si>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</si>
  <si>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</si>
  <si>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</si>
  <si>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</si>
  <si>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</si>
  <si>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</si>
  <si>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</si>
  <si>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</si>
  <si>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</si>
  <si>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</si>
  <si>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</si>
  <si>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</si>
  <si>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</si>
  <si>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</si>
  <si>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</si>
  <si>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</si>
  <si>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</si>
  <si>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</si>
  <si>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</si>
  <si>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</si>
  <si>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</si>
  <si>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</si>
  <si>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</si>
  <si>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</si>
  <si>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</si>
  <si>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</si>
  <si>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</si>
  <si>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</si>
  <si>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</si>
  <si>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</si>
  <si>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</si>
  <si>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</si>
  <si>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</si>
  <si>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</si>
  <si>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</si>
  <si>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</si>
  <si>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</si>
  <si>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</si>
  <si>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</si>
  <si>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</si>
  <si>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</si>
  <si>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</si>
  <si>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</si>
  <si>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</si>
  <si>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</si>
  <si>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</si>
  <si>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</si>
  <si>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</si>
  <si>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</si>
  <si>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</si>
  <si>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</si>
  <si>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</si>
  <si>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</si>
  <si>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</si>
  <si>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</si>
  <si>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</si>
  <si>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</si>
  <si>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</si>
  <si>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</si>
  <si>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</si>
  <si>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</si>
  <si>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</si>
  <si>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</si>
  <si>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</si>
  <si>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</si>
  <si>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</si>
  <si>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</si>
  <si>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</si>
  <si>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</si>
  <si>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</si>
  <si>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</si>
  <si>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</si>
  <si>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</si>
  <si>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</si>
  <si>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</si>
  <si>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</si>
  <si>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</si>
  <si>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</si>
  <si>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</si>
  <si>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</si>
  <si>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</si>
  <si>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</si>
  <si>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</si>
  <si>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</si>
  <si>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</si>
  <si>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</si>
  <si>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</si>
  <si>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</si>
  <si>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</si>
  <si>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</si>
  <si>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</si>
  <si>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</si>
  <si>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</si>
  <si>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</si>
  <si>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</si>
  <si>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</si>
  <si>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</si>
  <si>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</si>
  <si>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</si>
  <si>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</si>
  <si>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</si>
  <si>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</si>
  <si>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</si>
  <si>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</si>
  <si>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</si>
  <si>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</si>
  <si>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</si>
  <si>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</si>
  <si>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</si>
  <si>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</si>
  <si>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</si>
  <si>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</si>
  <si>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</si>
  <si>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</si>
  <si>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</si>
  <si>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</si>
  <si>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</si>
  <si>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</si>
  <si>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</si>
  <si>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</si>
  <si>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</si>
  <si>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</si>
  <si>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</si>
  <si>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</si>
  <si>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</si>
  <si>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</si>
  <si>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</si>
  <si>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</si>
  <si>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</si>
  <si>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</si>
  <si>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</si>
  <si>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</si>
  <si>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</si>
  <si>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</si>
  <si>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</si>
  <si>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</si>
  <si>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</si>
  <si>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</si>
  <si>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</si>
  <si>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</si>
  <si>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</si>
  <si>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</si>
  <si>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</si>
  <si>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</si>
  <si>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</si>
  <si>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</si>
  <si>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</si>
  <si>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</si>
  <si>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</si>
  <si>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</si>
  <si>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</si>
  <si>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</si>
  <si>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</si>
  <si>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</si>
  <si>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</si>
  <si>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</si>
  <si>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</si>
  <si>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</si>
  <si>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</si>
  <si>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</si>
  <si>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</si>
  <si>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</si>
  <si>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</si>
  <si>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</si>
  <si>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</si>
  <si>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</si>
  <si>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</si>
  <si>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</si>
  <si>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</si>
  <si>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</si>
  <si>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</si>
  <si>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</si>
  <si>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</si>
  <si>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</si>
  <si>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</si>
  <si>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</si>
  <si>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</si>
  <si>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</si>
  <si>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</si>
  <si>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</si>
  <si>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</si>
  <si>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</si>
  <si>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</si>
  <si>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</si>
  <si>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</si>
  <si>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</si>
  <si>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</si>
  <si>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</si>
  <si>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</si>
  <si>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</si>
  <si>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</si>
  <si>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</si>
  <si>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</si>
  <si>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</si>
  <si>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</si>
  <si>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</si>
  <si>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</si>
  <si>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</si>
  <si>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</si>
  <si>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</si>
  <si>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</si>
  <si>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</si>
  <si>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</si>
  <si>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</si>
  <si>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</si>
  <si>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</si>
  <si>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</si>
  <si>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</si>
  <si>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</si>
  <si>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</si>
  <si>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</si>
  <si>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</si>
  <si>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</si>
  <si>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</si>
  <si>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</si>
  <si>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</si>
  <si>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</si>
  <si>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</si>
  <si>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</si>
  <si>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</si>
  <si>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</si>
  <si>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</si>
  <si>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</si>
  <si>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</si>
  <si>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</si>
  <si>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</si>
  <si>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</si>
  <si>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</si>
  <si>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</si>
  <si>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</si>
  <si>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</si>
  <si>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</si>
  <si>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</si>
  <si>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</si>
  <si>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</si>
  <si>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</si>
  <si>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</si>
  <si>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</si>
  <si>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</si>
  <si>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</si>
  <si>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</si>
  <si>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</si>
  <si>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</si>
  <si>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</si>
  <si>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</si>
  <si>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</si>
  <si>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</si>
  <si>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</si>
  <si>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</si>
  <si>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</si>
  <si>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</si>
  <si>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</si>
  <si>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</si>
  <si>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</si>
  <si>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</si>
  <si>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</si>
  <si>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</si>
  <si>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</si>
  <si>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</si>
  <si>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</si>
  <si>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</si>
  <si>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</si>
  <si>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</si>
  <si>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</si>
  <si>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</si>
  <si>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</si>
  <si>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</si>
  <si>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</si>
  <si>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</si>
  <si>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</si>
  <si>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</si>
  <si>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</si>
  <si>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</si>
  <si>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</si>
  <si>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</si>
  <si>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</si>
  <si>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</si>
  <si>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</si>
  <si>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</si>
  <si>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</si>
  <si>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</si>
  <si>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</si>
  <si>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</si>
  <si>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</si>
  <si>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</si>
  <si>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</si>
  <si>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</si>
  <si>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</si>
  <si>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</si>
  <si>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</si>
  <si>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</si>
  <si>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</si>
  <si>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</si>
  <si>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</si>
  <si>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</si>
  <si>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</si>
  <si>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</si>
  <si>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</si>
  <si>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</si>
  <si>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</si>
  <si>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</si>
  <si>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</si>
  <si>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</si>
  <si>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</si>
  <si>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</si>
  <si>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</si>
  <si>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</si>
  <si>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</si>
  <si>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</si>
  <si>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</si>
  <si>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</si>
  <si>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</si>
  <si>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</si>
  <si>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</si>
  <si>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</si>
  <si>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</si>
  <si>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</si>
  <si>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</si>
  <si>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</si>
  <si>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</si>
  <si>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</si>
  <si>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</si>
  <si>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</si>
  <si>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</si>
  <si>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</si>
  <si>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</si>
  <si>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</si>
  <si>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</si>
  <si>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</si>
  <si>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</si>
  <si>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</si>
  <si>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</si>
  <si>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</si>
  <si>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</si>
  <si>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</si>
  <si>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</si>
  <si>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</si>
  <si>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</si>
  <si>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</si>
  <si>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</si>
  <si>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</si>
  <si>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</si>
  <si>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</si>
  <si>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</si>
  <si>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</si>
  <si>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</si>
  <si>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</si>
  <si>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</si>
  <si>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</si>
  <si>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</si>
  <si>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</si>
  <si>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</si>
  <si>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</si>
  <si>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</si>
  <si>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</si>
  <si>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</si>
  <si>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</si>
  <si>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</si>
  <si>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</si>
  <si>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</si>
  <si>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</si>
  <si>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</si>
  <si>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</si>
  <si>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</si>
  <si>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</si>
  <si>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</si>
  <si>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</si>
  <si>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</si>
  <si>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</si>
  <si>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</si>
  <si>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</si>
  <si>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</si>
  <si>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</si>
  <si>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</si>
  <si>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</si>
  <si>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</si>
  <si>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</si>
  <si>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</si>
  <si>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</si>
  <si>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</si>
  <si>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</si>
  <si>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</si>
  <si>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</si>
  <si>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</si>
  <si>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</si>
  <si>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</si>
  <si>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</si>
  <si>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</si>
  <si>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</si>
  <si>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</si>
  <si>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</si>
  <si>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</si>
  <si>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</si>
  <si>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</si>
  <si>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</si>
  <si>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</si>
  <si>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</si>
  <si>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</si>
  <si>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</si>
  <si>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</si>
  <si>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</si>
  <si>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</si>
  <si>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</si>
  <si>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</si>
  <si>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</si>
  <si>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</si>
  <si>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</si>
  <si>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</si>
  <si>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</si>
  <si>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</si>
  <si>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</si>
  <si>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</si>
  <si>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</si>
  <si>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</si>
  <si>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</si>
  <si>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</si>
  <si>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</si>
  <si>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</si>
  <si>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</si>
  <si>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</si>
  <si>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</si>
  <si>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</si>
  <si>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</si>
  <si>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</si>
  <si>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</si>
  <si>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</si>
  <si>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</si>
  <si>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</si>
  <si>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</si>
  <si>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</si>
  <si>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</si>
  <si>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</si>
  <si>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</si>
  <si>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</si>
  <si>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</si>
  <si>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</si>
  <si>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</si>
  <si>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</si>
  <si>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</si>
  <si>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</si>
  <si>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</si>
  <si>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</si>
  <si>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</si>
  <si>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</si>
  <si>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</si>
  <si>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</si>
  <si>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</si>
  <si>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</si>
  <si>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</si>
  <si>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</si>
  <si>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</si>
  <si>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</si>
  <si>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</si>
  <si>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</si>
  <si>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</si>
  <si>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</si>
  <si>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</si>
  <si>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</si>
  <si>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</si>
  <si>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</si>
  <si>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</si>
  <si>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</si>
  <si>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</si>
  <si>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</si>
  <si>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</si>
  <si>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</si>
  <si>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</si>
  <si>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</si>
  <si>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</si>
  <si>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</si>
  <si>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</si>
  <si>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</si>
  <si>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</si>
  <si>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</si>
  <si>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</si>
  <si>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</si>
  <si>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</si>
  <si>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</si>
  <si>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</si>
  <si>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</si>
  <si>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</si>
  <si>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</si>
  <si>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</si>
  <si>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</si>
  <si>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</si>
  <si>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</si>
  <si>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</si>
  <si>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</si>
  <si>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</si>
  <si>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</si>
  <si>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</si>
  <si>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</si>
  <si>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</si>
  <si>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</si>
  <si>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</si>
  <si>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</si>
  <si>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</si>
  <si>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</si>
  <si>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</si>
  <si>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</si>
  <si>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</si>
  <si>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</si>
  <si>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</si>
  <si>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</si>
  <si>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</si>
  <si>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</si>
  <si>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</si>
  <si>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</si>
  <si>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</si>
  <si>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</si>
  <si>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</si>
  <si>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</si>
  <si>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</si>
  <si>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</si>
  <si>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</si>
  <si>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</si>
  <si>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</si>
  <si>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</si>
  <si>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</si>
  <si>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</si>
  <si>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</si>
  <si>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</si>
  <si>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</si>
  <si>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</si>
  <si>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</si>
  <si>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</si>
  <si>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</si>
  <si>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</si>
  <si>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</si>
  <si>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</si>
  <si>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</si>
  <si>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</si>
  <si>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</si>
  <si>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</si>
  <si>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</si>
  <si>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</si>
  <si>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</si>
  <si>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</si>
  <si>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</si>
  <si>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</si>
  <si>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</si>
  <si>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</si>
  <si>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</si>
  <si>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</si>
  <si>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</si>
  <si>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</si>
  <si>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</si>
  <si>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</si>
  <si>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</si>
  <si>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</si>
  <si>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</si>
  <si>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</si>
  <si>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</si>
  <si>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</si>
  <si>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</si>
  <si>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</si>
  <si>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</si>
  <si>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</si>
  <si>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</si>
  <si>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</si>
  <si>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</si>
  <si>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</si>
  <si>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</si>
  <si>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</si>
  <si>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</si>
  <si>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</si>
  <si>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</si>
  <si>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</si>
  <si>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</si>
  <si>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</si>
  <si>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</si>
  <si>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</si>
  <si>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</si>
  <si>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</si>
  <si>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</si>
  <si>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</si>
  <si>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</si>
  <si>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</si>
  <si>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</si>
  <si>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</si>
  <si>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</si>
  <si>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</si>
  <si>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</si>
  <si>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</si>
  <si>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</si>
  <si>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</si>
  <si>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</si>
  <si>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</si>
  <si>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</si>
  <si>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</si>
  <si>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</si>
  <si>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</si>
  <si>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</si>
  <si>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</si>
  <si>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</si>
  <si>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</si>
  <si>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</si>
  <si>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</si>
  <si>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</si>
  <si>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</si>
  <si>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</si>
  <si>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</si>
  <si>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</si>
  <si>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</si>
  <si>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</si>
  <si>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</si>
  <si>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</si>
  <si>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</si>
  <si>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</si>
  <si>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</si>
  <si>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</si>
  <si>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</si>
  <si>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</si>
  <si>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</si>
  <si>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</si>
  <si>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</si>
  <si>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</si>
  <si>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</si>
  <si>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</si>
  <si>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</si>
  <si>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</si>
  <si>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</si>
  <si>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</si>
  <si>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</si>
  <si>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</si>
  <si>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</si>
  <si>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</si>
  <si>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</si>
  <si>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</si>
  <si>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</si>
  <si>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</si>
  <si>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</si>
  <si>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</si>
  <si>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</si>
  <si>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</si>
  <si>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</si>
  <si>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</si>
  <si>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</si>
  <si>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</si>
  <si>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</si>
  <si>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</si>
  <si>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</si>
  <si>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</si>
  <si>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</si>
  <si>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</si>
  <si>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</si>
  <si>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</si>
  <si>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</si>
  <si>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</si>
  <si>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</si>
  <si>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</si>
  <si>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</si>
  <si>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</si>
  <si>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</si>
  <si>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</si>
  <si>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</si>
  <si>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</si>
  <si>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</si>
  <si>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</si>
  <si>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</si>
  <si>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</si>
  <si>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</si>
  <si>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</si>
  <si>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</si>
  <si>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</si>
  <si>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</si>
  <si>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</si>
  <si>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</si>
  <si>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</si>
  <si>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</si>
  <si>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</si>
  <si>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</si>
  <si>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</si>
  <si>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</si>
  <si>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</si>
  <si>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</si>
  <si>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</si>
  <si>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</si>
  <si>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</si>
  <si>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</si>
  <si>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</si>
  <si>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</si>
  <si>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</si>
  <si>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</si>
  <si>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</si>
  <si>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</si>
  <si>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</si>
  <si>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</si>
  <si>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</si>
  <si>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</si>
  <si>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</si>
  <si>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</si>
  <si>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</si>
  <si>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</si>
  <si>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</si>
  <si>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</si>
  <si>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</si>
  <si>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</si>
  <si>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</si>
  <si>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</si>
  <si>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</si>
  <si>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</si>
  <si>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</si>
  <si>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</si>
  <si>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</si>
  <si>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</si>
  <si>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</si>
  <si>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</si>
  <si>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</si>
  <si>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</si>
  <si>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</si>
  <si>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</si>
  <si>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</si>
  <si>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</si>
  <si>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</si>
  <si>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</si>
  <si>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</si>
  <si>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</si>
  <si>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</si>
  <si>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</si>
  <si>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</si>
  <si>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</si>
  <si>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</si>
  <si>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</si>
  <si>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</si>
  <si>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</si>
  <si>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</si>
  <si>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</si>
  <si>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</si>
  <si>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</si>
  <si>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</si>
  <si>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</si>
  <si>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</si>
  <si>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</si>
  <si>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</si>
  <si>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</si>
  <si>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</si>
  <si>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</si>
  <si>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</si>
  <si>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</si>
  <si>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</si>
  <si>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</si>
  <si>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</si>
  <si>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</si>
  <si>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</si>
  <si>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</si>
  <si>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</si>
  <si>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</si>
  <si>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</si>
  <si>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</si>
  <si>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</si>
  <si>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</si>
  <si>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</si>
  <si>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</si>
  <si>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</si>
  <si>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</si>
  <si>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</si>
  <si>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</si>
  <si>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</si>
  <si>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</si>
  <si>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</si>
  <si>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</si>
  <si>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</si>
  <si>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</si>
  <si>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</si>
  <si>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</si>
  <si>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</si>
  <si>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</si>
  <si>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</si>
  <si>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</si>
  <si>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</si>
  <si>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</si>
  <si>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</si>
  <si>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</si>
  <si>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</si>
  <si>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</si>
  <si>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</si>
  <si>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</si>
  <si>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</si>
  <si>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</si>
  <si>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</si>
  <si>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</si>
  <si>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</si>
  <si>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</si>
  <si>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</si>
  <si>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</si>
  <si>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</si>
  <si>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</si>
  <si>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</si>
  <si>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</si>
  <si>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</si>
  <si>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</si>
  <si>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</si>
  <si>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</si>
  <si>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</si>
  <si>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</si>
  <si>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</si>
  <si>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</si>
  <si>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</si>
  <si>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</si>
  <si>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</si>
  <si>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</si>
  <si>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</si>
  <si>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</si>
  <si>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</si>
  <si>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</si>
  <si>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</si>
  <si>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</si>
  <si>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</si>
  <si>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</si>
  <si>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</si>
  <si>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</si>
  <si>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</si>
  <si>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</si>
  <si>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</si>
  <si>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</si>
  <si>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</si>
  <si>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</si>
  <si>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</si>
  <si>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</si>
  <si>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</si>
  <si>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</si>
  <si>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</si>
  <si>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</si>
  <si>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</si>
  <si>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</si>
  <si>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</si>
  <si>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</si>
  <si>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</si>
  <si>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</si>
  <si>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</si>
  <si>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</si>
  <si>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</si>
  <si>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</si>
  <si>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</si>
  <si>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</si>
  <si>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</si>
  <si>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</si>
  <si>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</si>
  <si>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</si>
  <si>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</si>
  <si>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</si>
  <si>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</si>
  <si>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</si>
  <si>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</si>
  <si>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</si>
  <si>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</si>
  <si>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</si>
  <si>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</si>
  <si>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</si>
  <si>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</si>
  <si>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</si>
  <si>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</si>
  <si>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</si>
  <si>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</si>
  <si>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</si>
  <si>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</si>
  <si>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</si>
  <si>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</si>
  <si>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</si>
  <si>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</si>
  <si>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</si>
  <si>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</si>
  <si>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</si>
  <si>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</si>
  <si>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</si>
  <si>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</si>
  <si>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</si>
  <si>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</si>
  <si>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</si>
  <si>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</si>
  <si>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</si>
  <si>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</si>
  <si>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</si>
  <si>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</si>
  <si>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</si>
  <si>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</si>
  <si>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</si>
  <si>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</si>
  <si>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</si>
  <si>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</si>
  <si>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</si>
  <si>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</si>
  <si>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</si>
  <si>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</si>
  <si>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</si>
  <si>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</si>
  <si>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</si>
  <si>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</si>
  <si>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</si>
  <si>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</si>
  <si>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</si>
  <si>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</si>
  <si>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</si>
  <si>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</si>
  <si>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</si>
  <si>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</si>
  <si>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</si>
  <si>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</si>
  <si>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</si>
  <si>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</si>
  <si>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</si>
  <si>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</si>
  <si>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</si>
  <si>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</si>
  <si>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</si>
  <si>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</si>
  <si>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</si>
  <si>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</si>
  <si>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</si>
  <si>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</si>
  <si>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</si>
  <si>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</si>
  <si>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</si>
  <si>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</si>
  <si>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</si>
  <si>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</si>
  <si>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</si>
  <si>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</si>
  <si>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</si>
  <si>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</si>
  <si>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</si>
  <si>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</si>
  <si>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</si>
  <si>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</si>
  <si>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</si>
  <si>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</si>
  <si>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</si>
  <si>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</si>
  <si>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</si>
  <si>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</si>
  <si>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</si>
  <si>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</si>
  <si>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</si>
  <si>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</si>
  <si>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</si>
  <si>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</si>
  <si>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</si>
  <si>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</si>
  <si>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</si>
  <si>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</si>
  <si>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</si>
  <si>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</si>
  <si>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</si>
  <si>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</si>
  <si>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</si>
  <si>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</si>
  <si>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</si>
  <si>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</si>
  <si>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</si>
  <si>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</si>
  <si>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</si>
  <si>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</si>
  <si>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</si>
  <si>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</si>
  <si>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</si>
  <si>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</si>
  <si>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</si>
  <si>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</si>
  <si>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</si>
  <si>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</si>
  <si>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</si>
  <si>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</si>
  <si>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</si>
  <si>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</si>
  <si>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</si>
  <si>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</si>
  <si>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</si>
  <si>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</si>
  <si>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</si>
  <si>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</si>
  <si>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</si>
  <si>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</si>
  <si>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</si>
  <si>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</si>
  <si>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</si>
  <si>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</si>
  <si>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</si>
  <si>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</si>
  <si>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</si>
  <si>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</si>
  <si>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</si>
  <si>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</si>
  <si>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</si>
  <si>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</si>
  <si>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</si>
  <si>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</si>
  <si>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</si>
  <si>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</si>
  <si>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</si>
  <si>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</si>
  <si>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</si>
  <si>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</si>
  <si>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</si>
  <si>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</si>
  <si>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</si>
  <si>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</si>
  <si>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</si>
  <si>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</si>
  <si>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</si>
  <si>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</si>
  <si>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</si>
  <si>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</si>
  <si>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</si>
  <si>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</si>
  <si>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</si>
  <si>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</si>
  <si>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</si>
  <si>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</si>
  <si>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</si>
  <si>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</si>
  <si>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</si>
  <si>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</si>
  <si>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</si>
  <si>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</si>
  <si>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</si>
  <si>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</si>
  <si>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</si>
  <si>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</si>
  <si>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</si>
  <si>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</si>
  <si>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</si>
  <si>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</si>
  <si>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</si>
  <si>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</si>
  <si>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</si>
  <si>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</si>
  <si>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</si>
  <si>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</si>
  <si>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</si>
  <si>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</si>
  <si>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</si>
  <si>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</si>
  <si>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</si>
  <si>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</si>
  <si>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</si>
  <si>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</si>
  <si>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</si>
  <si>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</si>
  <si>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</si>
  <si>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</si>
  <si>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</si>
  <si>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</si>
  <si>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</si>
  <si>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</si>
  <si>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</si>
  <si>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</si>
  <si>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</si>
  <si>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</si>
  <si>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</si>
  <si>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</si>
  <si>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</si>
  <si>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</si>
  <si>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</si>
  <si>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</si>
  <si>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</si>
  <si>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</si>
  <si>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</si>
  <si>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</si>
  <si>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</si>
  <si>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</si>
  <si>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</si>
  <si>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</si>
  <si>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</si>
  <si>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</si>
  <si>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</si>
  <si>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</si>
  <si>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</si>
  <si>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</si>
  <si>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</si>
  <si>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</si>
  <si>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</si>
  <si>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</si>
  <si>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</si>
  <si>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</si>
  <si>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</si>
  <si>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</si>
  <si>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</si>
  <si>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</si>
  <si>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</si>
  <si>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</si>
  <si>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</si>
  <si>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</si>
  <si>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</si>
  <si>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</si>
  <si>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</si>
  <si>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</si>
  <si>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</si>
  <si>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</si>
  <si>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</si>
  <si>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</si>
  <si>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</si>
  <si>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</si>
  <si>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</si>
  <si>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</si>
  <si>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</si>
  <si>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</si>
  <si>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</si>
  <si>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</si>
  <si>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</si>
  <si>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</si>
  <si>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</si>
  <si>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</si>
  <si>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</si>
  <si>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</si>
  <si>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</si>
  <si>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</si>
  <si>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</si>
  <si>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</si>
  <si>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</si>
  <si>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</si>
  <si>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</si>
  <si>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</si>
  <si>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</si>
  <si>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</si>
  <si>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</si>
  <si>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</si>
  <si>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</si>
  <si>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</si>
  <si>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</si>
  <si>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</si>
  <si>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</si>
  <si>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</si>
  <si>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</si>
  <si>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</si>
  <si>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</si>
  <si>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</si>
  <si>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</si>
  <si>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</si>
  <si>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</si>
  <si>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</si>
  <si>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</si>
  <si>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</si>
  <si>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</si>
  <si>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</si>
  <si>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</si>
  <si>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</si>
  <si>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</si>
  <si>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</si>
  <si>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</si>
  <si>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</si>
  <si>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</si>
  <si>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</si>
  <si>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</si>
  <si>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</si>
  <si>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</si>
  <si>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</si>
  <si>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</si>
  <si>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</si>
  <si>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</si>
  <si>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</si>
  <si>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</si>
  <si>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</si>
  <si>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</si>
  <si>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</si>
  <si>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</si>
  <si>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</si>
  <si>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</si>
  <si>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</si>
  <si>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</si>
  <si>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</si>
  <si>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</si>
  <si>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</si>
  <si>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</si>
  <si>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</si>
  <si>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</si>
  <si>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</si>
  <si>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</si>
  <si>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</si>
  <si>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</si>
  <si>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</si>
  <si>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</si>
  <si>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</si>
  <si>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</si>
  <si>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</si>
  <si>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</si>
  <si>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</si>
  <si>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</si>
  <si>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</si>
  <si>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</si>
  <si>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</si>
  <si>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</si>
  <si>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</si>
  <si>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</si>
  <si>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</si>
  <si>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</si>
  <si>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</si>
  <si>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</si>
  <si>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</si>
  <si>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</si>
  <si>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</si>
  <si>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</si>
  <si>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</si>
  <si>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</si>
  <si>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</si>
  <si>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</si>
  <si>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</si>
  <si>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</si>
  <si>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</si>
  <si>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</si>
  <si>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</si>
  <si>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</si>
  <si>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</si>
  <si>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</si>
  <si>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</si>
  <si>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</si>
  <si>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</si>
  <si>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</si>
  <si>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</si>
  <si>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</si>
  <si>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</si>
  <si>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</si>
  <si>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</si>
  <si>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</si>
  <si>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</si>
  <si>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</si>
  <si>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</si>
  <si>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</si>
  <si>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</si>
  <si>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</si>
  <si>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</si>
  <si>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</si>
  <si>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</si>
  <si>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</si>
  <si>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</si>
  <si>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</si>
  <si>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</si>
  <si>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</si>
  <si>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</si>
  <si>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</si>
  <si>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</si>
  <si>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</si>
  <si>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</si>
  <si>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</si>
  <si>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</si>
  <si>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</si>
  <si>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</si>
  <si>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</si>
  <si>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</si>
  <si>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</si>
  <si>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</si>
  <si>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</si>
  <si>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</si>
  <si>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</si>
  <si>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</si>
  <si>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</si>
  <si>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</si>
  <si>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</si>
  <si>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</si>
  <si>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</si>
  <si>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</si>
  <si>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</si>
  <si>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</si>
  <si>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</si>
  <si>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</si>
  <si>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</si>
  <si>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</si>
  <si>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</si>
  <si>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</si>
  <si>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</si>
  <si>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</si>
  <si>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</si>
  <si>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</si>
  <si>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</si>
  <si>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</si>
  <si>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</si>
  <si>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</si>
  <si>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</si>
  <si>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</si>
  <si>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</si>
  <si>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</si>
  <si>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</si>
  <si>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</si>
  <si>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</si>
  <si>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</si>
  <si>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</si>
  <si>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</si>
  <si>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</si>
  <si>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</si>
  <si>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</si>
  <si>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</si>
  <si>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</si>
  <si>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</si>
  <si>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</si>
  <si>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</si>
  <si>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</si>
  <si>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</si>
  <si>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</si>
  <si>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</si>
  <si>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</si>
  <si>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</si>
  <si>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</si>
  <si>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</si>
  <si>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</si>
  <si>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</si>
  <si>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</si>
  <si>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</si>
  <si>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</si>
  <si>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</si>
  <si>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</si>
  <si>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</si>
  <si>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</si>
  <si>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</si>
  <si>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</si>
  <si>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</si>
  <si>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</si>
  <si>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</si>
  <si>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</si>
  <si>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</si>
  <si>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</si>
  <si>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</si>
  <si>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</si>
  <si>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</si>
  <si>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</si>
  <si>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</si>
  <si>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</si>
  <si>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</si>
  <si>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</si>
  <si>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</si>
  <si>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</si>
  <si>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</si>
  <si>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</si>
  <si>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</si>
  <si>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</si>
  <si>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</si>
  <si>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</si>
  <si>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</si>
  <si>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</si>
  <si>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</si>
  <si>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</si>
  <si>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</si>
  <si>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</si>
  <si>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</si>
  <si>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</si>
  <si>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</si>
  <si>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</si>
  <si>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</si>
  <si>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</si>
  <si>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</si>
  <si>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</si>
  <si>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</si>
  <si>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</si>
  <si>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</si>
  <si>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</si>
  <si>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</si>
  <si>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</si>
  <si>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</si>
  <si>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</si>
  <si>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</si>
  <si>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</si>
  <si>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</si>
  <si>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</si>
  <si>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</si>
  <si>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</si>
  <si>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</si>
  <si>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</si>
  <si>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</si>
  <si>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</si>
  <si>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</si>
  <si>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</si>
  <si>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</si>
  <si>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</si>
  <si>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</si>
  <si>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</si>
  <si>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</si>
  <si>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</si>
  <si>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</si>
  <si>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</si>
  <si>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</si>
  <si>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</si>
  <si>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</si>
  <si>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</si>
  <si>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</si>
  <si>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</si>
  <si>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</si>
  <si>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</si>
  <si>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</si>
  <si>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</si>
  <si>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</si>
  <si>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</si>
  <si>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</si>
  <si>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</si>
  <si>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</si>
  <si>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</si>
  <si>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</si>
  <si>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</si>
  <si>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</si>
  <si>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</si>
  <si>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</si>
  <si>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</si>
  <si>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</si>
  <si>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</si>
  <si>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</si>
  <si>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</si>
  <si>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</si>
  <si>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</si>
  <si>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</si>
  <si>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</si>
  <si>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</si>
  <si>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</si>
  <si>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</si>
  <si>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</si>
  <si>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</si>
  <si>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</si>
  <si>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</si>
  <si>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</si>
  <si>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</si>
  <si>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</si>
  <si>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</si>
  <si>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</si>
  <si>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</si>
  <si>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</si>
  <si>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</si>
  <si>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</si>
  <si>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</si>
  <si>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</si>
  <si>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</si>
  <si>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</si>
  <si>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</si>
  <si>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</si>
  <si>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</si>
  <si>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</si>
  <si>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</si>
  <si>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</si>
  <si>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</si>
  <si>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</si>
  <si>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</si>
  <si>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</si>
  <si>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</si>
  <si>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</si>
  <si>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</si>
  <si>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</si>
  <si>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</si>
  <si>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</si>
  <si>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</si>
  <si>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</si>
  <si>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</si>
  <si>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</si>
  <si>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</si>
  <si>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</si>
  <si>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</si>
  <si>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</si>
  <si>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</si>
  <si>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</si>
  <si>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</si>
  <si>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</si>
  <si>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</si>
  <si>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</si>
  <si>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</si>
  <si>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</si>
  <si>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</si>
  <si>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</si>
  <si>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</si>
  <si>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</si>
  <si>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</si>
  <si>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</si>
  <si>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</si>
  <si>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</si>
  <si>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</si>
  <si>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</si>
  <si>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</si>
  <si>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</si>
  <si>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</si>
  <si>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</si>
  <si>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</si>
  <si>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</si>
  <si>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</si>
  <si>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</si>
  <si>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</si>
  <si>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</si>
  <si>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</si>
  <si>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</si>
  <si>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</si>
  <si>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</si>
  <si>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</si>
  <si>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</si>
  <si>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</si>
  <si>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</si>
  <si>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</si>
  <si>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</si>
  <si>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</si>
  <si>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</si>
  <si>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</si>
  <si>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</si>
  <si>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</si>
  <si>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</si>
  <si>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</si>
  <si>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</si>
  <si>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</si>
  <si>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</si>
  <si>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</si>
  <si>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</si>
  <si>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</si>
  <si>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</si>
  <si>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</si>
  <si>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</si>
  <si>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</si>
  <si>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</si>
  <si>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</si>
  <si>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</si>
  <si>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</si>
  <si>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</si>
  <si>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</si>
  <si>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</si>
  <si>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</si>
  <si>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</si>
  <si>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</si>
  <si>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</si>
  <si>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</si>
  <si>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</si>
  <si>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</si>
  <si>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</si>
  <si>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</si>
  <si>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</si>
  <si>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</si>
  <si>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</si>
  <si>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</si>
  <si>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</si>
  <si>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</si>
  <si>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</si>
  <si>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</si>
  <si>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</si>
  <si>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</si>
  <si>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</si>
  <si>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</si>
  <si>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</si>
  <si>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</si>
  <si>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</si>
  <si>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</si>
  <si>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</si>
  <si>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</si>
  <si>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</si>
  <si>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</si>
  <si>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</si>
  <si>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</si>
  <si>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</si>
  <si>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</si>
  <si>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</si>
  <si>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</si>
  <si>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</si>
  <si>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</si>
  <si>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</si>
  <si>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</si>
  <si>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</si>
  <si>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</si>
  <si>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</si>
  <si>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</si>
  <si>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</si>
  <si>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</si>
  <si>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</si>
  <si>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</si>
  <si>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</si>
  <si>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</si>
  <si>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</si>
  <si>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</si>
  <si>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</si>
  <si>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</si>
  <si>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</si>
  <si>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</si>
  <si>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</si>
  <si>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</si>
  <si>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</si>
  <si>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</si>
  <si>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</si>
  <si>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</si>
  <si>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</si>
  <si>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</si>
  <si>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</si>
  <si>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</si>
  <si>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</si>
  <si>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</si>
  <si>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</si>
  <si>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</si>
  <si>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</si>
  <si>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</si>
  <si>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</si>
  <si>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</si>
  <si>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</si>
  <si>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</si>
  <si>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</si>
  <si>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</si>
  <si>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</si>
  <si>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</si>
  <si>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</si>
  <si>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</si>
  <si>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</si>
  <si>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</si>
  <si>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</si>
  <si>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</si>
  <si>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</si>
  <si>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</si>
  <si>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</si>
  <si>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</si>
  <si>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</si>
  <si>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</si>
  <si>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</si>
  <si>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</si>
  <si>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</si>
  <si>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</si>
  <si>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</si>
  <si>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</si>
  <si>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</si>
  <si>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</si>
  <si>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</si>
  <si>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</si>
  <si>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</si>
  <si>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</si>
  <si>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</si>
  <si>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</si>
  <si>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</si>
  <si>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</si>
  <si>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</si>
  <si>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</si>
  <si>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</si>
  <si>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</si>
  <si>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</si>
  <si>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</si>
  <si>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</si>
  <si>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</si>
  <si>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</si>
  <si>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</si>
  <si>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</si>
  <si>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</si>
  <si>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</si>
  <si>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</si>
  <si>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</si>
  <si>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</si>
  <si>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</si>
  <si>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</si>
  <si>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</si>
  <si>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</si>
  <si>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</si>
  <si>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</si>
  <si>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</si>
  <si>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</si>
  <si>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</si>
  <si>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</si>
  <si>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</si>
  <si>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</si>
  <si>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</si>
  <si>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</si>
  <si>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</si>
  <si>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</si>
  <si>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</si>
  <si>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</si>
  <si>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</si>
  <si>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</si>
  <si>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</si>
  <si>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</si>
  <si>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</si>
  <si>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</si>
  <si>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</si>
  <si>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</si>
  <si>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</si>
  <si>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</si>
  <si>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</si>
  <si>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</si>
  <si>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</si>
  <si>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</si>
  <si>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</si>
  <si>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</si>
  <si>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</si>
  <si>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</si>
  <si>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</si>
  <si>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</si>
  <si>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</si>
  <si>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</si>
  <si>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</si>
  <si>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</si>
  <si>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</si>
  <si>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</si>
  <si>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</si>
  <si>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</si>
  <si>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</si>
  <si>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</si>
  <si>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</si>
  <si>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</si>
  <si>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</si>
  <si>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</si>
  <si>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</si>
  <si>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</si>
  <si>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</si>
  <si>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</si>
  <si>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</si>
  <si>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</si>
  <si>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</si>
  <si>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</si>
  <si>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</si>
  <si>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</si>
  <si>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</si>
  <si>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</si>
  <si>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</si>
  <si>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</si>
  <si>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</si>
  <si>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</si>
  <si>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</si>
  <si>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</si>
  <si>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</si>
  <si>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</si>
  <si>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</si>
  <si>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</si>
  <si>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</si>
  <si>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</si>
  <si>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</si>
  <si>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</si>
  <si>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</si>
  <si>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</si>
  <si>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</si>
  <si>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</si>
  <si>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</si>
  <si>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</si>
  <si>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</si>
  <si>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</si>
  <si>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</si>
  <si>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</si>
  <si>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</si>
  <si>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</si>
  <si>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</si>
  <si>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</si>
  <si>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</si>
  <si>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</si>
  <si>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</si>
  <si>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</si>
  <si>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</si>
  <si>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</si>
  <si>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</si>
  <si>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</si>
  <si>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</si>
  <si>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</si>
  <si>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</si>
  <si>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</si>
  <si>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</si>
  <si>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</si>
  <si>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</si>
  <si>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</si>
  <si>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</si>
  <si>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</si>
  <si>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</si>
  <si>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</si>
  <si>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</si>
  <si>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</si>
  <si>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</si>
  <si>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</si>
  <si>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</si>
  <si>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</si>
  <si>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</si>
  <si>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</si>
  <si>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</si>
  <si>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</si>
  <si>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</si>
  <si>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</si>
  <si>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</si>
  <si>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</si>
  <si>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</si>
  <si>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</si>
  <si>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</si>
  <si>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</si>
  <si>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</si>
  <si>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</si>
  <si>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</si>
  <si>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</si>
  <si>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</si>
  <si>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</si>
  <si>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</si>
  <si>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</si>
  <si>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</si>
  <si>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</si>
  <si>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</si>
  <si>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</si>
  <si>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</si>
  <si>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</si>
  <si>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</si>
  <si>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</si>
  <si>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</si>
  <si>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</si>
  <si>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</si>
  <si>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</si>
  <si>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</si>
  <si>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</si>
  <si>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</si>
  <si>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</si>
  <si>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</si>
  <si>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</si>
  <si>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</si>
  <si>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</si>
  <si>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</si>
  <si>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</si>
  <si>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</si>
  <si>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</si>
  <si>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</si>
  <si>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</si>
  <si>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</si>
  <si>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</si>
  <si>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</si>
  <si>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</si>
  <si>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</si>
  <si>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</si>
  <si>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</si>
  <si>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</si>
  <si>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</si>
  <si>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</si>
  <si>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</si>
  <si>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</si>
  <si>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</si>
  <si>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</si>
  <si>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</si>
  <si>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</si>
  <si>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</si>
  <si>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</si>
  <si>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</si>
  <si>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</si>
  <si>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</si>
  <si>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</si>
  <si>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</si>
  <si>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</si>
  <si>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</si>
  <si>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</si>
  <si>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</si>
  <si>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</si>
  <si>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</si>
  <si>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</si>
  <si>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</si>
  <si>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</si>
  <si>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</si>
  <si>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</si>
  <si>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</si>
  <si>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</si>
  <si>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</si>
  <si>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</si>
  <si>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</si>
  <si>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</si>
  <si>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</si>
  <si>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</si>
  <si>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</si>
  <si>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</si>
  <si>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</si>
  <si>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</si>
  <si>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</si>
  <si>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</si>
  <si>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</si>
  <si>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</si>
  <si>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</si>
  <si>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</si>
  <si>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</si>
  <si>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</si>
  <si>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</si>
  <si>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</si>
  <si>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</si>
  <si>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</si>
  <si>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</si>
  <si>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</si>
  <si>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</si>
  <si>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</si>
  <si>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</si>
  <si>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</si>
  <si>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</si>
  <si>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</si>
  <si>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</si>
  <si>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</si>
  <si>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</si>
  <si>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</si>
  <si>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</si>
  <si>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</si>
  <si>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</si>
  <si>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</si>
  <si>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</si>
  <si>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</si>
  <si>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</si>
  <si>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</si>
  <si>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</si>
  <si>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</si>
  <si>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</si>
  <si>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</si>
  <si>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</si>
  <si>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</si>
  <si>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</si>
  <si>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</si>
  <si>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</si>
  <si>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</si>
  <si>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</si>
  <si>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</si>
  <si>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</si>
  <si>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</si>
  <si>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</si>
  <si>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</si>
  <si>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</si>
  <si>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</si>
  <si>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</si>
  <si>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</si>
  <si>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</si>
  <si>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</si>
  <si>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</si>
  <si>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</si>
  <si>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</si>
  <si>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</si>
  <si>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</si>
  <si>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</si>
  <si>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</si>
  <si>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</si>
  <si>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</si>
  <si>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</si>
  <si>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</si>
  <si>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</si>
  <si>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</si>
  <si>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</si>
  <si>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</si>
  <si>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</si>
  <si>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</si>
  <si>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</si>
  <si>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</si>
  <si>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</si>
  <si>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</si>
  <si>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</si>
  <si>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</si>
  <si>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</si>
  <si>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</si>
  <si>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</si>
  <si>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</si>
  <si>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</si>
  <si>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</si>
  <si>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</si>
  <si>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</si>
  <si>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</si>
  <si>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</si>
  <si>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</si>
  <si>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</si>
  <si>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</si>
  <si>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</si>
  <si>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</si>
  <si>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</si>
  <si>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</si>
  <si>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</si>
  <si>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</si>
  <si>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</si>
  <si>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</si>
  <si>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</si>
  <si>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</si>
  <si>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</si>
  <si>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</si>
  <si>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</si>
  <si>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</si>
  <si>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</si>
  <si>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</si>
  <si>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</si>
  <si>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</si>
  <si>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</si>
  <si>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</si>
  <si>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</si>
  <si>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</si>
  <si>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</si>
  <si>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</si>
  <si>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</si>
  <si>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</si>
  <si>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</si>
  <si>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</si>
  <si>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</si>
  <si>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</si>
  <si>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</si>
  <si>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</si>
  <si>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</si>
  <si>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</si>
  <si>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</si>
  <si>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</si>
  <si>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</si>
  <si>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</si>
  <si>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</si>
  <si>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</si>
  <si>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</si>
  <si>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</si>
  <si>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</si>
  <si>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</si>
  <si>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</si>
  <si>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</si>
  <si>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</si>
  <si>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</si>
  <si>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</si>
  <si>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</si>
  <si>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</si>
  <si>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</si>
  <si>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</si>
  <si>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</si>
  <si>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</si>
  <si>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</si>
  <si>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</si>
  <si>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</si>
  <si>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</si>
  <si>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</si>
  <si>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</si>
  <si>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</si>
  <si>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</si>
  <si>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</si>
  <si>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</si>
  <si>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</si>
  <si>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</si>
  <si>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</si>
  <si>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</si>
  <si>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</si>
  <si>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</si>
  <si>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</si>
  <si>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</si>
  <si>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</si>
  <si>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</si>
  <si>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</si>
  <si>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</si>
  <si>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</si>
  <si>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</si>
  <si>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</si>
  <si>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</si>
  <si>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</si>
  <si>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</si>
  <si>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</si>
  <si>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</si>
  <si>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</si>
  <si>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</si>
  <si>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</si>
  <si>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</si>
  <si>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</si>
  <si>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</si>
  <si>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</si>
  <si>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</si>
  <si>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</si>
  <si>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</si>
  <si>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</si>
  <si>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</si>
  <si>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</si>
  <si>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</si>
  <si>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</si>
  <si>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</si>
  <si>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</si>
  <si>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</si>
  <si>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</si>
  <si>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</si>
  <si>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</si>
  <si>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</si>
  <si>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</si>
  <si>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</si>
  <si>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</si>
  <si>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</si>
  <si>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</si>
  <si>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</si>
  <si>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</si>
  <si>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</si>
  <si>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</si>
  <si>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</si>
  <si>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</si>
  <si>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</si>
  <si>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</si>
  <si>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</si>
  <si>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</si>
  <si>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</si>
  <si>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</si>
  <si>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</si>
  <si>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</si>
  <si>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</si>
  <si>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</si>
  <si>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</si>
  <si>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</si>
  <si>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</si>
  <si>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</si>
  <si>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</si>
  <si>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</si>
  <si>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</si>
  <si>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</si>
  <si>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</si>
  <si>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</si>
  <si>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</si>
  <si>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</si>
  <si>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</si>
  <si>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</si>
  <si>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</si>
  <si>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</si>
  <si>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</si>
  <si>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</si>
  <si>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</si>
  <si>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</si>
  <si>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</si>
  <si>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</si>
  <si>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</si>
  <si>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</si>
  <si>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</si>
  <si>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</si>
  <si>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</si>
  <si>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</si>
  <si>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</si>
  <si>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</si>
  <si>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</si>
  <si>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</si>
  <si>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</si>
  <si>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</si>
  <si>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</si>
  <si>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</si>
  <si>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</si>
  <si>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</si>
  <si>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</si>
  <si>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</si>
  <si>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</si>
  <si>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</si>
  <si>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</si>
  <si>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</si>
  <si>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</si>
  <si>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</si>
  <si>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</si>
  <si>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</si>
  <si>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</si>
  <si>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</si>
  <si>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</si>
  <si>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</si>
  <si>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</si>
  <si>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</si>
  <si>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</si>
  <si>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</si>
  <si>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</si>
  <si>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</si>
  <si>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</si>
  <si>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</si>
  <si>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</si>
  <si>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</si>
  <si>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</si>
  <si>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</si>
  <si>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</si>
  <si>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</si>
  <si>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</si>
  <si>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</si>
  <si>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</si>
  <si>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</si>
  <si>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</si>
  <si>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</si>
  <si>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</si>
  <si>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</si>
  <si>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</si>
  <si>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</si>
  <si>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</si>
  <si>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</si>
  <si>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</si>
  <si>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</si>
  <si>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</si>
  <si>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</si>
  <si>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</si>
  <si>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</si>
  <si>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</si>
  <si>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</si>
  <si>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</si>
  <si>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</si>
  <si>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</si>
  <si>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</si>
  <si>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</si>
  <si>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</si>
  <si>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</si>
  <si>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</si>
  <si>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</si>
  <si>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</si>
  <si>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</si>
  <si>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</si>
  <si>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</si>
  <si>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</si>
  <si>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</si>
  <si>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</si>
  <si>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</si>
  <si>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</si>
  <si>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</si>
  <si>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</si>
  <si>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</si>
  <si>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</si>
  <si>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</si>
  <si>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</si>
  <si>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</si>
  <si>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</si>
  <si>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</si>
  <si>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</si>
  <si>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</si>
  <si>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</si>
  <si>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</si>
  <si>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</si>
  <si>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</si>
  <si>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</si>
  <si>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</si>
  <si>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</si>
  <si>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</si>
  <si>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</si>
  <si>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</si>
  <si>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</si>
  <si>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</si>
  <si>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</si>
  <si>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</si>
  <si>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</si>
  <si>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</si>
  <si>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</si>
  <si>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</si>
  <si>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</si>
  <si>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</si>
  <si>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</si>
  <si>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</si>
  <si>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</si>
  <si>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</si>
  <si>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</si>
  <si>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</si>
  <si>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</si>
  <si>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</si>
  <si>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</si>
  <si>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</si>
  <si>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</si>
  <si>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</si>
  <si>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</si>
  <si>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</si>
  <si>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</si>
  <si>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</si>
  <si>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</si>
  <si>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</si>
  <si>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</si>
  <si>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</si>
  <si>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</si>
  <si>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</si>
  <si>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</si>
  <si>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</si>
  <si>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</si>
  <si>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</si>
  <si>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</si>
  <si>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</si>
  <si>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</si>
  <si>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</si>
  <si>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</si>
  <si>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</si>
  <si>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</si>
  <si>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</si>
  <si>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</si>
  <si>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</si>
  <si>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</si>
  <si>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</si>
  <si>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</si>
  <si>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</si>
  <si>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</si>
  <si>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</si>
  <si>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</si>
  <si>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</si>
  <si>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</si>
  <si>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</si>
  <si>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</si>
  <si>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</si>
  <si>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</si>
  <si>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</si>
  <si>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</si>
  <si>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</si>
  <si>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</si>
  <si>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</si>
  <si>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</si>
  <si>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</si>
  <si>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</si>
  <si>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</si>
  <si>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</si>
  <si>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</si>
  <si>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</si>
  <si>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</si>
  <si>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</si>
  <si>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</si>
  <si>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</si>
  <si>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</si>
  <si>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</si>
  <si>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</si>
  <si>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</si>
  <si>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</si>
  <si>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</si>
  <si>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</si>
  <si>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</si>
  <si>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</si>
  <si>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</si>
  <si>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</si>
  <si>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</si>
  <si>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</si>
  <si>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</si>
  <si>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</si>
  <si>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</si>
  <si>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</si>
  <si>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</si>
  <si>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</si>
  <si>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</si>
  <si>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</si>
  <si>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</si>
  <si>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</si>
  <si>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</si>
  <si>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</si>
  <si>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</si>
  <si>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</si>
  <si>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</si>
  <si>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</si>
  <si>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</si>
  <si>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</si>
  <si>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</si>
  <si>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</si>
  <si>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</si>
  <si>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</si>
  <si>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</si>
  <si>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</si>
  <si>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</si>
  <si>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</si>
  <si>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</si>
  <si>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</si>
  <si>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</si>
  <si>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</si>
  <si>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</si>
  <si>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</si>
  <si>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</si>
  <si>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</si>
  <si>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</si>
  <si>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</si>
  <si>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</si>
  <si>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</si>
  <si>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</si>
  <si>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</si>
  <si>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</si>
  <si>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</si>
  <si>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</si>
  <si>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</si>
  <si>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</si>
  <si>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</si>
  <si>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</si>
  <si>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</si>
  <si>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</si>
  <si>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</si>
  <si>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</si>
  <si>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</si>
  <si>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</si>
  <si>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</si>
  <si>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</si>
  <si>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</si>
  <si>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</si>
  <si>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</si>
  <si>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</si>
  <si>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</si>
  <si>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</si>
  <si>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</si>
  <si>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</si>
  <si>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</si>
  <si>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</si>
  <si>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</si>
  <si>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</si>
  <si>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</si>
  <si>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</si>
  <si>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</si>
  <si>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</si>
  <si>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</si>
  <si>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</si>
  <si>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</si>
  <si>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</si>
  <si>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</si>
  <si>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</si>
  <si>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</si>
  <si>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</si>
  <si>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</si>
  <si>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</si>
  <si>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</si>
  <si>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</si>
  <si>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</si>
  <si>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</si>
  <si>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</si>
  <si>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</si>
  <si>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</si>
  <si>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</si>
  <si>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</si>
  <si>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</si>
  <si>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</si>
  <si>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</si>
  <si>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</si>
  <si>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</si>
  <si>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</si>
  <si>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</si>
  <si>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</si>
  <si>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</si>
  <si>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</si>
  <si>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</si>
  <si>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</si>
  <si>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</si>
  <si>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</si>
  <si>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</si>
  <si>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</si>
  <si>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</si>
  <si>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</si>
  <si>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</si>
  <si>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</si>
  <si>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</si>
  <si>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</si>
  <si>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</si>
  <si>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</si>
  <si>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</si>
  <si>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</si>
  <si>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</si>
  <si>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</si>
  <si>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</si>
  <si>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</si>
  <si>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</si>
  <si>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</si>
  <si>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</si>
  <si>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</si>
  <si>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</si>
  <si>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</si>
  <si>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</si>
  <si>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</si>
  <si>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</si>
  <si>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</si>
  <si>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</si>
  <si>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</si>
  <si>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</si>
  <si>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</si>
  <si>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</si>
  <si>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</si>
  <si>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</si>
  <si>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</si>
  <si>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</si>
  <si>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</si>
  <si>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</si>
  <si>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</si>
  <si>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</si>
  <si>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</si>
  <si>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</si>
  <si>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</si>
  <si>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</si>
  <si>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</si>
  <si>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</si>
  <si>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</si>
  <si>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</si>
  <si>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</si>
  <si>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</si>
  <si>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</si>
  <si>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</si>
  <si>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</si>
  <si>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</si>
  <si>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</si>
  <si>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</si>
  <si>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</si>
  <si>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</si>
  <si>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</si>
  <si>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</si>
  <si>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</si>
  <si>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</si>
  <si>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</si>
  <si>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</si>
  <si>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</si>
  <si>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</si>
  <si>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</si>
  <si>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</si>
  <si>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</si>
  <si>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</si>
  <si>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</si>
  <si>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</si>
  <si>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</si>
  <si>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</si>
  <si>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</si>
  <si>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</si>
  <si>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</si>
  <si>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</si>
  <si>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</si>
  <si>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</si>
  <si>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</si>
  <si>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</si>
  <si>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</si>
  <si>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</si>
  <si>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</si>
  <si>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</si>
  <si>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</si>
  <si>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</si>
  <si>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</si>
  <si>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</si>
  <si>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</si>
  <si>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</si>
  <si>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</si>
  <si>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</si>
  <si>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</si>
  <si>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</si>
  <si>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</si>
  <si>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</si>
  <si>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</si>
  <si>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</si>
  <si>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</si>
  <si>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</si>
  <si>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</si>
  <si>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</si>
  <si>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</si>
  <si>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</si>
  <si>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</si>
  <si>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</si>
  <si>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</si>
  <si>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</si>
  <si>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</si>
  <si>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</si>
  <si>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</si>
  <si>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</si>
  <si>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</si>
  <si>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</si>
  <si>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</si>
  <si>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</si>
  <si>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</si>
  <si>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</si>
  <si>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</si>
  <si>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</si>
  <si>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</si>
  <si>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</si>
  <si>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</si>
  <si>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</si>
  <si>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</si>
  <si>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</si>
  <si>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</si>
  <si>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</si>
  <si>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</si>
  <si>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</si>
  <si>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</si>
  <si>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</si>
  <si>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</si>
  <si>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</si>
  <si>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</si>
  <si>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</si>
  <si>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</si>
  <si>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</si>
  <si>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</si>
  <si>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</si>
  <si>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</si>
  <si>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</si>
  <si>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</si>
  <si>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</si>
  <si>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</si>
  <si>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</si>
  <si>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</si>
  <si>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</si>
  <si>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</si>
  <si>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</si>
  <si>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</si>
  <si>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</si>
  <si>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</si>
  <si>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</si>
  <si>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</si>
  <si>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</si>
  <si>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</si>
  <si>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</si>
  <si>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</si>
  <si>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</si>
  <si>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</si>
  <si>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</si>
  <si>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</si>
  <si>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</si>
  <si>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</si>
  <si>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</si>
  <si>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</si>
  <si>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</si>
  <si>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</si>
  <si>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</si>
  <si>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</si>
  <si>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</si>
  <si>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</si>
  <si>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</si>
  <si>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</si>
  <si>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</si>
  <si>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</si>
  <si>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</si>
  <si>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</si>
  <si>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</si>
  <si>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</si>
  <si>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</si>
  <si>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</si>
  <si>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</si>
  <si>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</si>
  <si>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</si>
  <si>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</si>
  <si>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</si>
  <si>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</si>
  <si>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</si>
  <si>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</si>
  <si>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</si>
  <si>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</si>
  <si>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</si>
  <si>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</si>
  <si>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</si>
  <si>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</si>
  <si>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</si>
  <si>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</si>
  <si>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</si>
  <si>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</si>
  <si>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</si>
  <si>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</si>
  <si>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</si>
  <si>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</si>
  <si>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</si>
  <si>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</si>
  <si>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</si>
  <si>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</si>
  <si>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</si>
  <si>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</si>
  <si>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</si>
  <si>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</si>
  <si>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</si>
  <si>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</si>
  <si>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</si>
  <si>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</si>
  <si>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</si>
  <si>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</si>
  <si>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</si>
  <si>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</si>
  <si>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</si>
  <si>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</si>
  <si>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</si>
  <si>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</si>
  <si>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</si>
  <si>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</si>
  <si>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</si>
  <si>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</si>
  <si>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</si>
  <si>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</si>
  <si>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</si>
  <si>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</si>
  <si>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</si>
  <si>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</si>
  <si>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</si>
  <si>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</si>
  <si>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</si>
  <si>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</si>
  <si>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</si>
  <si>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</si>
  <si>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</si>
  <si>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</si>
  <si>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</si>
  <si>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</si>
  <si>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</si>
  <si>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</si>
  <si>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</si>
  <si>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</si>
  <si>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</si>
  <si>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</si>
  <si>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</si>
  <si>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</si>
  <si>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</si>
  <si>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</si>
  <si>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</si>
  <si>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</si>
  <si>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</si>
  <si>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</si>
  <si>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</si>
  <si>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</si>
  <si>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</si>
  <si>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</si>
  <si>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</si>
  <si>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</si>
  <si>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</si>
  <si>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</si>
  <si>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</si>
  <si>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</si>
  <si>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</si>
  <si>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</si>
  <si>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</si>
  <si>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</si>
  <si>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</si>
  <si>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</si>
  <si>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</si>
  <si>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</si>
  <si>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</si>
  <si>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</si>
  <si>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</si>
  <si>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</si>
  <si>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</si>
  <si>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</si>
  <si>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</si>
  <si>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</si>
  <si>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</si>
  <si>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</si>
  <si>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</si>
  <si>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</si>
  <si>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</si>
  <si>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</si>
  <si>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</si>
  <si>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</si>
  <si>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</si>
  <si>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</si>
  <si>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</si>
  <si>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</si>
  <si>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</si>
  <si>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</si>
  <si>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</si>
  <si>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</si>
  <si>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</si>
  <si>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</si>
  <si>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</si>
  <si>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</si>
  <si>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</si>
  <si>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</si>
  <si>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</si>
  <si>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</si>
  <si>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</si>
  <si>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</si>
  <si>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</si>
  <si>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</si>
  <si>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</si>
  <si>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</si>
  <si>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</si>
  <si>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</si>
  <si>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</si>
  <si>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</si>
  <si>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</si>
  <si>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</si>
  <si>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</si>
  <si>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</si>
  <si>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</si>
  <si>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</si>
  <si>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</si>
  <si>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</si>
  <si>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</si>
  <si>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</si>
  <si>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</si>
  <si>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</si>
  <si>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</si>
  <si>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</si>
  <si>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</si>
  <si>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</si>
  <si>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</si>
  <si>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</si>
  <si>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</si>
  <si>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</si>
  <si>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</si>
  <si>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</si>
  <si>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</si>
  <si>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</si>
  <si>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</si>
  <si>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</si>
  <si>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</si>
  <si>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</si>
  <si>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</si>
  <si>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</si>
  <si>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</si>
  <si>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</si>
  <si>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</si>
  <si>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</si>
  <si>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</si>
  <si>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</si>
  <si>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</si>
  <si>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</si>
  <si>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</si>
  <si>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</si>
  <si>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</si>
  <si>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</si>
  <si>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</si>
  <si>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</si>
  <si>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</si>
  <si>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</si>
  <si>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</si>
  <si>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</si>
  <si>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</si>
  <si>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</si>
  <si>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</si>
  <si>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</si>
  <si>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</si>
  <si>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</si>
  <si>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</si>
  <si>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</si>
  <si>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</si>
  <si>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</si>
  <si>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</si>
  <si>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</si>
  <si>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</si>
  <si>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</si>
  <si>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</si>
  <si>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</si>
  <si>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</si>
  <si>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</si>
  <si>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</si>
  <si>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</si>
  <si>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</si>
  <si>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</si>
  <si>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</si>
  <si>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</si>
  <si>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</si>
  <si>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</si>
  <si>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</si>
  <si>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</si>
  <si>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</si>
  <si>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</si>
  <si>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</si>
  <si>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</si>
  <si>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</si>
  <si>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</si>
  <si>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</si>
  <si>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</si>
  <si>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</si>
  <si>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</si>
  <si>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</si>
  <si>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</si>
  <si>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</si>
  <si>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</si>
  <si>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</si>
  <si>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</si>
  <si>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</si>
  <si>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</si>
  <si>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</si>
  <si>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</si>
  <si>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</si>
  <si>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</si>
  <si>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</si>
  <si>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</si>
  <si>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</si>
  <si>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</si>
  <si>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</si>
  <si>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</si>
  <si>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</si>
  <si>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</si>
  <si>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</si>
  <si>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</si>
  <si>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</si>
  <si>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</si>
  <si>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</si>
  <si>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</si>
  <si>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</si>
  <si>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</si>
  <si>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</si>
  <si>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</si>
  <si>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</si>
  <si>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</si>
  <si>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</si>
  <si>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</si>
  <si>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</si>
  <si>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</si>
  <si>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</si>
  <si>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</si>
  <si>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</si>
  <si>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</si>
  <si>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</si>
  <si>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</si>
  <si>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</si>
  <si>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</si>
  <si>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</si>
  <si>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</si>
  <si>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</si>
  <si>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</si>
  <si>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</si>
  <si>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</si>
  <si>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</si>
  <si>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</si>
  <si>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</si>
  <si>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</si>
  <si>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</si>
  <si>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</si>
  <si>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</si>
  <si>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</si>
  <si>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</si>
  <si>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</si>
  <si>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</si>
  <si>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</si>
  <si>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</si>
  <si>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</si>
  <si>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</si>
  <si>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</si>
  <si>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</si>
  <si>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</si>
  <si>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</si>
  <si>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</si>
  <si>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</si>
  <si>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</si>
  <si>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</si>
  <si>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</si>
  <si>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</si>
  <si>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</si>
  <si>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</si>
  <si>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</si>
  <si>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</si>
  <si>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</si>
  <si>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</si>
  <si>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</si>
  <si>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</si>
  <si>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</si>
  <si>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</si>
  <si>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</si>
  <si>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</si>
  <si>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</si>
  <si>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</si>
  <si>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</si>
  <si>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</si>
  <si>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</si>
  <si>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</si>
  <si>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</si>
  <si>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</si>
  <si>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</si>
  <si>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</si>
  <si>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</si>
  <si>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</si>
  <si>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</si>
  <si>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</si>
  <si>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</si>
  <si>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</si>
  <si>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</si>
  <si>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</si>
  <si>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</si>
  <si>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</si>
  <si>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</si>
  <si>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</si>
  <si>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</si>
  <si>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</si>
  <si>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</si>
  <si>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</si>
  <si>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</si>
  <si>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</si>
  <si>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</si>
  <si>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</si>
  <si>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</si>
  <si>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</si>
  <si>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</si>
  <si>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</si>
  <si>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</si>
  <si>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</si>
  <si>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</si>
  <si>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</si>
  <si>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</si>
  <si>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</si>
  <si>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</si>
  <si>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</si>
  <si>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</si>
  <si>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</si>
  <si>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</si>
  <si>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</si>
  <si>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</si>
  <si>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</si>
  <si>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</si>
  <si>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</si>
  <si>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</si>
  <si>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</si>
  <si>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</si>
  <si>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</si>
  <si>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</si>
  <si>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</si>
  <si>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</si>
  <si>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</si>
  <si>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</si>
  <si>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</si>
  <si>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</si>
  <si>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</si>
  <si>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</si>
  <si>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</si>
  <si>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</si>
  <si>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</si>
  <si>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</si>
  <si>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</si>
  <si>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</si>
  <si>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</si>
  <si>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</si>
  <si>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</si>
  <si>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</si>
  <si>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</si>
  <si>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</si>
  <si>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</si>
  <si>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</si>
  <si>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</si>
  <si>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</si>
  <si>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</si>
  <si>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</si>
  <si>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</si>
  <si>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</si>
  <si>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</si>
  <si>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</si>
  <si>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</si>
  <si>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</si>
  <si>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</si>
  <si>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</si>
  <si>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</si>
  <si>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</si>
  <si>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</si>
  <si>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</si>
  <si>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</si>
  <si>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</si>
  <si>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</si>
  <si>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</si>
  <si>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</si>
  <si>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</si>
  <si>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</si>
  <si>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</si>
  <si>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</si>
  <si>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</si>
  <si>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</si>
  <si>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</si>
  <si>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</si>
  <si>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</si>
  <si>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</si>
  <si>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</si>
  <si>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</si>
  <si>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</si>
  <si>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</si>
  <si>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</si>
  <si>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</si>
  <si>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</si>
  <si>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</si>
  <si>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</si>
  <si>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</si>
  <si>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</si>
  <si>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</si>
  <si>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</si>
  <si>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</si>
  <si>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</si>
  <si>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</si>
  <si>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</si>
  <si>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</si>
  <si>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</si>
  <si>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</si>
  <si>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</si>
  <si>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</si>
  <si>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</si>
  <si>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</si>
  <si>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</si>
  <si>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</si>
  <si>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</si>
  <si>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</si>
  <si>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</si>
  <si>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</si>
  <si>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</si>
  <si>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</si>
  <si>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</si>
  <si>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</si>
  <si>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</si>
  <si>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</si>
  <si>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</si>
  <si>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</si>
  <si>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</si>
  <si>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</si>
  <si>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</si>
  <si>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</si>
  <si>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</si>
  <si>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</si>
  <si>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</si>
  <si>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</si>
  <si>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</si>
  <si>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</si>
  <si>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</si>
  <si>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</si>
  <si>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</si>
  <si>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</si>
  <si>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</si>
  <si>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</si>
  <si>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</si>
  <si>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</si>
  <si>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</si>
  <si>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</si>
  <si>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</si>
  <si>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</si>
  <si>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</si>
  <si>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</si>
  <si>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</si>
  <si>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</si>
  <si>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</si>
  <si>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</si>
  <si>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</si>
  <si>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</si>
  <si>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</si>
  <si>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</si>
  <si>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</si>
  <si>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</si>
  <si>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</si>
  <si>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</si>
  <si>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</si>
  <si>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</si>
  <si>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</si>
  <si>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</si>
  <si>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</si>
  <si>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</si>
  <si>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</si>
  <si>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</si>
  <si>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</si>
  <si>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</si>
  <si>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</si>
  <si>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</si>
  <si>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</si>
  <si>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</si>
  <si>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</si>
  <si>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</si>
  <si>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</si>
  <si>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</si>
  <si>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</si>
  <si>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</si>
  <si>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</si>
  <si>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</si>
  <si>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</si>
  <si>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</si>
  <si>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</si>
  <si>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</si>
  <si>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</si>
  <si>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</si>
  <si>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</si>
  <si>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</si>
  <si>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</si>
  <si>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</si>
  <si>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</si>
  <si>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</si>
  <si>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</si>
  <si>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</si>
  <si>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</si>
  <si>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</si>
  <si>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</si>
  <si>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</si>
  <si>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</si>
  <si>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</si>
  <si>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</si>
  <si>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</si>
  <si>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</si>
  <si>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</si>
  <si>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</si>
  <si>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</si>
  <si>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</si>
  <si>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</si>
  <si>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</si>
  <si>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</si>
  <si>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</si>
  <si>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</si>
  <si>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</si>
  <si>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</si>
  <si>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</si>
  <si>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</si>
  <si>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</si>
  <si>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</si>
  <si>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</si>
  <si>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</si>
  <si>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</si>
  <si>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</si>
  <si>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</si>
  <si>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</si>
  <si>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</si>
  <si>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</si>
  <si>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</si>
  <si>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</si>
  <si>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</si>
  <si>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</si>
  <si>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</si>
  <si>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</si>
  <si>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</si>
  <si>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</si>
  <si>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</si>
  <si>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</si>
  <si>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</si>
  <si>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</si>
  <si>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</si>
  <si>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</si>
  <si>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</si>
  <si>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</si>
  <si>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</si>
  <si>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</si>
  <si>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</si>
  <si>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</si>
  <si>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</si>
  <si>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</si>
  <si>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</si>
  <si>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</si>
  <si>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</si>
  <si>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</si>
  <si>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</si>
  <si>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</si>
  <si>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</si>
  <si>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</si>
  <si>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</si>
  <si>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</si>
  <si>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</si>
  <si>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</si>
  <si>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</si>
  <si>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</si>
  <si>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</si>
  <si>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</si>
  <si>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</si>
  <si>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</si>
  <si>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</si>
  <si>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</si>
  <si>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</si>
  <si>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</si>
  <si>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</si>
  <si>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</si>
  <si>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</si>
  <si>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</si>
  <si>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</si>
  <si>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</si>
  <si>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</si>
  <si>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</si>
  <si>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</si>
  <si>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</si>
  <si>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</si>
  <si>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</si>
  <si>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</si>
  <si>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</si>
  <si>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</si>
  <si>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</si>
  <si>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</si>
  <si>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</si>
  <si>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</si>
  <si>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</si>
  <si>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</si>
  <si>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</si>
  <si>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</si>
  <si>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</si>
  <si>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</si>
  <si>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</si>
  <si>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</si>
  <si>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</si>
  <si>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</si>
  <si>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</si>
  <si>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</si>
  <si>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</si>
  <si>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</si>
  <si>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</si>
  <si>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</si>
  <si>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</si>
  <si>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</si>
  <si>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</si>
  <si>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</si>
  <si>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</si>
  <si>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</si>
  <si>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</si>
  <si>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</si>
  <si>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</si>
  <si>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</si>
  <si>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</si>
  <si>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</si>
  <si>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</si>
  <si>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</si>
  <si>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</si>
  <si>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</si>
  <si>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</si>
  <si>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</si>
  <si>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</si>
  <si>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</si>
  <si>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</si>
  <si>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</si>
  <si>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</si>
  <si>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</si>
  <si>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</si>
  <si>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</si>
  <si>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</si>
  <si>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</si>
  <si>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</si>
  <si>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</si>
  <si>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</si>
  <si>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</si>
  <si>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</si>
  <si>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</si>
  <si>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</si>
  <si>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</si>
  <si>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</si>
  <si>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</si>
  <si>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</si>
  <si>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</si>
  <si>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</si>
  <si>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</si>
  <si>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</si>
  <si>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</si>
  <si>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</si>
  <si>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</si>
  <si>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</si>
  <si>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</si>
  <si>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</si>
  <si>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</si>
  <si>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</si>
  <si>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</si>
  <si>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</si>
  <si>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</si>
  <si>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</si>
  <si>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</si>
  <si>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</si>
  <si>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</si>
  <si>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</si>
  <si>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</si>
  <si>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</si>
  <si>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</si>
  <si>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</si>
  <si>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</si>
  <si>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</si>
  <si>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</si>
  <si>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</si>
  <si>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</si>
  <si>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</si>
  <si>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</si>
  <si>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</si>
  <si>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</si>
  <si>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</si>
  <si>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</si>
  <si>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</si>
  <si>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https://sf-item.taobao.com/sf_item/694247213254.htm?spm=a213w.7398504.paiList.2.10a8c998JZguf8&amp;track_id=b14223fe-6e8d-42a5-ad2b-a2f1b2938ae5</t>
    <phoneticPr fontId="134" type="noConversion"/>
  </si>
  <si>
    <t>https://sf-item.taobao.com/sf_item/693927140344.htm?spm=a213w.7398504.paiList.3.10a8c998JZguf8&amp;track_id=b14223fe-6e8d-42a5-ad2b-a2f1b2938ae5</t>
    <phoneticPr fontId="134" type="noConversion"/>
  </si>
  <si>
    <t>恋日国际</t>
    <phoneticPr fontId="3" type="noConversion"/>
  </si>
  <si>
    <t>18号楼1909</t>
    <phoneticPr fontId="3" type="noConversion"/>
  </si>
  <si>
    <t>18号楼1806</t>
    <phoneticPr fontId="3" type="noConversion"/>
  </si>
  <si>
    <t>18号楼1015</t>
    <phoneticPr fontId="3" type="noConversion"/>
  </si>
  <si>
    <t>正常</t>
  </si>
  <si>
    <t>住宅</t>
  </si>
  <si>
    <t>住宅</t>
    <phoneticPr fontId="24" type="noConversion"/>
  </si>
  <si>
    <t>单套模式</t>
  </si>
  <si>
    <t>售价</t>
  </si>
  <si>
    <t>核定资产</t>
  </si>
  <si>
    <t>房地产市场价值</t>
  </si>
  <si>
    <t>北京市</t>
  </si>
  <si>
    <t>自然人</t>
  </si>
  <si>
    <r>
      <rPr>
        <sz val="10"/>
        <color theme="9" tint="-0.249977111117893"/>
        <rFont val="宋体"/>
        <family val="3"/>
        <charset val="134"/>
      </rPr>
      <t>朝阳区南郎家园</t>
    </r>
    <r>
      <rPr>
        <sz val="10"/>
        <color theme="9" tint="-0.249977111117893"/>
        <rFont val="Arial"/>
        <family val="2"/>
      </rPr>
      <t>18</t>
    </r>
    <r>
      <rPr>
        <sz val="10"/>
        <color theme="9" tint="-0.249977111117893"/>
        <rFont val="宋体"/>
        <family val="3"/>
        <charset val="134"/>
      </rPr>
      <t>号楼</t>
    </r>
    <r>
      <rPr>
        <sz val="10"/>
        <color theme="9" tint="-0.249977111117893"/>
        <rFont val="Arial"/>
        <family val="2"/>
      </rPr>
      <t>19</t>
    </r>
    <r>
      <rPr>
        <sz val="10"/>
        <color theme="9" tint="-0.249977111117893"/>
        <rFont val="宋体"/>
        <family val="3"/>
        <charset val="134"/>
      </rPr>
      <t>层</t>
    </r>
    <r>
      <rPr>
        <sz val="10"/>
        <color theme="9" tint="-0.249977111117893"/>
        <rFont val="Arial"/>
        <family val="2"/>
      </rPr>
      <t>2113</t>
    </r>
    <phoneticPr fontId="6" type="noConversion"/>
  </si>
  <si>
    <t>地上</t>
  </si>
  <si>
    <t>是</t>
  </si>
  <si>
    <t>住宅</t>
    <phoneticPr fontId="7" type="noConversion"/>
  </si>
  <si>
    <t>成新度</t>
  </si>
  <si>
    <t>收益法 (元)</t>
  </si>
  <si>
    <t>利息：取LPR加浮动点数</t>
  </si>
  <si>
    <t>押一</t>
  </si>
  <si>
    <t>钢混</t>
  </si>
  <si>
    <t>非生产用房</t>
  </si>
  <si>
    <t>否</t>
  </si>
  <si>
    <t>比较法-住宅</t>
  </si>
  <si>
    <t>东、北</t>
  </si>
  <si>
    <t>东、北</t>
    <phoneticPr fontId="24" type="noConversion"/>
  </si>
  <si>
    <t>东</t>
  </si>
  <si>
    <t>东</t>
    <phoneticPr fontId="24" type="noConversion"/>
  </si>
  <si>
    <t>西</t>
    <phoneticPr fontId="24" type="noConversion"/>
  </si>
  <si>
    <t>楼层</t>
    <phoneticPr fontId="24" type="noConversion"/>
  </si>
  <si>
    <r>
      <t>19/25</t>
    </r>
    <r>
      <rPr>
        <sz val="11"/>
        <color indexed="8"/>
        <rFont val="宋体"/>
        <family val="3"/>
        <charset val="134"/>
      </rPr>
      <t>（高层）</t>
    </r>
    <phoneticPr fontId="24" type="noConversion"/>
  </si>
  <si>
    <r>
      <t>10/25</t>
    </r>
    <r>
      <rPr>
        <sz val="11"/>
        <color indexed="8"/>
        <rFont val="宋体"/>
        <family val="3"/>
        <charset val="134"/>
      </rPr>
      <t>（中层）</t>
    </r>
    <phoneticPr fontId="24" type="noConversion"/>
  </si>
  <si>
    <t>塔楼</t>
  </si>
  <si>
    <t>塔楼</t>
    <phoneticPr fontId="24" type="noConversion"/>
  </si>
  <si>
    <t>钢混</t>
    <phoneticPr fontId="24" type="noConversion"/>
  </si>
  <si>
    <t>中档</t>
  </si>
  <si>
    <t>中档</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</si>
  <si>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</si>
  <si>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</si>
  <si>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</si>
  <si>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</si>
  <si>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</si>
  <si>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</si>
  <si>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</si>
  <si>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</si>
  <si>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法拍</t>
    <phoneticPr fontId="24" type="noConversion"/>
  </si>
  <si>
    <t>序号</t>
  </si>
  <si>
    <t>部位及房号</t>
  </si>
  <si>
    <t>所在 楼层</t>
  </si>
  <si>
    <t>结构</t>
  </si>
  <si>
    <t>建筑面积</t>
  </si>
  <si>
    <t>（㎡）</t>
  </si>
  <si>
    <t>单价   （元/㎡）</t>
  </si>
  <si>
    <t>总价      （万元）</t>
  </si>
  <si>
    <t>地下车库</t>
  </si>
  <si>
    <t>合计</t>
  </si>
  <si>
    <t>序号</t>
    <phoneticPr fontId="134" type="noConversion"/>
  </si>
  <si>
    <t>地址</t>
    <phoneticPr fontId="134" type="noConversion"/>
  </si>
  <si>
    <t>面积（平方米）</t>
    <phoneticPr fontId="134" type="noConversion"/>
  </si>
  <si>
    <t>成交时间</t>
    <phoneticPr fontId="134" type="noConversion"/>
  </si>
  <si>
    <t>成交价格（万元）</t>
    <phoneticPr fontId="134" type="noConversion"/>
  </si>
  <si>
    <t>成交单价（元/㎡）</t>
    <phoneticPr fontId="134" type="noConversion"/>
  </si>
  <si>
    <t>楼层</t>
    <phoneticPr fontId="134" type="noConversion"/>
  </si>
  <si>
    <t>恋日国际</t>
    <phoneticPr fontId="134" type="noConversion"/>
  </si>
  <si>
    <t>低楼层</t>
    <phoneticPr fontId="134" type="noConversion"/>
  </si>
  <si>
    <t>高楼层</t>
    <phoneticPr fontId="134" type="noConversion"/>
  </si>
  <si>
    <t>中楼层</t>
    <phoneticPr fontId="134" type="noConversion"/>
  </si>
  <si>
    <t>低层</t>
    <phoneticPr fontId="24" type="noConversion"/>
  </si>
  <si>
    <t>高层</t>
    <phoneticPr fontId="24" type="noConversion"/>
  </si>
  <si>
    <t>北</t>
  </si>
  <si>
    <t>北</t>
    <phoneticPr fontId="134" type="noConversion"/>
  </si>
  <si>
    <t>南</t>
  </si>
  <si>
    <t>南</t>
    <phoneticPr fontId="134" type="noConversion"/>
  </si>
  <si>
    <t>西</t>
    <phoneticPr fontId="134" type="noConversion"/>
  </si>
  <si>
    <t>南</t>
    <phoneticPr fontId="24" type="noConversion"/>
  </si>
  <si>
    <t>北</t>
    <phoneticPr fontId="24" type="noConversion"/>
  </si>
  <si>
    <t>收益还原</t>
  </si>
  <si>
    <t>小区</t>
  </si>
  <si>
    <t>平米租金(元/㎡·月)</t>
  </si>
  <si>
    <t>恋日国际</t>
  </si>
  <si>
    <t>现房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</si>
</sst>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0"/>
      <color theme="9" tint="-0.249977111117893"/>
      <name val="Arial"/>
      <family val="3"/>
      <charset val="134"/>
    </font>
    <font>
      <sz val="10.5"/>
      <color theme="1"/>
      <name val="仿宋_GB2312"/>
      <family val="3"/>
      <charset val="134"/>
    </font>
    <font>
      <sz val="10.5"/>
      <color rgb="FF000000"/>
      <name val="仿宋_GB2312"/>
      <family val="3"/>
      <charset val="134"/>
    </font>
    <font>
      <b/>
      <sz val="10.5"/>
      <color theme="1"/>
      <name val="仿宋_GB2312"/>
      <family val="3"/>
      <charset val="134"/>
    </font>
    <font>
      <b/>
      <sz val="10.5"/>
      <color rgb="FF000000"/>
      <name val="仿宋_GB2312"/>
      <family val="3"/>
      <charset val="134"/>
    </font>
    <font>
      <sz val="10"/>
      <color theme="1"/>
      <name val="微软雅黑"/>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276" fillId="0" borderId="0"/>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49" fontId="270" fillId="12" borderId="4" xfId="0" applyNumberFormat="1" applyFont="1" applyFill="1" applyBorder="1" applyAlignment="1" applyProtection="1">
      <alignment horizontal="left"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271" fillId="0" borderId="31" xfId="0" applyFont="1" applyBorder="1" applyAlignment="1">
      <alignment horizontal="center" vertical="center" wrapText="1"/>
    </xf>
    <xf numFmtId="0" fontId="271" fillId="0" borderId="43" xfId="0" applyFont="1" applyBorder="1" applyAlignment="1">
      <alignment horizontal="center" vertical="center" wrapText="1"/>
    </xf>
    <xf numFmtId="0" fontId="271" fillId="0" borderId="81" xfId="0" applyFont="1" applyBorder="1" applyAlignment="1">
      <alignment horizontal="center" vertical="center" wrapText="1"/>
    </xf>
    <xf numFmtId="0" fontId="272" fillId="0" borderId="43" xfId="0" applyFont="1" applyBorder="1" applyAlignment="1">
      <alignment horizontal="center" vertical="top" wrapText="1"/>
    </xf>
    <xf numFmtId="0" fontId="272" fillId="0" borderId="43" xfId="0" applyFont="1" applyBorder="1" applyAlignment="1">
      <alignment horizontal="center" vertical="center" wrapText="1"/>
    </xf>
    <xf numFmtId="0" fontId="273" fillId="0" borderId="43" xfId="0" applyFont="1" applyBorder="1" applyAlignment="1">
      <alignment horizontal="center" vertical="center" wrapText="1"/>
    </xf>
    <xf numFmtId="0" fontId="274" fillId="0" borderId="43" xfId="0" applyFont="1" applyBorder="1" applyAlignment="1">
      <alignment horizontal="center" wrapText="1"/>
    </xf>
    <xf numFmtId="31" fontId="0" fillId="0" borderId="0" xfId="0" applyNumberFormat="1">
      <alignment vertical="center"/>
    </xf>
    <xf numFmtId="0" fontId="275" fillId="0" borderId="1" xfId="0" applyFont="1" applyBorder="1" applyAlignment="1">
      <alignment horizontal="center" vertical="center" wrapText="1"/>
    </xf>
    <xf numFmtId="179" fontId="275" fillId="0" borderId="1" xfId="0" applyNumberFormat="1" applyFont="1" applyBorder="1" applyAlignment="1">
      <alignment horizontal="center" vertical="center" wrapText="1"/>
    </xf>
    <xf numFmtId="176" fontId="275" fillId="0" borderId="1" xfId="0" applyNumberFormat="1" applyFont="1" applyBorder="1" applyAlignment="1">
      <alignment horizontal="center" vertical="center" wrapText="1"/>
    </xf>
    <xf numFmtId="185" fontId="275" fillId="0" borderId="1" xfId="0" applyNumberFormat="1" applyFont="1" applyBorder="1" applyAlignment="1">
      <alignment horizontal="center" vertical="center" wrapText="1"/>
    </xf>
    <xf numFmtId="0" fontId="275" fillId="0" borderId="1" xfId="0" applyFont="1" applyBorder="1" applyAlignment="1">
      <alignment horizontal="center" vertical="center"/>
    </xf>
    <xf numFmtId="0" fontId="275" fillId="0" borderId="1" xfId="0" applyFont="1" applyBorder="1" applyAlignment="1">
      <alignment vertical="center" wrapText="1"/>
    </xf>
    <xf numFmtId="179" fontId="275" fillId="0" borderId="1" xfId="0" applyNumberFormat="1" applyFont="1" applyBorder="1" applyAlignment="1">
      <alignment horizontal="center" vertical="center"/>
    </xf>
    <xf numFmtId="14" fontId="275" fillId="0" borderId="1" xfId="0" applyNumberFormat="1" applyFont="1" applyBorder="1" applyAlignment="1">
      <alignment horizontal="center" vertical="center"/>
    </xf>
    <xf numFmtId="176" fontId="275" fillId="0" borderId="1" xfId="0" applyNumberFormat="1" applyFont="1" applyBorder="1" applyAlignment="1">
      <alignment horizontal="center" vertical="center"/>
    </xf>
    <xf numFmtId="185" fontId="275" fillId="0" borderId="1" xfId="0" applyNumberFormat="1" applyFont="1" applyBorder="1" applyAlignment="1">
      <alignment horizontal="center" vertical="center"/>
    </xf>
    <xf numFmtId="0" fontId="0" fillId="0" borderId="1" xfId="0" applyBorder="1" applyAlignment="1"/>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95" fillId="0" borderId="0" xfId="0" applyFont="1">
      <alignment vertical="center"/>
    </xf>
    <xf numFmtId="0" fontId="95" fillId="0" borderId="0" xfId="0" applyFont="1" applyFill="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71" fillId="0" borderId="27" xfId="0" applyFont="1" applyBorder="1" applyAlignment="1">
      <alignment horizontal="center" vertical="center" wrapText="1"/>
    </xf>
    <xf numFmtId="0" fontId="271" fillId="0" borderId="81" xfId="0" applyFont="1" applyBorder="1" applyAlignment="1">
      <alignment horizontal="center" vertical="center" wrapText="1"/>
    </xf>
    <xf numFmtId="0" fontId="273" fillId="0" borderId="63" xfId="0" applyFont="1" applyBorder="1" applyAlignment="1">
      <alignment horizontal="center" vertical="center" wrapText="1"/>
    </xf>
    <xf numFmtId="0" fontId="273" fillId="0" borderId="65" xfId="0" applyFont="1" applyBorder="1" applyAlignment="1">
      <alignment horizontal="center" vertical="center" wrapText="1"/>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6" fillId="0" borderId="0" xfId="20"/>
    <xf numFmtId="0" fontId="276" fillId="0" borderId="0" xfId="20"/>
    <xf numFmtId="14" fontId="276" fillId="0" borderId="0" xfId="20" applyNumberFormat="1"/>
    <xf numFmtId="0" fontId="276" fillId="5" borderId="0" xfId="20" applyFill="1"/>
  </cellXfs>
  <cellStyles count="21">
    <cellStyle name="百分比" xfId="17" builtinId="5"/>
    <cellStyle name="百分比 2" xfId="14" xr:uid="{00000000-0005-0000-0000-000001000000}"/>
    <cellStyle name="常规" xfId="0" builtinId="0"/>
    <cellStyle name="常规 10" xfId="20" xr:uid="{A696DDDD-00B7-4410-8897-23399E2FFE1D}"/>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57150</xdr:rowOff>
    </xdr:from>
    <xdr:to>
      <xdr:col>12</xdr:col>
      <xdr:colOff>656038</xdr:colOff>
      <xdr:row>51</xdr:row>
      <xdr:rowOff>170900</xdr:rowOff>
    </xdr:to>
    <xdr:pic>
      <xdr:nvPicPr>
        <xdr:cNvPr id="2" name="图片 1">
          <a:extLst>
            <a:ext uri="{FF2B5EF4-FFF2-40B4-BE49-F238E27FC236}">
              <a16:creationId xmlns:a16="http://schemas.microsoft.com/office/drawing/2014/main" id="{3720ADB9-6F62-42A3-AD97-1A6A7E702509}"/>
            </a:ext>
          </a:extLst>
        </xdr:cNvPr>
        <xdr:cNvPicPr>
          <a:picLocks noChangeAspect="1"/>
        </xdr:cNvPicPr>
      </xdr:nvPicPr>
      <xdr:blipFill>
        <a:blip xmlns:r="http://schemas.openxmlformats.org/officeDocument/2006/relationships" r:embed="rId1"/>
        <a:stretch>
          <a:fillRect/>
        </a:stretch>
      </xdr:blipFill>
      <xdr:spPr>
        <a:xfrm>
          <a:off x="0" y="4514850"/>
          <a:ext cx="9495238" cy="4400000"/>
        </a:xfrm>
        <a:prstGeom prst="rect">
          <a:avLst/>
        </a:prstGeom>
      </xdr:spPr>
    </xdr:pic>
    <xdr:clientData/>
  </xdr:twoCellAnchor>
  <xdr:twoCellAnchor editAs="oneCell">
    <xdr:from>
      <xdr:col>0</xdr:col>
      <xdr:colOff>0</xdr:colOff>
      <xdr:row>0</xdr:row>
      <xdr:rowOff>0</xdr:rowOff>
    </xdr:from>
    <xdr:to>
      <xdr:col>18</xdr:col>
      <xdr:colOff>369809</xdr:colOff>
      <xdr:row>26</xdr:row>
      <xdr:rowOff>75633</xdr:rowOff>
    </xdr:to>
    <xdr:pic>
      <xdr:nvPicPr>
        <xdr:cNvPr id="3" name="图片 2">
          <a:extLst>
            <a:ext uri="{FF2B5EF4-FFF2-40B4-BE49-F238E27FC236}">
              <a16:creationId xmlns:a16="http://schemas.microsoft.com/office/drawing/2014/main" id="{D2324745-453B-4933-9C9D-7F76BFAF5F77}"/>
            </a:ext>
          </a:extLst>
        </xdr:cNvPr>
        <xdr:cNvPicPr>
          <a:picLocks noChangeAspect="1"/>
        </xdr:cNvPicPr>
      </xdr:nvPicPr>
      <xdr:blipFill>
        <a:blip xmlns:r="http://schemas.openxmlformats.org/officeDocument/2006/relationships" r:embed="rId2"/>
        <a:stretch>
          <a:fillRect/>
        </a:stretch>
      </xdr:blipFill>
      <xdr:spPr>
        <a:xfrm>
          <a:off x="0" y="0"/>
          <a:ext cx="13323809" cy="4533333"/>
        </a:xfrm>
        <a:prstGeom prst="rect">
          <a:avLst/>
        </a:prstGeom>
      </xdr:spPr>
    </xdr:pic>
    <xdr:clientData/>
  </xdr:twoCellAnchor>
  <xdr:twoCellAnchor editAs="oneCell">
    <xdr:from>
      <xdr:col>19</xdr:col>
      <xdr:colOff>180975</xdr:colOff>
      <xdr:row>0</xdr:row>
      <xdr:rowOff>0</xdr:rowOff>
    </xdr:from>
    <xdr:to>
      <xdr:col>34</xdr:col>
      <xdr:colOff>113023</xdr:colOff>
      <xdr:row>32</xdr:row>
      <xdr:rowOff>123124</xdr:rowOff>
    </xdr:to>
    <xdr:pic>
      <xdr:nvPicPr>
        <xdr:cNvPr id="4" name="图片 3">
          <a:extLst>
            <a:ext uri="{FF2B5EF4-FFF2-40B4-BE49-F238E27FC236}">
              <a16:creationId xmlns:a16="http://schemas.microsoft.com/office/drawing/2014/main" id="{BC103448-7469-4DBC-94BB-1A49E4F00E4C}"/>
            </a:ext>
          </a:extLst>
        </xdr:cNvPr>
        <xdr:cNvPicPr>
          <a:picLocks noChangeAspect="1"/>
        </xdr:cNvPicPr>
      </xdr:nvPicPr>
      <xdr:blipFill>
        <a:blip xmlns:r="http://schemas.openxmlformats.org/officeDocument/2006/relationships" r:embed="rId3"/>
        <a:stretch>
          <a:fillRect/>
        </a:stretch>
      </xdr:blipFill>
      <xdr:spPr>
        <a:xfrm>
          <a:off x="13211175" y="0"/>
          <a:ext cx="10219048" cy="5609524"/>
        </a:xfrm>
        <a:prstGeom prst="rect">
          <a:avLst/>
        </a:prstGeom>
      </xdr:spPr>
    </xdr:pic>
    <xdr:clientData/>
  </xdr:twoCellAnchor>
  <xdr:twoCellAnchor editAs="oneCell">
    <xdr:from>
      <xdr:col>19</xdr:col>
      <xdr:colOff>180975</xdr:colOff>
      <xdr:row>32</xdr:row>
      <xdr:rowOff>133350</xdr:rowOff>
    </xdr:from>
    <xdr:to>
      <xdr:col>32</xdr:col>
      <xdr:colOff>646527</xdr:colOff>
      <xdr:row>51</xdr:row>
      <xdr:rowOff>85324</xdr:rowOff>
    </xdr:to>
    <xdr:pic>
      <xdr:nvPicPr>
        <xdr:cNvPr id="5" name="图片 4">
          <a:extLst>
            <a:ext uri="{FF2B5EF4-FFF2-40B4-BE49-F238E27FC236}">
              <a16:creationId xmlns:a16="http://schemas.microsoft.com/office/drawing/2014/main" id="{8C2AB147-DEC0-41F4-BA31-B650CA7E292E}"/>
            </a:ext>
          </a:extLst>
        </xdr:cNvPr>
        <xdr:cNvPicPr>
          <a:picLocks noChangeAspect="1"/>
        </xdr:cNvPicPr>
      </xdr:nvPicPr>
      <xdr:blipFill>
        <a:blip xmlns:r="http://schemas.openxmlformats.org/officeDocument/2006/relationships" r:embed="rId4"/>
        <a:stretch>
          <a:fillRect/>
        </a:stretch>
      </xdr:blipFill>
      <xdr:spPr>
        <a:xfrm>
          <a:off x="13211175" y="5619750"/>
          <a:ext cx="9380952" cy="3209524"/>
        </a:xfrm>
        <a:prstGeom prst="rect">
          <a:avLst/>
        </a:prstGeom>
      </xdr:spPr>
    </xdr:pic>
    <xdr:clientData/>
  </xdr:twoCellAnchor>
  <xdr:twoCellAnchor editAs="oneCell">
    <xdr:from>
      <xdr:col>19</xdr:col>
      <xdr:colOff>190500</xdr:colOff>
      <xdr:row>51</xdr:row>
      <xdr:rowOff>19050</xdr:rowOff>
    </xdr:from>
    <xdr:to>
      <xdr:col>30</xdr:col>
      <xdr:colOff>27652</xdr:colOff>
      <xdr:row>67</xdr:row>
      <xdr:rowOff>132993</xdr:rowOff>
    </xdr:to>
    <xdr:pic>
      <xdr:nvPicPr>
        <xdr:cNvPr id="6" name="图片 5">
          <a:extLst>
            <a:ext uri="{FF2B5EF4-FFF2-40B4-BE49-F238E27FC236}">
              <a16:creationId xmlns:a16="http://schemas.microsoft.com/office/drawing/2014/main" id="{FB7ED4F3-2949-446D-9398-07DB904766C9}"/>
            </a:ext>
          </a:extLst>
        </xdr:cNvPr>
        <xdr:cNvPicPr>
          <a:picLocks noChangeAspect="1"/>
        </xdr:cNvPicPr>
      </xdr:nvPicPr>
      <xdr:blipFill>
        <a:blip xmlns:r="http://schemas.openxmlformats.org/officeDocument/2006/relationships" r:embed="rId5"/>
        <a:stretch>
          <a:fillRect/>
        </a:stretch>
      </xdr:blipFill>
      <xdr:spPr>
        <a:xfrm>
          <a:off x="13220700" y="8763000"/>
          <a:ext cx="7380952" cy="2857143"/>
        </a:xfrm>
        <a:prstGeom prst="rect">
          <a:avLst/>
        </a:prstGeom>
      </xdr:spPr>
    </xdr:pic>
    <xdr:clientData/>
  </xdr:twoCellAnchor>
  <xdr:twoCellAnchor editAs="oneCell">
    <xdr:from>
      <xdr:col>19</xdr:col>
      <xdr:colOff>200025</xdr:colOff>
      <xdr:row>67</xdr:row>
      <xdr:rowOff>104775</xdr:rowOff>
    </xdr:from>
    <xdr:to>
      <xdr:col>30</xdr:col>
      <xdr:colOff>551463</xdr:colOff>
      <xdr:row>79</xdr:row>
      <xdr:rowOff>47375</xdr:rowOff>
    </xdr:to>
    <xdr:pic>
      <xdr:nvPicPr>
        <xdr:cNvPr id="7" name="图片 6">
          <a:extLst>
            <a:ext uri="{FF2B5EF4-FFF2-40B4-BE49-F238E27FC236}">
              <a16:creationId xmlns:a16="http://schemas.microsoft.com/office/drawing/2014/main" id="{0775E8F3-311F-4024-8FC6-F05B985EBBBA}"/>
            </a:ext>
          </a:extLst>
        </xdr:cNvPr>
        <xdr:cNvPicPr>
          <a:picLocks noChangeAspect="1"/>
        </xdr:cNvPicPr>
      </xdr:nvPicPr>
      <xdr:blipFill>
        <a:blip xmlns:r="http://schemas.openxmlformats.org/officeDocument/2006/relationships" r:embed="rId6"/>
        <a:stretch>
          <a:fillRect/>
        </a:stretch>
      </xdr:blipFill>
      <xdr:spPr>
        <a:xfrm>
          <a:off x="13230225" y="11591925"/>
          <a:ext cx="7895238" cy="2000000"/>
        </a:xfrm>
        <a:prstGeom prst="rect">
          <a:avLst/>
        </a:prstGeom>
      </xdr:spPr>
    </xdr:pic>
    <xdr:clientData/>
  </xdr:twoCellAnchor>
  <xdr:twoCellAnchor editAs="oneCell">
    <xdr:from>
      <xdr:col>19</xdr:col>
      <xdr:colOff>219075</xdr:colOff>
      <xdr:row>78</xdr:row>
      <xdr:rowOff>114300</xdr:rowOff>
    </xdr:from>
    <xdr:to>
      <xdr:col>29</xdr:col>
      <xdr:colOff>380123</xdr:colOff>
      <xdr:row>109</xdr:row>
      <xdr:rowOff>170779</xdr:rowOff>
    </xdr:to>
    <xdr:pic>
      <xdr:nvPicPr>
        <xdr:cNvPr id="8" name="图片 7">
          <a:extLst>
            <a:ext uri="{FF2B5EF4-FFF2-40B4-BE49-F238E27FC236}">
              <a16:creationId xmlns:a16="http://schemas.microsoft.com/office/drawing/2014/main" id="{DDA851FC-A0ED-44CA-969A-37CAB9D5D19C}"/>
            </a:ext>
          </a:extLst>
        </xdr:cNvPr>
        <xdr:cNvPicPr>
          <a:picLocks noChangeAspect="1"/>
        </xdr:cNvPicPr>
      </xdr:nvPicPr>
      <xdr:blipFill>
        <a:blip xmlns:r="http://schemas.openxmlformats.org/officeDocument/2006/relationships" r:embed="rId7"/>
        <a:stretch>
          <a:fillRect/>
        </a:stretch>
      </xdr:blipFill>
      <xdr:spPr>
        <a:xfrm>
          <a:off x="13249275" y="13487400"/>
          <a:ext cx="7019048" cy="5371429"/>
        </a:xfrm>
        <a:prstGeom prst="rect">
          <a:avLst/>
        </a:prstGeom>
      </xdr:spPr>
    </xdr:pic>
    <xdr:clientData/>
  </xdr:twoCellAnchor>
  <xdr:twoCellAnchor editAs="oneCell">
    <xdr:from>
      <xdr:col>0</xdr:col>
      <xdr:colOff>0</xdr:colOff>
      <xdr:row>52</xdr:row>
      <xdr:rowOff>0</xdr:rowOff>
    </xdr:from>
    <xdr:to>
      <xdr:col>11</xdr:col>
      <xdr:colOff>408505</xdr:colOff>
      <xdr:row>89</xdr:row>
      <xdr:rowOff>75398</xdr:rowOff>
    </xdr:to>
    <xdr:pic>
      <xdr:nvPicPr>
        <xdr:cNvPr id="9" name="图片 8">
          <a:extLst>
            <a:ext uri="{FF2B5EF4-FFF2-40B4-BE49-F238E27FC236}">
              <a16:creationId xmlns:a16="http://schemas.microsoft.com/office/drawing/2014/main" id="{B5ED87F4-9A1F-4FD9-B9CD-1D85F6287D09}"/>
            </a:ext>
          </a:extLst>
        </xdr:cNvPr>
        <xdr:cNvPicPr>
          <a:picLocks noChangeAspect="1"/>
        </xdr:cNvPicPr>
      </xdr:nvPicPr>
      <xdr:blipFill>
        <a:blip xmlns:r="http://schemas.openxmlformats.org/officeDocument/2006/relationships" r:embed="rId8"/>
        <a:stretch>
          <a:fillRect/>
        </a:stretch>
      </xdr:blipFill>
      <xdr:spPr>
        <a:xfrm>
          <a:off x="0" y="8915400"/>
          <a:ext cx="8561905" cy="6419048"/>
        </a:xfrm>
        <a:prstGeom prst="rect">
          <a:avLst/>
        </a:prstGeom>
      </xdr:spPr>
    </xdr:pic>
    <xdr:clientData/>
  </xdr:twoCellAnchor>
  <xdr:twoCellAnchor editAs="oneCell">
    <xdr:from>
      <xdr:col>6</xdr:col>
      <xdr:colOff>238125</xdr:colOff>
      <xdr:row>33</xdr:row>
      <xdr:rowOff>57150</xdr:rowOff>
    </xdr:from>
    <xdr:to>
      <xdr:col>15</xdr:col>
      <xdr:colOff>189692</xdr:colOff>
      <xdr:row>58</xdr:row>
      <xdr:rowOff>56614</xdr:rowOff>
    </xdr:to>
    <xdr:pic>
      <xdr:nvPicPr>
        <xdr:cNvPr id="10" name="图片 9">
          <a:extLst>
            <a:ext uri="{FF2B5EF4-FFF2-40B4-BE49-F238E27FC236}">
              <a16:creationId xmlns:a16="http://schemas.microsoft.com/office/drawing/2014/main" id="{C0044A5D-D2F0-407B-82FD-A9A8ABAA4E27}"/>
            </a:ext>
          </a:extLst>
        </xdr:cNvPr>
        <xdr:cNvPicPr>
          <a:picLocks noChangeAspect="1"/>
        </xdr:cNvPicPr>
      </xdr:nvPicPr>
      <xdr:blipFill>
        <a:blip xmlns:r="http://schemas.openxmlformats.org/officeDocument/2006/relationships" r:embed="rId9"/>
        <a:stretch>
          <a:fillRect/>
        </a:stretch>
      </xdr:blipFill>
      <xdr:spPr>
        <a:xfrm>
          <a:off x="4352925" y="5715000"/>
          <a:ext cx="6466667" cy="4285714"/>
        </a:xfrm>
        <a:prstGeom prst="rect">
          <a:avLst/>
        </a:prstGeom>
      </xdr:spPr>
    </xdr:pic>
    <xdr:clientData/>
  </xdr:twoCellAnchor>
  <xdr:twoCellAnchor editAs="oneCell">
    <xdr:from>
      <xdr:col>0</xdr:col>
      <xdr:colOff>0</xdr:colOff>
      <xdr:row>90</xdr:row>
      <xdr:rowOff>47625</xdr:rowOff>
    </xdr:from>
    <xdr:to>
      <xdr:col>13</xdr:col>
      <xdr:colOff>141667</xdr:colOff>
      <xdr:row>116</xdr:row>
      <xdr:rowOff>151830</xdr:rowOff>
    </xdr:to>
    <xdr:pic>
      <xdr:nvPicPr>
        <xdr:cNvPr id="11" name="图片 10">
          <a:extLst>
            <a:ext uri="{FF2B5EF4-FFF2-40B4-BE49-F238E27FC236}">
              <a16:creationId xmlns:a16="http://schemas.microsoft.com/office/drawing/2014/main" id="{4B9607CE-CDA2-450E-BF2E-CCE68A20251F}"/>
            </a:ext>
          </a:extLst>
        </xdr:cNvPr>
        <xdr:cNvPicPr>
          <a:picLocks noChangeAspect="1"/>
        </xdr:cNvPicPr>
      </xdr:nvPicPr>
      <xdr:blipFill>
        <a:blip xmlns:r="http://schemas.openxmlformats.org/officeDocument/2006/relationships" r:embed="rId10"/>
        <a:stretch>
          <a:fillRect/>
        </a:stretch>
      </xdr:blipFill>
      <xdr:spPr>
        <a:xfrm>
          <a:off x="0" y="15478125"/>
          <a:ext cx="9666667" cy="4561905"/>
        </a:xfrm>
        <a:prstGeom prst="rect">
          <a:avLst/>
        </a:prstGeom>
      </xdr:spPr>
    </xdr:pic>
    <xdr:clientData/>
  </xdr:twoCellAnchor>
  <xdr:twoCellAnchor editAs="oneCell">
    <xdr:from>
      <xdr:col>0</xdr:col>
      <xdr:colOff>209550</xdr:colOff>
      <xdr:row>116</xdr:row>
      <xdr:rowOff>152400</xdr:rowOff>
    </xdr:from>
    <xdr:to>
      <xdr:col>9</xdr:col>
      <xdr:colOff>1027793</xdr:colOff>
      <xdr:row>134</xdr:row>
      <xdr:rowOff>28205</xdr:rowOff>
    </xdr:to>
    <xdr:pic>
      <xdr:nvPicPr>
        <xdr:cNvPr id="12" name="图片 11">
          <a:extLst>
            <a:ext uri="{FF2B5EF4-FFF2-40B4-BE49-F238E27FC236}">
              <a16:creationId xmlns:a16="http://schemas.microsoft.com/office/drawing/2014/main" id="{5880B0AE-4BD4-4EFC-9773-8EAD88F4D03C}"/>
            </a:ext>
          </a:extLst>
        </xdr:cNvPr>
        <xdr:cNvPicPr>
          <a:picLocks noChangeAspect="1"/>
        </xdr:cNvPicPr>
      </xdr:nvPicPr>
      <xdr:blipFill>
        <a:blip xmlns:r="http://schemas.openxmlformats.org/officeDocument/2006/relationships" r:embed="rId11"/>
        <a:stretch>
          <a:fillRect/>
        </a:stretch>
      </xdr:blipFill>
      <xdr:spPr>
        <a:xfrm>
          <a:off x="209550" y="20040600"/>
          <a:ext cx="7257143" cy="2961905"/>
        </a:xfrm>
        <a:prstGeom prst="rect">
          <a:avLst/>
        </a:prstGeom>
      </xdr:spPr>
    </xdr:pic>
    <xdr:clientData/>
  </xdr:twoCellAnchor>
  <xdr:twoCellAnchor editAs="oneCell">
    <xdr:from>
      <xdr:col>0</xdr:col>
      <xdr:colOff>0</xdr:colOff>
      <xdr:row>134</xdr:row>
      <xdr:rowOff>104775</xdr:rowOff>
    </xdr:from>
    <xdr:to>
      <xdr:col>11</xdr:col>
      <xdr:colOff>465648</xdr:colOff>
      <xdr:row>159</xdr:row>
      <xdr:rowOff>18525</xdr:rowOff>
    </xdr:to>
    <xdr:pic>
      <xdr:nvPicPr>
        <xdr:cNvPr id="13" name="图片 12">
          <a:extLst>
            <a:ext uri="{FF2B5EF4-FFF2-40B4-BE49-F238E27FC236}">
              <a16:creationId xmlns:a16="http://schemas.microsoft.com/office/drawing/2014/main" id="{8B201D05-66FF-4332-BCB6-87D5D8086FF1}"/>
            </a:ext>
          </a:extLst>
        </xdr:cNvPr>
        <xdr:cNvPicPr>
          <a:picLocks noChangeAspect="1"/>
        </xdr:cNvPicPr>
      </xdr:nvPicPr>
      <xdr:blipFill>
        <a:blip xmlns:r="http://schemas.openxmlformats.org/officeDocument/2006/relationships" r:embed="rId12"/>
        <a:stretch>
          <a:fillRect/>
        </a:stretch>
      </xdr:blipFill>
      <xdr:spPr>
        <a:xfrm>
          <a:off x="0" y="23079075"/>
          <a:ext cx="8619048" cy="4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7861;&#38498;/&#37070;&#23478;&#2225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sf-item.taobao.com/sf_item/693927140344.htm?spm=a213w.7398504.paiList.3.10a8c998JZguf8&amp;track_id=b14223fe-6e8d-42a5-ad2b-a2f1b2938ae5" TargetMode="External"/><Relationship Id="rId1" Type="http://schemas.openxmlformats.org/officeDocument/2006/relationships/hyperlink" Target="https://sf-item.taobao.com/sf_item/694247213254.htm?spm=a213w.7398504.paiList.2.10a8c998JZguf8&amp;track_id=b14223fe-6e8d-42a5-ad2b-a2f1b2938ae5"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北京市朝阳区南郎家园18号楼19层2113房地产市场价值预评估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受贵公司委托，我公司对北京市朝阳区南郎家园18号楼19层2113房地产市场价值进行了预评估。</v>
      </c>
    </row>
    <row r="7" spans="1:2" s="1203" customFormat="1">
      <c r="A7" s="1201" t="s">
        <v>566</v>
      </c>
      <c r="B7" s="1202" t="str">
        <f>'预评函-1'!A7</f>
        <v>估价对象为北京市朝阳区南郎家园18号楼19层2113房地产，为所有。根据《国有土地使用证》[]，估价对象（分摊）出让国有建设用地使用权面积为0平方米，建筑面积为76.93平方米。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南郎家园18号楼19层2113房地产,属开发建设的，该项目尚在开发建设中。根据《国有土地使用证》[]，估价对象（分摊）出让国有建设用地使用权面积为0平方米，规划建筑面积为76.93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2023年6月19日</v>
      </c>
    </row>
    <row r="13" spans="1:2" s="1203" customFormat="1">
      <c r="A13" s="1201" t="s">
        <v>529</v>
      </c>
      <c r="B13" s="1202" t="str">
        <f>'预评函-1'!A18</f>
        <v>本次估价的“房地产价值”是指在正常市场情况下，在价值时点2023年6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北京市朝阳区南郎家园18号楼19层2113房地产</v>
      </c>
    </row>
    <row r="42" spans="1:2" s="1203" customFormat="1">
      <c r="A42" s="1201" t="s">
        <v>590</v>
      </c>
      <c r="B42" s="1202" t="str">
        <f>'预评函-3'!B2</f>
        <v>建筑面积</v>
      </c>
    </row>
    <row r="43" spans="1:2" s="1203" customFormat="1">
      <c r="A43" s="1201" t="s">
        <v>591</v>
      </c>
      <c r="B43" s="1202">
        <f>'预评函-3'!B4</f>
        <v>76.930000000000007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南郎家园18号楼19层2113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23" t="s">
        <v>2583</v>
      </c>
      <c r="J2" s="3523"/>
      <c r="K2" s="3523"/>
      <c r="L2" s="3523"/>
      <c r="M2" s="3523"/>
      <c r="N2" s="3523"/>
      <c r="O2" s="3523"/>
      <c r="P2" s="3523"/>
      <c r="Q2" s="3523"/>
      <c r="R2" s="3523"/>
    </row>
    <row r="3" spans="1:18">
      <c r="A3" s="3019" t="s">
        <v>2504</v>
      </c>
      <c r="B3" s="3020">
        <f>项目基本情况!D3</f>
        <v>45096</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v>
      </c>
      <c r="D5" s="3024">
        <f>IF(ISERROR(ROUND(POWER(1+E5,A5-C5)*(POWER(1+E5,C5)-1)/(POWER(1+E5,A5)-1),3)),0,ROUND(POWER(1+E5,A5-C5)*(POWER(1+E5,C5)-1)/(POWER(1+E5,A5)-1),4))</f>
        <v>0.16200000000000001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13.51</v>
      </c>
      <c r="D6" s="3024">
        <f>IF(ISERROR(ROUND(POWER(1+E6,A6-C6)*(POWER(1+E6,C6)-1)/(POWER(1+E6,A6)-1),3)),0,ROUND(POWER(1+E6,A6-C6)*(POWER(1+E6,C6)-1)/(POWER(1+E6,A6)-1),4))</f>
        <v>0.47870000000000001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33.520000000000003</v>
      </c>
      <c r="D7" s="3024">
        <f>IF(ISERROR(ROUND(POWER(1+E7,A7-C7)*(POWER(1+E7,C7)-1)/(POWER(1+E7,A7)-1),3)),0,ROUND(POWER(1+E7,A7-C7)*(POWER(1+E7,C7)-1)/(POWER(1+E7,A7)-1),4))</f>
        <v>0.78159999999999996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F5" sqref="F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4" t="str">
        <f>IF(B10="北京市","北京市",C10)&amp;F10&amp;IF(结果表!G1="在建","出让国有建设用地使用权及在建建筑物",IF(结果表!G1="土地","出让国有建设用地使用权",))&amp;B9&amp;"预评估"</f>
        <v>北京市朝阳区南郎家园18号楼19层2113房地产市场价值预评估</v>
      </c>
      <c r="C1" s="3525"/>
      <c r="D1" s="3525"/>
      <c r="E1" s="3525"/>
      <c r="F1" s="3525"/>
      <c r="G1" s="3525"/>
      <c r="H1" s="3525"/>
      <c r="I1" s="352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北京市朝阳区南郎家园18号楼19层2113房地产市场价值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北京市朝阳区南郎家园18号楼19层2113房地产</v>
      </c>
      <c r="T2" s="1745"/>
      <c r="U2" s="1745"/>
      <c r="V2" s="1745"/>
      <c r="W2" s="1745"/>
      <c r="X2" s="1745"/>
      <c r="Y2" s="1745"/>
      <c r="Z2" s="1745"/>
      <c r="AA2" s="1745"/>
      <c r="AB2" s="1745"/>
    </row>
    <row r="3" spans="1:30">
      <c r="A3" s="302" t="s">
        <v>2170</v>
      </c>
      <c r="B3" s="2373"/>
      <c r="C3" s="2374" t="s">
        <v>2171</v>
      </c>
      <c r="D3" s="2373">
        <v>45096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3389</v>
      </c>
      <c r="C8" s="2390"/>
      <c r="D8" s="3527" t="s">
        <v>2177</v>
      </c>
      <c r="E8" s="2391"/>
      <c r="F8" s="2392"/>
      <c r="G8" s="2663"/>
      <c r="H8" s="2663"/>
      <c r="I8" s="2663"/>
      <c r="J8" s="2439"/>
      <c r="K8" s="2614"/>
      <c r="L8" s="2613"/>
      <c r="M8" s="2613"/>
      <c r="N8" s="2439"/>
      <c r="O8" s="2450"/>
      <c r="P8" s="2439"/>
      <c r="Q8" s="2439"/>
      <c r="R8" s="2439"/>
    </row>
    <row r="9" spans="1:30" ht="13.5" thickBot="1">
      <c r="A9" s="2393" t="s">
        <v>2178</v>
      </c>
      <c r="B9" s="2394" t="s">
        <v>3390</v>
      </c>
      <c r="C9" s="2395"/>
      <c r="D9" s="3528"/>
      <c r="E9" s="2394"/>
      <c r="F9" s="2396"/>
      <c r="G9" s="2665"/>
      <c r="H9" s="2665"/>
      <c r="I9" s="2665"/>
      <c r="J9" s="2439"/>
      <c r="K9" s="2616"/>
      <c r="L9" s="2613"/>
      <c r="M9" s="2613"/>
      <c r="N9" s="2439"/>
      <c r="O9" s="2450"/>
      <c r="P9" s="2439"/>
      <c r="Q9" s="2439"/>
      <c r="R9" s="2439"/>
    </row>
    <row r="10" spans="1:30" ht="13.5" thickTop="1">
      <c r="A10" s="2397" t="s">
        <v>2179</v>
      </c>
      <c r="B10" s="2398" t="s">
        <v>3391</v>
      </c>
      <c r="C10" s="2399"/>
      <c r="D10" s="2382"/>
      <c r="E10" s="2400" t="s">
        <v>2180</v>
      </c>
      <c r="F10" s="3451" t="s">
        <v>3393</v>
      </c>
      <c r="G10" s="2666"/>
      <c r="H10" s="2667"/>
      <c r="I10" s="2668"/>
      <c r="J10" s="2439"/>
      <c r="K10" s="2616"/>
      <c r="L10" s="2613"/>
      <c r="M10" s="2613"/>
      <c r="N10" s="2439"/>
      <c r="O10" s="2450"/>
      <c r="P10" s="2439"/>
      <c r="Q10" s="2439"/>
      <c r="R10" s="2439"/>
    </row>
    <row r="11" spans="1:30">
      <c r="A11" s="2401" t="s">
        <v>2181</v>
      </c>
      <c r="B11" s="2402" t="s">
        <v>3392</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2579</v>
      </c>
      <c r="J12" s="3061"/>
      <c r="K12" s="2613"/>
      <c r="L12" s="2613"/>
      <c r="M12" s="2439"/>
      <c r="N12" s="2450"/>
      <c r="O12" s="2439"/>
      <c r="P12" s="2439"/>
      <c r="Q12" s="2439"/>
      <c r="AD12" s="1745"/>
    </row>
    <row r="13" spans="1:30">
      <c r="A13" s="3422" t="s">
        <v>3337</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34"/>
      <c r="C16" s="3535"/>
      <c r="D16" s="3536"/>
      <c r="E16" s="2413" t="s">
        <v>2194</v>
      </c>
      <c r="F16" s="3537"/>
      <c r="G16" s="3538"/>
      <c r="H16" s="3538"/>
      <c r="I16" s="3539"/>
      <c r="J16" s="2439"/>
      <c r="K16" s="2617"/>
      <c r="L16" s="2451"/>
      <c r="M16" s="2451"/>
      <c r="N16" s="2509"/>
      <c r="O16" s="2451"/>
      <c r="P16" s="2509"/>
      <c r="Q16" s="2439"/>
      <c r="R16" s="2439"/>
    </row>
    <row r="17" spans="1:28">
      <c r="A17" s="313" t="s">
        <v>2195</v>
      </c>
      <c r="B17" s="302" t="s">
        <v>2196</v>
      </c>
      <c r="C17" s="8">
        <f>'数据-汇总表'!E3</f>
        <v>76.930000000000007</v>
      </c>
      <c r="D17" s="2322" t="s">
        <v>2197</v>
      </c>
      <c r="E17" s="3540" t="s">
        <v>2198</v>
      </c>
      <c r="F17" s="3541"/>
      <c r="G17" s="3541"/>
      <c r="H17" s="3541"/>
      <c r="I17" s="354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3" t="s">
        <v>2202</v>
      </c>
      <c r="F18" s="3544"/>
      <c r="G18" s="3544"/>
      <c r="H18" s="3544"/>
      <c r="I18" s="354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0" t="s">
        <v>2206</v>
      </c>
      <c r="C20" s="3531"/>
      <c r="D20" s="3532" t="s">
        <v>2207</v>
      </c>
      <c r="E20" s="3533"/>
      <c r="F20" s="2647" t="s">
        <v>1056</v>
      </c>
      <c r="G20" s="2664"/>
      <c r="H20" s="2664"/>
      <c r="I20" s="2664"/>
      <c r="J20" s="2439"/>
      <c r="K20" s="352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8"/>
      <c r="B30" s="302" t="s">
        <v>2218</v>
      </c>
      <c r="C30" s="3549"/>
      <c r="D30" s="3550"/>
      <c r="E30" s="2664"/>
      <c r="F30" s="2664"/>
      <c r="G30" s="2664"/>
      <c r="H30" s="2664"/>
      <c r="I30" s="2664"/>
      <c r="J30" s="2439"/>
      <c r="K30" s="2616"/>
      <c r="L30" s="2613"/>
      <c r="M30" s="2613"/>
      <c r="N30" s="2439"/>
      <c r="O30" s="2450"/>
      <c r="P30" s="2439"/>
      <c r="Q30" s="2439"/>
      <c r="R30" s="2439"/>
      <c r="S30" s="2439"/>
      <c r="T30" s="2439"/>
      <c r="U30" s="2439"/>
      <c r="V30" s="2439"/>
    </row>
    <row r="31" spans="1:28">
      <c r="A31" s="355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6" t="s">
        <v>2228</v>
      </c>
      <c r="T34" s="2428" t="str">
        <f>NUMBERSTRING(7-K34,1)&amp;"通"</f>
        <v>七通</v>
      </c>
      <c r="U34" s="2439"/>
      <c r="V34" s="2439"/>
    </row>
    <row r="35" spans="1:30">
      <c r="A35" s="2429"/>
      <c r="B35" s="3553" t="s">
        <v>2229</v>
      </c>
      <c r="C35" s="3553"/>
      <c r="D35" s="3553"/>
      <c r="E35" s="355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7" sqref="F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76.930000000000007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76.930000000000007</v>
      </c>
      <c r="H5" s="13">
        <f t="shared" ref="H5:AT5" si="0">SUM(H13:H656)</f>
        <v>76.930000000000007</v>
      </c>
      <c r="I5" s="13">
        <f t="shared" si="0"/>
        <v>76.930000000000007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76.930000000000007</v>
      </c>
      <c r="BA5" s="15">
        <f t="shared" si="1"/>
        <v>76.930000000000007</v>
      </c>
      <c r="BB5" s="15">
        <f t="shared" si="1"/>
        <v>76.930000000000007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3395</v>
      </c>
      <c r="E13" s="13">
        <f>IF($C$3="是",ROUND($A$3*G13/$B$3,2),ROUND($A$3*(G13-AT13)/$B$3,2))</f>
        <v>0</v>
      </c>
      <c r="F13" s="29"/>
      <c r="G13" s="30">
        <f>H13+AC13+AT13</f>
        <v>76.930000000000007</v>
      </c>
      <c r="H13" s="17">
        <f>SUMIF(I$12:AB$12,"总值",I13:AB13)</f>
        <v>76.930000000000007</v>
      </c>
      <c r="I13" s="1626">
        <v>76.930000000000007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76.930000000000007</v>
      </c>
      <c r="BA13" s="13">
        <f>SUM(BB13:BK13)</f>
        <v>76.930000000000007</v>
      </c>
      <c r="BB13" s="13">
        <f>IF($D13="是",I13-J13,0)</f>
        <v>76.930000000000007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3" t="s">
        <v>1131</v>
      </c>
      <c r="B2" s="3563"/>
      <c r="C2" s="3563"/>
      <c r="D2" s="796" t="s">
        <v>1107</v>
      </c>
      <c r="E2" s="1639" t="s">
        <v>1108</v>
      </c>
      <c r="F2" s="2659"/>
      <c r="G2" s="2650"/>
      <c r="H2" s="2651"/>
      <c r="I2" s="2325" t="s">
        <v>1132</v>
      </c>
      <c r="J2" s="2659"/>
      <c r="K2" s="2659"/>
      <c r="L2" s="2659"/>
      <c r="M2" s="2659"/>
      <c r="N2" s="2661"/>
      <c r="O2" s="2659"/>
      <c r="P2" s="2659"/>
    </row>
    <row r="3" spans="1:16" ht="15.75" thickBot="1">
      <c r="A3" s="3564" t="s">
        <v>1105</v>
      </c>
      <c r="B3" s="3564"/>
      <c r="C3" s="3564"/>
      <c r="D3" s="43">
        <f>'数据-基础表'!AY6</f>
        <v>0</v>
      </c>
      <c r="E3" s="43">
        <f>'数据-基础表'!AZ5</f>
        <v>76.930000000000007</v>
      </c>
      <c r="F3" s="2659"/>
      <c r="G3" s="1145"/>
      <c r="H3" s="1026" t="s">
        <v>1106</v>
      </c>
      <c r="I3" s="855" t="e">
        <f>ROUND('数据-基础表'!B3/'数据-基础表'!A3,2)</f>
        <v>#DIV/0!</v>
      </c>
      <c r="J3" s="2659"/>
      <c r="K3" s="2659"/>
      <c r="L3" s="2659"/>
      <c r="M3" s="2659"/>
      <c r="N3" s="2661"/>
      <c r="O3" s="2659"/>
      <c r="P3" s="2659"/>
    </row>
    <row r="4" spans="1:16" ht="15">
      <c r="A4" s="3565"/>
      <c r="B4" s="3566"/>
      <c r="C4" s="356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8" t="s">
        <v>1110</v>
      </c>
      <c r="C5" s="3568"/>
      <c r="D5" s="45">
        <f>ROUND($D$3*E5/$E$3,2)</f>
        <v>0</v>
      </c>
      <c r="E5" s="46">
        <f>SUMIF('数据-基础表'!$11:$11,"住宅",'数据-基础表'!$5:$5)</f>
        <v>76.930000000000007</v>
      </c>
      <c r="F5" s="2659"/>
      <c r="G5" s="1145"/>
      <c r="H5" s="1026" t="s">
        <v>1106</v>
      </c>
      <c r="I5" s="855" t="e">
        <f>ROUND(E31/D31,2)</f>
        <v>#DIV/0!</v>
      </c>
      <c r="J5" s="2659"/>
      <c r="K5" s="2659"/>
      <c r="L5" s="2659"/>
      <c r="M5" s="2659"/>
      <c r="N5" s="2659"/>
      <c r="O5" s="2659"/>
      <c r="P5" s="2659"/>
    </row>
    <row r="6" spans="1:16" ht="15" thickBot="1">
      <c r="A6" s="1644"/>
      <c r="B6" s="3568" t="s">
        <v>1111</v>
      </c>
      <c r="C6" s="3568"/>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60"/>
      <c r="B7" s="3561"/>
      <c r="C7" s="356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76.930000000000007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76.930000000000007</v>
      </c>
      <c r="F16" s="2659"/>
      <c r="G16" s="2660"/>
      <c r="H16" s="1648" t="s">
        <v>1135</v>
      </c>
      <c r="I16" s="1649"/>
      <c r="J16" s="1139"/>
      <c r="K16" s="3557" t="s">
        <v>1135</v>
      </c>
      <c r="L16" s="3558"/>
      <c r="M16" s="3558"/>
      <c r="N16" s="3558"/>
      <c r="O16" s="3558"/>
      <c r="P16" s="3559"/>
    </row>
    <row r="17" spans="1:19" ht="15">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3396</v>
      </c>
      <c r="D19" s="45">
        <f>ROUND($D$3*E19/$E$3,2)</f>
        <v>0</v>
      </c>
      <c r="E19" s="53">
        <f t="shared" ref="E19:E26" si="1">SUM(F19:G19)</f>
        <v>76.930000000000007</v>
      </c>
      <c r="F19" s="2794">
        <f>'数据-基础表'!I13</f>
        <v>76.930000000000007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76.930000000000007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76.930000000000007</v>
      </c>
      <c r="F27" s="1140">
        <f>IF(SUM(F19:F26)=E8,SUM(F19:F26),"地上面积有误")</f>
        <v>76.930000000000007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76.930000000000007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76.930000000000007</v>
      </c>
      <c r="F31" s="677">
        <f>F27+F30</f>
        <v>76.930000000000007</v>
      </c>
      <c r="G31" s="678">
        <f>G27+G30</f>
        <v>0</v>
      </c>
      <c r="H31" s="2659"/>
      <c r="I31" s="2659"/>
      <c r="J31" s="2659"/>
      <c r="K31" s="2659"/>
      <c r="L31" s="2659"/>
      <c r="M31" s="2659"/>
      <c r="N31" s="2659"/>
      <c r="O31" s="2659"/>
      <c r="P31" s="2659"/>
    </row>
    <row r="32" spans="1:19">
      <c r="A32" s="1643"/>
      <c r="B32" s="1643" t="s">
        <v>1159</v>
      </c>
      <c r="C32" s="1643"/>
      <c r="D32" s="1643"/>
      <c r="E32" s="1053">
        <f>SUMIF(C19:C26,"*住宅*",E19:E26)</f>
        <v>76.930000000000007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45096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4.4999999999999998E-2</v>
      </c>
      <c r="J6" s="66">
        <v>0.06</v>
      </c>
      <c r="K6" s="1030">
        <f>SUMIF('数据-汇总表'!C$19:C$33,A6,'数据-汇总表'!E$19:E$33)</f>
        <v>76.930000000000007</v>
      </c>
      <c r="L6" s="733">
        <v>4500</v>
      </c>
      <c r="M6" s="67">
        <f t="shared" ref="M6:M14" si="0">ROUND(K6*L6/10000,0)</f>
        <v>35</v>
      </c>
      <c r="N6" s="731">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4</v>
      </c>
      <c r="V6" s="70">
        <v>2.5000000000000001E-2</v>
      </c>
      <c r="W6" s="70">
        <v>0.1</v>
      </c>
      <c r="X6" s="1040"/>
      <c r="Y6" s="71">
        <f>N6</f>
        <v>0.7</v>
      </c>
      <c r="Z6" s="72"/>
      <c r="AA6" s="66"/>
      <c r="AB6" s="66"/>
      <c r="AC6" s="1040"/>
      <c r="AD6" s="73"/>
      <c r="AE6" s="1041">
        <f ca="1">IF(AN6="",0,SUMIF(INDIRECT("'"&amp;AN6&amp;"'"&amp;"!E:E"),$AE$5,INDIRECT("'"&amp;AN6&amp;"'"&amp;"!F:F")))</f>
        <v>40</v>
      </c>
      <c r="AF6" s="1348"/>
      <c r="AG6" s="138">
        <f>IF(AF6="",0,AE6-AF6)</f>
        <v>0</v>
      </c>
      <c r="AH6" s="74">
        <f>'数据-汇总表'!F19</f>
        <v>76.930000000000007</v>
      </c>
      <c r="AI6" s="76">
        <v>365</v>
      </c>
      <c r="AJ6" s="77"/>
      <c r="AK6" s="78">
        <v>0.01</v>
      </c>
      <c r="AL6" s="79">
        <v>1.5E-3</v>
      </c>
      <c r="AM6" s="80">
        <v>0.01</v>
      </c>
      <c r="AN6" s="1715" t="s">
        <v>3398</v>
      </c>
      <c r="AO6" s="52">
        <f ca="1">SUMIF(INDIRECT("'"&amp;AN6&amp;"'"&amp;"!A:A"),"总价",INDIRECT("'"&amp;AN6&amp;"'"&amp;"!B:B"))</f>
        <v>245.63499999999999</v>
      </c>
      <c r="AP6" s="1716">
        <f>IF(C6="住宅",K6*L6,0)</f>
        <v>346185.00000000006</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76.930000000000007</v>
      </c>
      <c r="L16" s="93">
        <f>ROUND(M16*10000/SUM(K6:K14),0)</f>
        <v>4550</v>
      </c>
      <c r="M16" s="93">
        <f>SUM(M6:M14)</f>
        <v>35</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ROUND(1-(2023-'收益法 (元)'!J49)/60,2)</f>
        <v>0.67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3399</v>
      </c>
      <c r="B40" s="1078">
        <f ca="1">IF(A40="利息：取LPR",存贷款利率!G1,存贷款利率!G1+C40)</f>
        <v>4.7500000000000001E-2</v>
      </c>
      <c r="C40" s="2813">
        <v>1.0999999999999999E-2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9" t="s">
        <v>2286</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76.930000000000007</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45096</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444</v>
      </c>
      <c r="C5" s="2512">
        <f ca="1">IF(B5=D14,结果表!H102,ROUND(B5*10000/$B$1,0))</f>
        <v>0</v>
      </c>
      <c r="D5" s="2512" t="e">
        <f ca="1">ROUND(B5*10000/$B$2,0)</f>
        <v>#DIV/0!</v>
      </c>
      <c r="E5" s="2685"/>
      <c r="F5" s="2686"/>
      <c r="G5" s="2686"/>
      <c r="H5" s="2687"/>
      <c r="I5" s="2687"/>
      <c r="J5" s="2687"/>
      <c r="K5" s="2687"/>
    </row>
    <row r="6" spans="1:11" ht="16.5">
      <c r="A6" s="2512" t="s">
        <v>656</v>
      </c>
      <c r="B6" s="2512">
        <f>SUM(G14:G23)</f>
        <v>0</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3361</v>
      </c>
      <c r="D10" s="2512" t="s">
        <v>3362</v>
      </c>
      <c r="E10" s="3440"/>
      <c r="F10" s="3444" t="s">
        <v>3363</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'数据-基础表'!B3</f>
        <v>76.930000000000007</v>
      </c>
      <c r="C14" s="2518"/>
      <c r="D14" s="2518">
        <f ca="1">结果表!G19</f>
        <v>444</v>
      </c>
      <c r="E14" s="2518">
        <f ca="1">ROUND(D14*10000/B14,0)</f>
        <v>57715</v>
      </c>
      <c r="F14" s="2518" t="e">
        <f ca="1">ROUND(D14*10000/C14,0)</f>
        <v>#DIV/0!</v>
      </c>
      <c r="G14" s="2518"/>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SheetLayoutView="80" zoomScalePageLayoutView="80" workbookViewId="0">
      <selection activeCell="I1" sqref="I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3385</v>
      </c>
      <c r="D1" s="1747"/>
      <c r="E1" s="1747"/>
      <c r="F1" s="1749" t="s">
        <v>1263</v>
      </c>
      <c r="G1" s="1561" t="s">
        <v>3461</v>
      </c>
      <c r="H1" s="1750" t="str">
        <f>IF(G1="现房","——","估价对象范围")</f>
        <v>——</v>
      </c>
      <c r="I1" s="1751"/>
    </row>
    <row r="2" spans="1:12" ht="21.75" customHeight="1" thickBot="1">
      <c r="A2" s="3638" t="str">
        <f>项目基本情况!S2</f>
        <v>北京市朝阳区南郎家园18号楼19层2113房地产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54" t="s">
        <v>1265</v>
      </c>
      <c r="B4" s="1755" t="s">
        <v>1266</v>
      </c>
      <c r="C4" s="1756" t="s">
        <v>3404</v>
      </c>
      <c r="D4" s="1756" t="s">
        <v>3398</v>
      </c>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1268</v>
      </c>
      <c r="B5" s="3641">
        <v>25</v>
      </c>
      <c r="C5" s="3644">
        <v>8</v>
      </c>
      <c r="D5" s="3632">
        <v>2</v>
      </c>
      <c r="E5" s="131" t="s">
        <v>1269</v>
      </c>
      <c r="F5" s="1757"/>
      <c r="G5" s="1757"/>
      <c r="H5" s="1757"/>
      <c r="I5" s="1373"/>
    </row>
    <row r="6" spans="1:12" ht="12.75">
      <c r="A6" s="3586"/>
      <c r="B6" s="3641"/>
      <c r="C6" s="3646"/>
      <c r="D6" s="3632"/>
      <c r="E6" s="131" t="s">
        <v>1270</v>
      </c>
      <c r="F6" s="1757"/>
      <c r="G6" s="1757"/>
      <c r="H6" s="1757"/>
      <c r="I6" s="1373"/>
    </row>
    <row r="7" spans="1:12" ht="12.75">
      <c r="A7" s="3586"/>
      <c r="B7" s="3641"/>
      <c r="C7" s="3645"/>
      <c r="D7" s="3632"/>
      <c r="E7" s="131" t="s">
        <v>1271</v>
      </c>
      <c r="F7" s="1757"/>
      <c r="G7" s="1757"/>
      <c r="H7" s="1757"/>
      <c r="I7" s="1373"/>
    </row>
    <row r="8" spans="1:12" ht="12.75">
      <c r="A8" s="3586" t="s">
        <v>1272</v>
      </c>
      <c r="B8" s="3641">
        <v>15</v>
      </c>
      <c r="C8" s="3644"/>
      <c r="D8" s="3632"/>
      <c r="E8" s="131" t="s">
        <v>1273</v>
      </c>
      <c r="F8" s="1757"/>
      <c r="G8" s="1757"/>
      <c r="H8" s="1757"/>
      <c r="I8" s="1373"/>
    </row>
    <row r="9" spans="1:12" ht="12.75">
      <c r="A9" s="3586"/>
      <c r="B9" s="3641"/>
      <c r="C9" s="3645"/>
      <c r="D9" s="3632"/>
      <c r="E9" s="131" t="s">
        <v>1274</v>
      </c>
      <c r="F9" s="1757"/>
      <c r="G9" s="1757"/>
      <c r="H9" s="1757"/>
      <c r="I9" s="1373"/>
    </row>
    <row r="10" spans="1:12" ht="12.75">
      <c r="A10" s="3586" t="s">
        <v>1275</v>
      </c>
      <c r="B10" s="3641">
        <v>15</v>
      </c>
      <c r="C10" s="3644"/>
      <c r="D10" s="3632"/>
      <c r="E10" s="131" t="s">
        <v>1276</v>
      </c>
      <c r="F10" s="1757"/>
      <c r="G10" s="1757"/>
      <c r="H10" s="1757"/>
      <c r="I10" s="1373"/>
    </row>
    <row r="11" spans="1:12" ht="12.75">
      <c r="A11" s="3586"/>
      <c r="B11" s="3641"/>
      <c r="C11" s="3645"/>
      <c r="D11" s="3632"/>
      <c r="E11" s="131" t="s">
        <v>1277</v>
      </c>
      <c r="F11" s="1757"/>
      <c r="G11" s="1757"/>
      <c r="H11" s="1757"/>
      <c r="I11" s="1373"/>
    </row>
    <row r="12" spans="1:12" ht="12.75">
      <c r="A12" s="3586" t="s">
        <v>1278</v>
      </c>
      <c r="B12" s="3641">
        <v>15</v>
      </c>
      <c r="C12" s="3644"/>
      <c r="D12" s="3632"/>
      <c r="E12" s="131" t="s">
        <v>1279</v>
      </c>
      <c r="F12" s="1757"/>
      <c r="G12" s="1757"/>
      <c r="H12" s="1757"/>
      <c r="I12" s="1373"/>
    </row>
    <row r="13" spans="1:12" ht="12.75">
      <c r="A13" s="3586"/>
      <c r="B13" s="3641"/>
      <c r="C13" s="3645"/>
      <c r="D13" s="3632"/>
      <c r="E13" s="131" t="s">
        <v>1280</v>
      </c>
      <c r="F13" s="1757"/>
      <c r="G13" s="1757"/>
      <c r="H13" s="1757"/>
      <c r="I13" s="1373"/>
    </row>
    <row r="14" spans="1:12" ht="12.75">
      <c r="A14" s="3586" t="s">
        <v>1281</v>
      </c>
      <c r="B14" s="3641">
        <v>30</v>
      </c>
      <c r="C14" s="3644"/>
      <c r="D14" s="3632"/>
      <c r="E14" s="131" t="s">
        <v>1282</v>
      </c>
      <c r="F14" s="1757"/>
      <c r="G14" s="1757"/>
      <c r="H14" s="1757"/>
      <c r="I14" s="1373"/>
    </row>
    <row r="15" spans="1:12" ht="12.75">
      <c r="A15" s="3586"/>
      <c r="B15" s="3641"/>
      <c r="C15" s="3646"/>
      <c r="D15" s="3632"/>
      <c r="E15" s="131" t="s">
        <v>1283</v>
      </c>
      <c r="F15" s="1757"/>
      <c r="G15" s="1757"/>
      <c r="H15" s="1757"/>
      <c r="I15" s="1373"/>
    </row>
    <row r="16" spans="1:12" ht="12.75">
      <c r="A16" s="3586"/>
      <c r="B16" s="3641"/>
      <c r="C16" s="3645"/>
      <c r="D16" s="3632"/>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63" t="s">
        <v>2131</v>
      </c>
      <c r="F18" s="3664"/>
      <c r="G18" s="3664"/>
      <c r="H18" s="3664"/>
      <c r="I18" s="3664"/>
      <c r="K18" s="302" t="s">
        <v>1289</v>
      </c>
      <c r="L18" s="302">
        <f>IF(C1="",'数据-汇总表'!E3,SUMIF(项目类型,C1,'数据-汇总表'!E17:E26)+SUMIF(项目类型,C1,'数据-汇总表'!I17:I26))</f>
        <v>76.930000000000007</v>
      </c>
      <c r="M18" s="302">
        <f>IF(C1="",'数据-汇总表'!E3,SUMIF(项目类型,C1,'数据-汇总表'!E17:E26))</f>
        <v>76.930000000000007</v>
      </c>
    </row>
    <row r="19" spans="1:36" ht="15">
      <c r="A19" s="1761" t="s">
        <v>1290</v>
      </c>
      <c r="B19" s="1762" t="s">
        <v>1291</v>
      </c>
      <c r="C19" s="134">
        <f ca="1">SUMIF(INDIRECT("'"&amp;C4&amp;"'"&amp;"!A:A"),结果表!B19,INDIRECT("'"&amp;C4&amp;"'"&amp;"!B:B"))</f>
        <v>493.99059999999997</v>
      </c>
      <c r="D19" s="135">
        <f ca="1">SUMIF(INDIRECT("'"&amp;D4&amp;"'"&amp;"!A:A"),结果表!B19,INDIRECT("'"&amp;D4&amp;"'"&amp;"!B:B"))</f>
        <v>245.63499999999999</v>
      </c>
      <c r="E19" s="1761" t="s">
        <v>1292</v>
      </c>
      <c r="F19" s="1762" t="s">
        <v>1291</v>
      </c>
      <c r="G19" s="136">
        <f ca="1">ROUND(C19*$C$18+D19*$D$18,0)</f>
        <v>444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64213</v>
      </c>
      <c r="D20" s="138">
        <f ca="1">SUMIF(INDIRECT("'"&amp;D4&amp;"'"&amp;"!A:A"),结果表!B20,INDIRECT("'"&amp;D4&amp;"'"&amp;"!B:B"))</f>
        <v>31930</v>
      </c>
      <c r="E20" s="1764"/>
      <c r="F20" s="1026" t="s">
        <v>1295</v>
      </c>
      <c r="G20" s="139">
        <f ca="1">ROUND(C20*$C$18+D20*$D$18,0)</f>
        <v>57756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1.0110757831742219</v>
      </c>
      <c r="E22" s="129"/>
      <c r="F22" s="129"/>
      <c r="G22" s="129"/>
      <c r="H22" s="129"/>
      <c r="I22" s="129"/>
    </row>
    <row r="23" spans="1:36" ht="13.5" thickBot="1">
      <c r="A23" s="1747"/>
      <c r="B23" s="1747"/>
      <c r="C23" s="1747"/>
      <c r="D23" s="1747"/>
      <c r="E23" s="129"/>
      <c r="F23" s="129"/>
      <c r="G23" s="129"/>
      <c r="H23" s="129"/>
      <c r="I23" s="129"/>
    </row>
    <row r="24" spans="1:36" ht="14.25">
      <c r="A24" s="3656" t="s">
        <v>1299</v>
      </c>
      <c r="B24" s="1762" t="s">
        <v>1291</v>
      </c>
      <c r="C24" s="136">
        <f>IF(B30=0,0,D30)</f>
        <v>0</v>
      </c>
      <c r="D24" s="1769"/>
      <c r="E24" s="129"/>
      <c r="F24" s="129"/>
      <c r="G24" s="129"/>
      <c r="H24" s="129"/>
      <c r="I24" s="129"/>
    </row>
    <row r="25" spans="1:36" ht="14.25">
      <c r="A25" s="36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57756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3" t="s">
        <v>1312</v>
      </c>
      <c r="B36" s="1787" t="s">
        <v>1313</v>
      </c>
      <c r="C36" s="145"/>
      <c r="D36" s="1788"/>
      <c r="E36" s="1789"/>
      <c r="F36" s="1790"/>
      <c r="G36" s="129"/>
      <c r="H36" s="129"/>
      <c r="I36" s="129"/>
    </row>
    <row r="37" spans="1:15" ht="15.75" thickBot="1">
      <c r="A37" s="3634"/>
      <c r="B37" s="1674" t="s">
        <v>1314</v>
      </c>
      <c r="C37" s="147"/>
      <c r="D37" s="1139"/>
      <c r="E37" s="1139"/>
      <c r="F37" s="1790"/>
      <c r="G37" s="129"/>
      <c r="H37" s="129"/>
      <c r="I37" s="129"/>
    </row>
    <row r="38" spans="1:15" ht="15.75" thickBot="1">
      <c r="A38" s="363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3" t="s">
        <v>1326</v>
      </c>
      <c r="B45" s="3654"/>
      <c r="C45" s="3655"/>
      <c r="D45" s="155" t="e">
        <f ca="1">ROUND(H101*F45,0)</f>
        <v>#REF!</v>
      </c>
      <c r="E45" s="156" t="s">
        <v>1327</v>
      </c>
      <c r="F45" s="157">
        <v>1</v>
      </c>
      <c r="G45" s="158" t="s">
        <v>1328</v>
      </c>
      <c r="H45" s="129"/>
      <c r="I45" s="129"/>
      <c r="J45" s="3573" t="s">
        <v>1329</v>
      </c>
      <c r="K45" s="3573"/>
      <c r="L45" s="3573"/>
      <c r="M45" s="3573"/>
      <c r="N45" s="3573"/>
      <c r="O45" s="3573"/>
    </row>
    <row r="46" spans="1:15" ht="14.25" customHeight="1">
      <c r="A46" s="3650" t="s">
        <v>1330</v>
      </c>
      <c r="B46" s="3651"/>
      <c r="C46" s="3651"/>
      <c r="D46" s="3651"/>
      <c r="E46" s="3651"/>
      <c r="F46" s="3651"/>
      <c r="G46" s="3652"/>
      <c r="H46" s="1806"/>
      <c r="I46" s="159"/>
      <c r="J46" s="2523">
        <v>1</v>
      </c>
      <c r="K46" s="3574" t="s">
        <v>1331</v>
      </c>
      <c r="L46" s="3574"/>
      <c r="M46" s="3575"/>
      <c r="N46" s="3575"/>
      <c r="O46" s="3575"/>
    </row>
    <row r="47" spans="1:15" ht="12" customHeight="1">
      <c r="A47" s="160" t="s">
        <v>1332</v>
      </c>
      <c r="B47" s="161"/>
      <c r="C47" s="162"/>
      <c r="D47" s="1087" t="s">
        <v>1333</v>
      </c>
      <c r="E47" s="302" t="s">
        <v>1334</v>
      </c>
      <c r="F47" s="163" t="s">
        <v>1335</v>
      </c>
      <c r="G47" s="2546" t="s">
        <v>1336</v>
      </c>
      <c r="H47" s="2547"/>
      <c r="I47" s="159"/>
      <c r="J47" s="2523">
        <v>2</v>
      </c>
      <c r="K47" s="3574" t="s">
        <v>1337</v>
      </c>
      <c r="L47" s="3574"/>
      <c r="M47" s="3576">
        <f>'数据-取费表'!B2</f>
        <v>45096</v>
      </c>
      <c r="N47" s="3576"/>
      <c r="O47" s="3576"/>
    </row>
    <row r="48" spans="1:15" ht="25.5">
      <c r="A48" s="3636" t="s">
        <v>1338</v>
      </c>
      <c r="B48" s="3637"/>
      <c r="C48" s="363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4" t="s">
        <v>1340</v>
      </c>
      <c r="L48" s="3574"/>
      <c r="M48" s="3577" t="e">
        <f ca="1">H101</f>
        <v>#REF!</v>
      </c>
      <c r="N48" s="3577"/>
      <c r="O48" s="3577"/>
    </row>
    <row r="49" spans="1:35" ht="25.5" customHeight="1">
      <c r="A49" s="2333" t="s">
        <v>1341</v>
      </c>
      <c r="B49" s="3622" t="s">
        <v>1342</v>
      </c>
      <c r="C49" s="3622"/>
      <c r="D49" s="1590">
        <v>0</v>
      </c>
      <c r="E49" s="324" t="s">
        <v>1343</v>
      </c>
      <c r="F49" s="2424" t="s">
        <v>28</v>
      </c>
      <c r="G49" s="3605"/>
      <c r="H49" s="2310" t="s">
        <v>2134</v>
      </c>
      <c r="I49" s="2311"/>
      <c r="J49" s="2523">
        <v>4</v>
      </c>
      <c r="K49" s="3574" t="str">
        <f>IF(项目基本情况!E8="房地产抵押价值","房地产抵押价值","抵押担保权已注销时的房地产抵押价值")</f>
        <v>抵押担保权已注销时的房地产抵押价值</v>
      </c>
      <c r="L49" s="3574"/>
      <c r="M49" s="3577" t="str">
        <f>IF(项目基本情况!E8="房地产抵押价值",H107,H109)</f>
        <v>——</v>
      </c>
      <c r="N49" s="3577"/>
      <c r="O49" s="3577"/>
    </row>
    <row r="50" spans="1:35" ht="25.5" customHeight="1">
      <c r="A50" s="2551"/>
      <c r="B50" s="3622" t="s">
        <v>1344</v>
      </c>
      <c r="C50" s="3622"/>
      <c r="D50" s="2552"/>
      <c r="E50" s="332"/>
      <c r="F50" s="2424"/>
      <c r="G50" s="3606"/>
      <c r="H50" s="2312" t="s">
        <v>2135</v>
      </c>
      <c r="I50" s="2311"/>
      <c r="J50" s="3573" t="s">
        <v>1345</v>
      </c>
      <c r="K50" s="3573"/>
      <c r="L50" s="3573"/>
      <c r="M50" s="3573"/>
      <c r="N50" s="3573"/>
      <c r="O50" s="3573"/>
    </row>
    <row r="51" spans="1:35" ht="20.45" customHeight="1">
      <c r="A51" s="2553"/>
      <c r="B51" s="3622" t="s">
        <v>1346</v>
      </c>
      <c r="C51" s="3622"/>
      <c r="D51" s="1087"/>
      <c r="E51" s="327"/>
      <c r="F51" s="2424"/>
      <c r="G51" s="3607"/>
      <c r="H51" s="2312" t="s">
        <v>2136</v>
      </c>
      <c r="I51" s="2311"/>
      <c r="J51" s="2524" t="s">
        <v>1347</v>
      </c>
      <c r="K51" s="3574" t="s">
        <v>1348</v>
      </c>
      <c r="L51" s="3574"/>
      <c r="M51" s="2524" t="s">
        <v>1349</v>
      </c>
      <c r="N51" s="2524" t="s">
        <v>1350</v>
      </c>
      <c r="O51" s="2524" t="s">
        <v>1351</v>
      </c>
    </row>
    <row r="52" spans="1:35" ht="24" customHeight="1">
      <c r="A52" s="2335" t="s">
        <v>1352</v>
      </c>
      <c r="B52" s="3622" t="s">
        <v>1353</v>
      </c>
      <c r="C52" s="3622"/>
      <c r="D52" s="1087" t="e">
        <f ca="1">ROUND(D45*'数据-取费表'!B41/(1+'数据-取费表'!C42),0)</f>
        <v>#REF!</v>
      </c>
      <c r="E52" s="2334" t="s">
        <v>1354</v>
      </c>
      <c r="F52" s="2554">
        <f>'数据-取费表'!B41</f>
        <v>5.6000000000000001E-2</v>
      </c>
      <c r="G52" s="2555"/>
      <c r="H52" s="2544"/>
      <c r="I52" s="1807"/>
      <c r="J52" s="2523">
        <v>1</v>
      </c>
      <c r="K52" s="3599" t="s">
        <v>1355</v>
      </c>
      <c r="L52" s="3599"/>
      <c r="M52" s="2525" t="b">
        <f>D48</f>
        <v>0</v>
      </c>
      <c r="N52" s="2523" t="str">
        <f>E48</f>
        <v>销售额×税（费）率</v>
      </c>
      <c r="O52" s="2526">
        <f>F48</f>
        <v>5.6000000000000001E-2</v>
      </c>
    </row>
    <row r="53" spans="1:35" ht="12" customHeight="1">
      <c r="A53" s="2335" t="s">
        <v>1356</v>
      </c>
      <c r="B53" s="3623" t="s">
        <v>2291</v>
      </c>
      <c r="C53" s="3624"/>
      <c r="D53" s="1087" t="e">
        <f ca="1">ROUND(D45*'数据-取费表'!B41/(1+'数据-取费表'!C42),0)</f>
        <v>#REF!</v>
      </c>
      <c r="E53" s="2334" t="s">
        <v>1354</v>
      </c>
      <c r="F53" s="2554">
        <f>'数据-取费表'!B41</f>
        <v>5.6000000000000001E-2</v>
      </c>
      <c r="G53" s="2555"/>
      <c r="H53" s="2544"/>
      <c r="I53" s="1807"/>
      <c r="J53" s="2523">
        <v>2</v>
      </c>
      <c r="K53" s="3599" t="s">
        <v>1357</v>
      </c>
      <c r="L53" s="3599"/>
      <c r="M53" s="2525" t="e">
        <f t="shared" ref="M53:O54" ca="1" si="0">D55</f>
        <v>#REF!</v>
      </c>
      <c r="N53" s="2523" t="str">
        <f t="shared" si="0"/>
        <v>销售额×税（费）率</v>
      </c>
      <c r="O53" s="2526" t="str">
        <f t="shared" si="0"/>
        <v>免征</v>
      </c>
    </row>
    <row r="54" spans="1:35" ht="12" customHeight="1">
      <c r="A54" s="2335" t="s">
        <v>1358</v>
      </c>
      <c r="B54" s="3623" t="s">
        <v>2292</v>
      </c>
      <c r="C54" s="3624"/>
      <c r="D54" s="1087" t="e">
        <f ca="1">C68</f>
        <v>#REF!</v>
      </c>
      <c r="E54" s="327" t="s">
        <v>1359</v>
      </c>
      <c r="F54" s="2554">
        <f>'数据-取费表'!B41</f>
        <v>5.6000000000000001E-2</v>
      </c>
      <c r="G54" s="2555"/>
      <c r="H54" s="2556"/>
      <c r="I54" s="1807"/>
      <c r="J54" s="2523">
        <v>3</v>
      </c>
      <c r="K54" s="3599" t="s">
        <v>1360</v>
      </c>
      <c r="L54" s="3599"/>
      <c r="M54" s="2525" t="e">
        <f t="shared" ca="1" si="0"/>
        <v>#REF!</v>
      </c>
      <c r="N54" s="2523" t="str">
        <f t="shared" si="0"/>
        <v>增值额×税（费）率</v>
      </c>
      <c r="O54" s="2527" t="str">
        <f t="shared" si="0"/>
        <v>免征</v>
      </c>
    </row>
    <row r="55" spans="1:35" ht="24" customHeight="1">
      <c r="A55" s="3659" t="s">
        <v>1361</v>
      </c>
      <c r="B55" s="3637"/>
      <c r="C55" s="3637"/>
      <c r="D55" s="2324" t="e">
        <f ca="1">IF(H55="个人住宅",0,ROUND(D45*I55,0))</f>
        <v>#REF!</v>
      </c>
      <c r="E55" s="2334" t="s">
        <v>1362</v>
      </c>
      <c r="F55" s="2554" t="str">
        <f>IF(H55="正常",I55,"免征")</f>
        <v>免征</v>
      </c>
      <c r="G55" s="2555"/>
      <c r="H55" s="2550"/>
      <c r="I55" s="165">
        <f>'数据-取费表'!B49</f>
        <v>5.0000000000000001E-4</v>
      </c>
      <c r="J55" s="2523">
        <f>IF(H59="非个人房产","",4)</f>
        <v>4</v>
      </c>
      <c r="K55" s="3599" t="str">
        <f>IF(H59="非个人房产","——","个人所得税")</f>
        <v>个人所得税</v>
      </c>
      <c r="L55" s="3599"/>
      <c r="M55" s="2528" t="e">
        <f ca="1">D59</f>
        <v>#REF!</v>
      </c>
      <c r="N55" s="2040" t="str">
        <f>E59</f>
        <v>差额计税</v>
      </c>
      <c r="O55" s="2529">
        <f>F59</f>
        <v>0.01</v>
      </c>
    </row>
    <row r="56" spans="1:35" ht="24.75">
      <c r="A56" s="3659" t="s">
        <v>1363</v>
      </c>
      <c r="B56" s="3637"/>
      <c r="C56" s="3637"/>
      <c r="D56" s="2324" t="e">
        <f ca="1">IF(H56="个人住宅",D57,D58)</f>
        <v>#REF!</v>
      </c>
      <c r="E56" s="2334" t="s">
        <v>1364</v>
      </c>
      <c r="F56" s="2554" t="str">
        <f>IF(H56="正常",F58,"免征")</f>
        <v>免征</v>
      </c>
      <c r="G56" s="2557" t="s">
        <v>1365</v>
      </c>
      <c r="H56" s="2558"/>
      <c r="I56" s="1808"/>
      <c r="J56" s="2523" t="str">
        <f>IF(项目基本情况!K6="上海银行",IF(J55="",4,J55+1),"")</f>
        <v/>
      </c>
      <c r="K56" s="3580" t="str">
        <f>IF(项目基本情况!K6="上海银行","其他处置费用","")</f>
        <v/>
      </c>
      <c r="L56" s="3581"/>
      <c r="M56" s="2525" t="str">
        <f>IF(项目基本情况!K6="上海银行",M69,"")</f>
        <v/>
      </c>
      <c r="N56" s="3580" t="str">
        <f>IF(项目基本情况!K6="上海银行","包含处置中涉及的律师、诉讼、拍卖、评估等费用","")</f>
        <v/>
      </c>
      <c r="O56" s="3583"/>
    </row>
    <row r="57" spans="1:35" ht="12.75">
      <c r="A57" s="2335" t="s">
        <v>1341</v>
      </c>
      <c r="B57" s="3623" t="s">
        <v>1366</v>
      </c>
      <c r="C57" s="3624"/>
      <c r="D57" s="1590">
        <v>0</v>
      </c>
      <c r="E57" s="324" t="s">
        <v>1343</v>
      </c>
      <c r="F57" s="302"/>
      <c r="G57" s="2555"/>
      <c r="H57" s="2559"/>
      <c r="I57" s="1808"/>
      <c r="J57" s="3599">
        <f>IF(AND(J55="",J56=""),4,IF(项目基本情况!K6="上海银行",结果表!J56+1,结果表!J55+1))</f>
        <v>5</v>
      </c>
      <c r="K57" s="3599" t="s">
        <v>1367</v>
      </c>
      <c r="L57" s="2530" t="s">
        <v>1368</v>
      </c>
      <c r="M57" s="2531"/>
      <c r="N57" s="2532">
        <f ca="1">SUMIF(M52:M56,"&lt;9e307")</f>
        <v>0</v>
      </c>
      <c r="O57" s="2533"/>
      <c r="P57" s="2689" t="e">
        <f ca="1">N57/M49</f>
        <v>#VALUE!</v>
      </c>
    </row>
    <row r="58" spans="1:35" ht="24.75">
      <c r="A58" s="2335" t="s">
        <v>1352</v>
      </c>
      <c r="B58" s="3623" t="s">
        <v>1369</v>
      </c>
      <c r="C58" s="3622"/>
      <c r="D58" s="2324" t="e">
        <f ca="1">IF(H58="转让取得",C81,C97)</f>
        <v>#REF!</v>
      </c>
      <c r="E58" s="2334" t="s">
        <v>1364</v>
      </c>
      <c r="F58" s="302" t="s">
        <v>28</v>
      </c>
      <c r="G58" s="2555"/>
      <c r="H58" s="2558"/>
      <c r="I58" s="1808"/>
      <c r="J58" s="3599"/>
      <c r="K58" s="3599"/>
      <c r="L58" s="2530" t="s">
        <v>1370</v>
      </c>
      <c r="M58" s="2534"/>
      <c r="N58" s="2535" t="str">
        <f ca="1">NUMBERSTRING(INT(N57*10000),2)&amp;"元整"</f>
        <v>零元整</v>
      </c>
      <c r="O58" s="2536"/>
    </row>
    <row r="59" spans="1:35" ht="24.75" thickBot="1">
      <c r="A59" s="3603" t="s">
        <v>1371</v>
      </c>
      <c r="B59" s="3604"/>
      <c r="C59" s="360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1">
        <f>J57+1</f>
        <v>6</v>
      </c>
      <c r="K59" s="3599" t="s">
        <v>1372</v>
      </c>
      <c r="L59" s="2523" t="s">
        <v>1368</v>
      </c>
      <c r="M59" s="2537"/>
      <c r="N59" s="2538" t="e">
        <f ca="1">M49-N57</f>
        <v>#VALUE!</v>
      </c>
      <c r="O59" s="2539"/>
    </row>
    <row r="60" spans="1:35" ht="12" customHeight="1">
      <c r="A60" s="1809"/>
      <c r="B60" s="1747"/>
      <c r="C60" s="1747"/>
      <c r="D60" s="1747"/>
      <c r="E60" s="1578"/>
      <c r="F60" s="1808"/>
      <c r="G60" s="1808"/>
      <c r="H60" s="1810"/>
      <c r="I60" s="129"/>
      <c r="J60" s="3602"/>
      <c r="K60" s="3599"/>
      <c r="L60" s="2530" t="s">
        <v>1370</v>
      </c>
      <c r="M60" s="2534"/>
      <c r="N60" s="2535" t="e">
        <f ca="1">NUMBERSTRING(INT(N59*10000),2)&amp;"元整"</f>
        <v>#VALUE!</v>
      </c>
      <c r="O60" s="2536"/>
    </row>
    <row r="61" spans="1:35" ht="13.5" thickBot="1">
      <c r="A61" s="3658" t="s">
        <v>1373</v>
      </c>
      <c r="B61" s="3658"/>
      <c r="C61" s="3658"/>
      <c r="D61" s="3658"/>
      <c r="E61" s="3658"/>
      <c r="F61" s="1808"/>
      <c r="G61" s="1808"/>
      <c r="H61" s="1810"/>
      <c r="I61" s="129"/>
      <c r="J61" s="2523">
        <f>J59+1</f>
        <v>7</v>
      </c>
      <c r="K61" s="3599" t="s">
        <v>1374</v>
      </c>
      <c r="L61" s="3599"/>
      <c r="M61" s="2540"/>
      <c r="N61" s="2541" t="e">
        <f ca="1">ROUND(N59*10000/'数据-汇总表'!E3,0)</f>
        <v>#VALUE!</v>
      </c>
      <c r="O61" s="2542"/>
    </row>
    <row r="62" spans="1:35" ht="12.75">
      <c r="A62" s="3618" t="s">
        <v>1375</v>
      </c>
      <c r="B62" s="361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8" t="s">
        <v>1375</v>
      </c>
      <c r="B71" s="3619"/>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3" t="s">
        <v>1402</v>
      </c>
      <c r="F76" s="3622"/>
      <c r="G76" s="3622"/>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5" t="s">
        <v>1406</v>
      </c>
      <c r="F78" s="3616"/>
      <c r="G78" s="3616"/>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8" t="s">
        <v>1375</v>
      </c>
      <c r="B84" s="361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4" t="s">
        <v>2129</v>
      </c>
      <c r="H90" s="358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5" t="s">
        <v>1419</v>
      </c>
      <c r="F91" s="3616"/>
      <c r="G91" s="36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5" t="s">
        <v>1422</v>
      </c>
      <c r="F92" s="3616"/>
      <c r="G92" s="3616"/>
      <c r="H92" s="361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5" t="s">
        <v>1406</v>
      </c>
      <c r="F93" s="3616"/>
      <c r="G93" s="3616"/>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0" t="s">
        <v>1426</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600"/>
      <c r="E100" s="3566" t="s">
        <v>1429</v>
      </c>
      <c r="F100" s="3566"/>
      <c r="G100" s="3566"/>
      <c r="H100" s="3600"/>
      <c r="I100" s="129"/>
    </row>
    <row r="101" spans="1:35" ht="18.75" customHeight="1">
      <c r="A101" s="3608" t="s">
        <v>1430</v>
      </c>
      <c r="B101" s="3609"/>
      <c r="C101" s="2585" t="str">
        <f>C4</f>
        <v>比较法-住宅</v>
      </c>
      <c r="D101" s="2586" t="str">
        <f>D4</f>
        <v>收益法 (元)</v>
      </c>
      <c r="E101" s="3578" t="s">
        <v>1431</v>
      </c>
      <c r="F101" s="3579"/>
      <c r="G101" s="1827" t="s">
        <v>1432</v>
      </c>
      <c r="H101" s="2595" t="e">
        <f ca="1">H118</f>
        <v>#REF!</v>
      </c>
      <c r="I101" s="129"/>
    </row>
    <row r="102" spans="1:35" ht="18.75" customHeight="1">
      <c r="A102" s="3610" t="s">
        <v>1433</v>
      </c>
      <c r="B102" s="2584" t="s">
        <v>1432</v>
      </c>
      <c r="C102" s="2585">
        <f ca="1">IF(D32="楼面单价",ROUND(C19,0),C19)</f>
        <v>493.99059999999997</v>
      </c>
      <c r="D102" s="2586">
        <f ca="1">IF(D32="楼面单价",ROUND(D19,0),D19)</f>
        <v>245.63499999999999</v>
      </c>
      <c r="E102" s="3578"/>
      <c r="F102" s="3579"/>
      <c r="G102" s="1827" t="s">
        <v>1434</v>
      </c>
      <c r="H102" s="2555" t="e">
        <f ca="1">I118</f>
        <v>#REF!</v>
      </c>
      <c r="I102" s="129"/>
    </row>
    <row r="103" spans="1:35" ht="42.75" customHeight="1">
      <c r="A103" s="3610"/>
      <c r="B103" s="2584" t="s">
        <v>1434</v>
      </c>
      <c r="C103" s="2587">
        <f ca="1">C20</f>
        <v>64213</v>
      </c>
      <c r="D103" s="2588">
        <f ca="1">D20</f>
        <v>31930</v>
      </c>
      <c r="E103" s="3571" t="s">
        <v>1435</v>
      </c>
      <c r="F103" s="3572"/>
      <c r="G103" s="1828" t="s">
        <v>1436</v>
      </c>
      <c r="H103" s="2595">
        <f>IF(D36="正常操作",H104+H105+H106,H105+H106)</f>
        <v>0</v>
      </c>
      <c r="I103" s="129"/>
    </row>
    <row r="104" spans="1:35" ht="18.75" customHeight="1">
      <c r="A104" s="361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1" t="str">
        <f>IF(项目基本情况!E8="已注销","——","3.房地产抵押价值")</f>
        <v>3.房地产抵押价值</v>
      </c>
      <c r="F107" s="3579"/>
      <c r="G107" s="1827" t="s">
        <v>1432</v>
      </c>
      <c r="H107" s="2595" t="e">
        <f ca="1">IF(E107="——","——",H101-H103)</f>
        <v>#REF!</v>
      </c>
      <c r="I107" s="129"/>
    </row>
    <row r="108" spans="1:35" ht="18.75" customHeight="1">
      <c r="A108" s="129"/>
      <c r="B108" s="129"/>
      <c r="C108" s="129"/>
      <c r="D108" s="129"/>
      <c r="E108" s="3611"/>
      <c r="F108" s="3579"/>
      <c r="G108" s="1827" t="s">
        <v>1434</v>
      </c>
      <c r="H108" s="2555">
        <f ca="1">IF(H107=H101,H102,ROUND(H107*10000/'数据-汇总表'!E3,0))</f>
        <v>0</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7" t="s">
        <v>1432</v>
      </c>
      <c r="H109" s="2598" t="str">
        <f>IF(E109="——","——",H101-H105-H106)</f>
        <v>——</v>
      </c>
      <c r="I109" s="129"/>
    </row>
    <row r="110" spans="1:35" ht="18.75" customHeight="1">
      <c r="A110" s="129"/>
      <c r="B110" s="129"/>
      <c r="C110" s="129"/>
      <c r="D110" s="129"/>
      <c r="E110" s="3611"/>
      <c r="F110" s="3579"/>
      <c r="G110" s="1827" t="s">
        <v>1434</v>
      </c>
      <c r="H110" s="2555"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7" t="s">
        <v>1432</v>
      </c>
      <c r="H111" s="2595" t="str">
        <f>IF(E111="——","——",N59)</f>
        <v>——</v>
      </c>
      <c r="I111" s="129"/>
    </row>
    <row r="112" spans="1:35" ht="18.75" customHeight="1" thickBot="1">
      <c r="A112" s="129"/>
      <c r="B112" s="129"/>
      <c r="C112" s="129"/>
      <c r="D112" s="129"/>
      <c r="E112" s="3613"/>
      <c r="F112" s="3614"/>
      <c r="G112" s="1830" t="s">
        <v>1434</v>
      </c>
      <c r="H112" s="2599"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北京市朝阳区南郎家园18号楼19层2113房地产</v>
      </c>
      <c r="B118" s="2329">
        <f>M18</f>
        <v>76.930000000000007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592" t="e">
        <f ca="1">NUMBERSTRING(INT(D118*10000),2)&amp;"元整"</f>
        <v>#REF!</v>
      </c>
      <c r="E119" s="3593"/>
      <c r="F119" s="3592" t="e">
        <f ca="1">NUMBERSTRING(INT(F118*10000),2)&amp;"元整"</f>
        <v>#REF!</v>
      </c>
      <c r="G119" s="3593"/>
      <c r="H119" s="3592" t="e">
        <f ca="1">NUMBERSTRING(INT(H118*10000),2)&amp;"元整"</f>
        <v>#REF!</v>
      </c>
      <c r="I119" s="3593"/>
    </row>
    <row r="120" spans="1:27" ht="18.75" customHeight="1">
      <c r="A120" s="3587" t="str">
        <f>IF(项目基本情况!B9="房地产市场价值","",MID(E103,3,LEN(E103)-2))</f>
        <v/>
      </c>
      <c r="B120" s="3588"/>
      <c r="C120" s="3589"/>
      <c r="D120" s="3587">
        <f>H103</f>
        <v>0</v>
      </c>
      <c r="E120" s="3588"/>
      <c r="F120" s="3588"/>
      <c r="G120" s="3588"/>
      <c r="H120" s="3588"/>
      <c r="I120" s="358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2" t="s">
        <v>1452</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
      </c>
      <c r="B122" s="3598"/>
      <c r="C122" s="3598"/>
      <c r="D122" s="3587" t="e">
        <f ca="1">H107</f>
        <v>#REF!</v>
      </c>
      <c r="E122" s="3588"/>
      <c r="F122" s="3588"/>
      <c r="G122" s="3588"/>
      <c r="H122" s="3588"/>
      <c r="I122" s="3589"/>
      <c r="AA122" s="725"/>
    </row>
    <row r="123" spans="1:27" ht="18.75" customHeight="1">
      <c r="A123" s="3586" t="s">
        <v>1452</v>
      </c>
      <c r="B123" s="3586"/>
      <c r="C123" s="3586"/>
      <c r="D123" s="3592" t="e">
        <f ca="1">NUMBERSTRING(INT(D122*10000),2)&amp;"元整"</f>
        <v>#REF!</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1452</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1452</v>
      </c>
      <c r="B127" s="3586"/>
      <c r="C127" s="3586"/>
      <c r="D127" s="3592" t="e">
        <f>NUMBERSTRING(INT(D126*10000),2)&amp;"元整"</f>
        <v>#VALUE!</v>
      </c>
      <c r="E127" s="3594"/>
      <c r="F127" s="3594"/>
      <c r="G127" s="3594"/>
      <c r="H127" s="3594"/>
      <c r="I127" s="3593"/>
      <c r="AA127" s="725"/>
    </row>
    <row r="128" spans="1:27" ht="21.75" customHeight="1">
      <c r="A128" s="3595" t="s">
        <v>1453</v>
      </c>
      <c r="B128" s="3595"/>
      <c r="C128" s="3595"/>
      <c r="D128" s="3595"/>
      <c r="E128" s="3595"/>
      <c r="F128" s="3595"/>
      <c r="G128" s="3595"/>
      <c r="H128" s="3595"/>
      <c r="I128" s="359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5979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76.930000000000007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76.930000000000007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0.1</v>
      </c>
      <c r="G36" s="260" t="s">
        <v>1530</v>
      </c>
    </row>
    <row r="37" spans="1:7" s="258" customFormat="1" ht="13.5" customHeight="1">
      <c r="A37" s="780" t="s">
        <v>353</v>
      </c>
      <c r="B37" s="215" t="s">
        <v>1531</v>
      </c>
      <c r="C37" s="249">
        <f ca="1">ROUND(E37*D37*F34/10000,0)</f>
        <v>2</v>
      </c>
      <c r="D37" s="217">
        <f ca="1">D19</f>
        <v>76.930000000000007</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65" t="s">
        <v>1544</v>
      </c>
    </row>
    <row r="43" spans="1:7" ht="13.5" customHeight="1">
      <c r="A43" s="780" t="s">
        <v>347</v>
      </c>
      <c r="B43" s="215" t="s">
        <v>1545</v>
      </c>
      <c r="C43" s="238">
        <f ca="1">ROUND(IF('数据-取费表'!B22&lt;=1,C39*F22*'数据-取费表'!B21/2,C39*(POWER((1+F22),'数据-取费表'!B21/2)-1)),0)</f>
        <v>0</v>
      </c>
      <c r="D43" s="238"/>
      <c r="E43" s="238"/>
      <c r="F43" s="239"/>
      <c r="G43" s="3666"/>
    </row>
    <row r="44" spans="1:7" ht="13.5" customHeight="1">
      <c r="A44" s="780" t="s">
        <v>348</v>
      </c>
      <c r="B44" s="215" t="s">
        <v>1546</v>
      </c>
      <c r="C44" s="238">
        <f ca="1">ROUND(IF('数据-取费表'!B22&lt;=1,C40*F22*'数据-取费表'!B21/2,C40*(POWER((1+F22),'数据-取费表'!B21/2)-1)),4)</f>
        <v>1E-3</v>
      </c>
      <c r="D44" s="238"/>
      <c r="E44" s="238"/>
      <c r="F44" s="239"/>
      <c r="G44" s="3667"/>
    </row>
    <row r="45" spans="1:7" s="214" customFormat="1" ht="13.5" customHeight="1">
      <c r="A45" s="255" t="s">
        <v>1547</v>
      </c>
      <c r="B45" s="244" t="s">
        <v>1513</v>
      </c>
      <c r="C45" s="245">
        <f ca="1">C46</f>
        <v>11</v>
      </c>
      <c r="D45" s="235">
        <f ca="1">C47</f>
        <v>5.0000000000000001E-3</v>
      </c>
      <c r="E45" s="236" t="s">
        <v>1539</v>
      </c>
      <c r="F45" s="246">
        <f ca="1">F27</f>
        <v>0.25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43</v>
      </c>
      <c r="D51" s="232"/>
      <c r="E51" s="232"/>
      <c r="F51" s="264"/>
      <c r="G51" s="234" t="s">
        <v>1560</v>
      </c>
    </row>
    <row r="52" spans="1:7" s="208" customFormat="1" ht="16.5" thickBot="1">
      <c r="A52" s="265" t="s">
        <v>1561</v>
      </c>
      <c r="B52" s="266"/>
      <c r="C52" s="267">
        <f ca="1">C31+C51</f>
        <v>46</v>
      </c>
      <c r="D52" s="266"/>
      <c r="E52" s="266"/>
      <c r="F52" s="266"/>
      <c r="G52" s="268"/>
    </row>
    <row r="55" spans="1:7" ht="15">
      <c r="B55" s="270" t="s">
        <v>1562</v>
      </c>
      <c r="C55" s="271"/>
    </row>
    <row r="56" spans="1:7">
      <c r="B56" s="273" t="s">
        <v>802</v>
      </c>
      <c r="C56" s="275">
        <f ca="1">1-C57</f>
        <v>6.4999999999999947E-2</v>
      </c>
    </row>
    <row r="57" spans="1:7">
      <c r="B57" s="273" t="s">
        <v>803</v>
      </c>
      <c r="C57" s="274">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北京市朝阳区南郎家园18号楼19层2113房地产市场价值预评估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45.563000000000002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5923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12309</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12309</v>
      </c>
      <c r="D8" s="222"/>
      <c r="E8" s="220"/>
      <c r="F8" s="221"/>
      <c r="G8" s="1856"/>
    </row>
    <row r="9" spans="1:8" s="214" customFormat="1" ht="13.5" customHeight="1">
      <c r="A9" s="779" t="s">
        <v>355</v>
      </c>
      <c r="B9" s="224" t="s">
        <v>1478</v>
      </c>
      <c r="C9" s="225">
        <f ca="1">ROUND(D9*E9,0)</f>
        <v>12309</v>
      </c>
      <c r="D9" s="845">
        <f ca="1">IF(B1="",'数据-汇总表'!E5,IF(INDIRECT("'数据-取费表'!c"&amp;$G$1)="住宅",INDIRECT("'数据-取费表'!k"&amp;$G$1),0))</f>
        <v>76.930000000000007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15386</v>
      </c>
      <c r="D19" s="849">
        <f ca="1">D9+D10</f>
        <v>76.930000000000007</v>
      </c>
      <c r="E19" s="211">
        <f>'数据-取费表'!B31</f>
        <v>200</v>
      </c>
      <c r="F19" s="231"/>
      <c r="G19" s="1856"/>
    </row>
    <row r="20" spans="1:7" s="214" customFormat="1" ht="13.5" customHeight="1">
      <c r="A20" s="255" t="s">
        <v>1574</v>
      </c>
      <c r="B20" s="210" t="s">
        <v>1575</v>
      </c>
      <c r="C20" s="232">
        <f ca="1">ROUND((C5+C19)*F20,0)</f>
        <v>554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2719</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1197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1496</v>
      </c>
      <c r="D24" s="238"/>
      <c r="E24" s="238"/>
      <c r="F24" s="239"/>
      <c r="G24" s="240" t="s">
        <v>1586</v>
      </c>
    </row>
    <row r="25" spans="1:7" s="214" customFormat="1" ht="24">
      <c r="A25" s="780" t="s">
        <v>1476</v>
      </c>
      <c r="B25" s="215" t="s">
        <v>1587</v>
      </c>
      <c r="C25" s="1128">
        <f ca="1">ROUND(IF('数据-取费表'!B22&lt;=1,C20*F22*'数据-取费表'!B22/2,C20*(POWER((1+F22),'数据-取费表'!B22/2)-1)),0)</f>
        <v>26</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7062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7062</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41306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411769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346185</v>
      </c>
      <c r="D34" s="217"/>
      <c r="E34" s="220"/>
      <c r="F34" s="257"/>
      <c r="G34" s="219"/>
    </row>
    <row r="35" spans="1:7" ht="13.5" customHeight="1">
      <c r="A35" s="780" t="s">
        <v>351</v>
      </c>
      <c r="B35" s="215" t="s">
        <v>1527</v>
      </c>
      <c r="C35" s="220">
        <f ca="1">ROUND(C34*F35,0)</f>
        <v>10386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34619</v>
      </c>
      <c r="D36" s="220"/>
      <c r="E36" s="220"/>
      <c r="F36" s="259">
        <f>'数据-取费表'!B34</f>
        <v>0.1</v>
      </c>
      <c r="G36" s="260" t="s">
        <v>1530</v>
      </c>
    </row>
    <row r="37" spans="1:7" s="258" customFormat="1" ht="13.5" customHeight="1">
      <c r="A37" s="780" t="s">
        <v>353</v>
      </c>
      <c r="B37" s="215" t="s">
        <v>1531</v>
      </c>
      <c r="C37" s="249">
        <f ca="1">ROUND(E37*D37,0)</f>
        <v>15386</v>
      </c>
      <c r="D37" s="217">
        <f ca="1">D19</f>
        <v>76.930000000000007</v>
      </c>
      <c r="E37" s="249">
        <f>'数据-取费表'!B35</f>
        <v>200</v>
      </c>
      <c r="F37" s="259"/>
      <c r="G37" s="261"/>
    </row>
    <row r="38" spans="1:7" ht="13.5" customHeight="1">
      <c r="A38" s="780" t="s">
        <v>354</v>
      </c>
      <c r="B38" s="215" t="s">
        <v>1533</v>
      </c>
      <c r="C38" s="220">
        <f ca="1">ROUND(C34*F38,0)</f>
        <v>5193</v>
      </c>
      <c r="D38" s="220"/>
      <c r="E38" s="220"/>
      <c r="F38" s="259">
        <f>'数据-取费表'!B36</f>
        <v>1.4999999999999999E-2</v>
      </c>
      <c r="G38" s="219" t="s">
        <v>1528</v>
      </c>
    </row>
    <row r="39" spans="1:7" s="214" customFormat="1" ht="13.5" customHeight="1">
      <c r="A39" s="255" t="s">
        <v>1534</v>
      </c>
      <c r="B39" s="210" t="s">
        <v>1535</v>
      </c>
      <c r="C39" s="232">
        <f ca="1">ROUND(C33*F20,0)</f>
        <v>8235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19950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19559</v>
      </c>
      <c r="D42" s="238"/>
      <c r="E42" s="238"/>
      <c r="F42" s="239"/>
      <c r="G42" s="3665" t="s">
        <v>1591</v>
      </c>
    </row>
    <row r="43" spans="1:7" ht="13.5" customHeight="1">
      <c r="A43" s="780" t="s">
        <v>347</v>
      </c>
      <c r="B43" s="215" t="s">
        <v>1545</v>
      </c>
      <c r="C43" s="238">
        <f ca="1">ROUND(IF('数据-取费表'!B22&lt;=1,C39*F22*'数据-取费表'!B20/2,C39*(POWER((1+F22),'数据-取费表'!B20/2)-1)),0)</f>
        <v>391</v>
      </c>
      <c r="D43" s="238"/>
      <c r="E43" s="238"/>
      <c r="F43" s="239"/>
      <c r="G43" s="3666"/>
    </row>
    <row r="44" spans="1:7" ht="13.5" customHeight="1">
      <c r="A44" s="780" t="s">
        <v>348</v>
      </c>
      <c r="B44" s="215" t="s">
        <v>1546</v>
      </c>
      <c r="C44" s="238">
        <f ca="1">ROUND(IF('数据-取费表'!B22&lt;=1,C40*F22*'数据-取费表'!B20/2,C40*(POWER((1+F22),'数据-取费表'!B20/2)-1)),4)</f>
        <v>1E-3</v>
      </c>
      <c r="D44" s="238"/>
      <c r="E44" s="238"/>
      <c r="F44" s="239"/>
      <c r="G44" s="3667"/>
    </row>
    <row r="45" spans="1:7" s="214" customFormat="1" ht="13.5" customHeight="1">
      <c r="A45" s="255" t="s">
        <v>1547</v>
      </c>
      <c r="B45" s="244" t="s">
        <v>1513</v>
      </c>
      <c r="C45" s="245">
        <f ca="1">C46</f>
        <v>105001</v>
      </c>
      <c r="D45" s="235">
        <f ca="1">C47</f>
        <v>5.0000000000000001E-3</v>
      </c>
      <c r="E45" s="236" t="s">
        <v>1539</v>
      </c>
      <c r="F45" s="246">
        <f ca="1">F27</f>
        <v>0.25</v>
      </c>
      <c r="G45" s="247" t="s">
        <v>1548</v>
      </c>
    </row>
    <row r="46" spans="1:7" s="214" customFormat="1" ht="13.5" customHeight="1">
      <c r="A46" s="780" t="s">
        <v>346</v>
      </c>
      <c r="B46" s="248" t="s">
        <v>1549</v>
      </c>
      <c r="C46" s="249">
        <f ca="1">ROUND((C33+C39)*F27,0)</f>
        <v>105001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591892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414324</v>
      </c>
      <c r="D51" s="232"/>
      <c r="E51" s="232"/>
      <c r="F51" s="264"/>
      <c r="G51" s="234" t="s">
        <v>1560</v>
      </c>
    </row>
    <row r="52" spans="1:7" s="208" customFormat="1" ht="16.5" thickBot="1">
      <c r="A52" s="265" t="s">
        <v>1561</v>
      </c>
      <c r="B52" s="266"/>
      <c r="C52" s="267">
        <f ca="1">C31+C51</f>
        <v>455630</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-130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76.930000000000007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76.930000000000007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76.930000000000007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0</v>
      </c>
      <c r="D6" s="155" t="s">
        <v>2109</v>
      </c>
      <c r="E6" s="302" t="s">
        <v>696</v>
      </c>
      <c r="F6" s="303">
        <f ca="1">INDIRECT("'数据-取费表'!u"&amp;$G$1)</f>
        <v>0</v>
      </c>
      <c r="G6" s="1384"/>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40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245.63499999999999</v>
      </c>
      <c r="C2" s="1387" t="s">
        <v>879</v>
      </c>
      <c r="D2" s="1471">
        <f ca="1">C40+J29+L46</f>
        <v>2456350</v>
      </c>
      <c r="E2" s="1388" t="s">
        <v>880</v>
      </c>
      <c r="F2" s="1389"/>
      <c r="G2" s="2705"/>
      <c r="H2" s="2694"/>
      <c r="I2" s="2694"/>
      <c r="J2" s="2694"/>
      <c r="K2" s="2695"/>
      <c r="L2" s="2694"/>
      <c r="M2" s="2694"/>
    </row>
    <row r="3" spans="1:37" ht="18" customHeight="1" thickBot="1">
      <c r="A3" s="1390" t="s">
        <v>881</v>
      </c>
      <c r="B3" s="1391">
        <f ca="1">IF(ISERROR(D2/F43),0,ROUND(D2/F43,0))</f>
        <v>31930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101212</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101086</v>
      </c>
      <c r="D6" s="155" t="s">
        <v>2106</v>
      </c>
      <c r="E6" s="302" t="s">
        <v>696</v>
      </c>
      <c r="F6" s="303">
        <f ca="1">INDIRECT("'数据-取费表'!u"&amp;$G$1)</f>
        <v>4</v>
      </c>
      <c r="G6" s="1384"/>
      <c r="H6" s="1069" t="s">
        <v>398</v>
      </c>
      <c r="I6" s="3670" t="s">
        <v>694</v>
      </c>
      <c r="J6" s="301">
        <f ca="1">ROUND(M6*M8*M7*(1-M9),0)</f>
        <v>0</v>
      </c>
      <c r="K6" s="1376"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76.930000000000007</v>
      </c>
      <c r="G7" s="1384"/>
      <c r="H7" s="304"/>
      <c r="I7" s="3671"/>
      <c r="J7" s="306"/>
      <c r="K7" s="307"/>
      <c r="L7" s="302" t="s">
        <v>697</v>
      </c>
      <c r="M7" s="303">
        <f ca="1">F7</f>
        <v>76.930000000000007</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126</v>
      </c>
      <c r="D10" s="1366" t="s">
        <v>2116</v>
      </c>
      <c r="E10" s="313" t="s">
        <v>701</v>
      </c>
      <c r="F10" s="1116" t="s">
        <v>3400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414324</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346185</v>
      </c>
      <c r="D14" s="1345" t="s">
        <v>708</v>
      </c>
      <c r="E14" s="1342"/>
      <c r="F14" s="319"/>
      <c r="G14" s="1384"/>
      <c r="H14" s="982" t="s">
        <v>398</v>
      </c>
      <c r="I14" s="302" t="s">
        <v>709</v>
      </c>
      <c r="J14" s="21">
        <f ca="1">C29</f>
        <v>591892</v>
      </c>
      <c r="K14" s="12"/>
      <c r="L14" s="807"/>
      <c r="M14" s="808"/>
    </row>
    <row r="15" spans="1:37" s="1397" customFormat="1" ht="18" customHeight="1" thickBot="1">
      <c r="A15" s="982" t="s">
        <v>399</v>
      </c>
      <c r="B15" s="302" t="s">
        <v>710</v>
      </c>
      <c r="C15" s="21">
        <f ca="1">ROUND(C14*F15,0)</f>
        <v>10386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34619</v>
      </c>
      <c r="D16" s="302" t="s">
        <v>711</v>
      </c>
      <c r="E16" s="302" t="s">
        <v>712</v>
      </c>
      <c r="F16" s="322">
        <f ca="1">IF(INDIRECT("'数据-取费表'!c"&amp;$G$1)="住宅",'数据-取费表'!B34,0)</f>
        <v>0.1</v>
      </c>
      <c r="G16" s="1384"/>
      <c r="H16" s="1079" t="s">
        <v>393</v>
      </c>
      <c r="I16" s="1080" t="s">
        <v>714</v>
      </c>
      <c r="J16" s="310">
        <f ca="1">ROUND(J17+J22+J23+J24,0)</f>
        <v>5919</v>
      </c>
      <c r="K16" s="1087" t="s">
        <v>715</v>
      </c>
      <c r="L16" s="1088"/>
      <c r="M16" s="1072"/>
    </row>
    <row r="17" spans="1:37" s="1397" customFormat="1" ht="18" customHeight="1">
      <c r="A17" s="982" t="s">
        <v>681</v>
      </c>
      <c r="B17" s="302" t="s">
        <v>716</v>
      </c>
      <c r="C17" s="21">
        <f ca="1">ROUND(F17*(F43+INDIRECT("'数据-取费表'!S"&amp;$G$1)),0)</f>
        <v>15386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5193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411769</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8235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5919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19950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-5919</v>
      </c>
      <c r="K25" s="1095" t="s">
        <v>753</v>
      </c>
      <c r="L25" s="1096"/>
      <c r="M25" s="1097"/>
    </row>
    <row r="26" spans="1:37" ht="18" customHeight="1">
      <c r="A26" s="982" t="s">
        <v>397</v>
      </c>
      <c r="B26" s="302" t="s">
        <v>754</v>
      </c>
      <c r="C26" s="21">
        <f ca="1">ROUND((C19+C20)*F26,0)</f>
        <v>105001</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591892</v>
      </c>
      <c r="D29" s="1092"/>
      <c r="E29" s="1090"/>
      <c r="F29" s="1093"/>
      <c r="G29" s="1396"/>
      <c r="H29" s="334" t="s">
        <v>396</v>
      </c>
      <c r="I29" s="335" t="s">
        <v>768</v>
      </c>
      <c r="J29" s="336">
        <f ca="1">ROUND(J26/(1+F40)^F41,0)</f>
        <v>0</v>
      </c>
      <c r="K29" s="337" t="s">
        <v>769</v>
      </c>
      <c r="L29" s="338"/>
      <c r="M29" s="339">
        <f ca="1">INDIRECT("'数据-取费表'!k"&amp;$G$1)</f>
        <v>76.930000000000007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9959</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2407</v>
      </c>
      <c r="D31" s="1345" t="s">
        <v>720</v>
      </c>
      <c r="E31" s="1344" t="s">
        <v>770</v>
      </c>
      <c r="F31" s="2315">
        <f ca="1">IF(项目基本情况!B11="企业","——",IF(M47="住宅",IF(F6*F7*F8/12/(1+'数据-取费表'!F30)&gt;100000,4%,2.5%),IF(F6*F7*F8/12/(1+'数据-取费表'!F30)&gt;100000,12%,7%)))</f>
        <v>2.5000000000000001E-2</v>
      </c>
      <c r="G31" s="1384"/>
      <c r="H31" s="2807" t="s">
        <v>2310</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5919</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ROUND(C13*F37,0)</f>
        <v>621</v>
      </c>
      <c r="D37" s="1344" t="s">
        <v>743</v>
      </c>
      <c r="E37" s="302" t="s">
        <v>744</v>
      </c>
      <c r="F37" s="330">
        <f ca="1">INDIRECT("'数据-取费表'!Al"&amp;$G$1)</f>
        <v>1.5E-3</v>
      </c>
      <c r="G37" s="1384"/>
      <c r="H37" s="2699"/>
      <c r="I37" s="1398"/>
      <c r="J37" s="1399"/>
      <c r="K37" s="2544"/>
      <c r="L37" s="2699"/>
      <c r="M37" s="2699"/>
    </row>
    <row r="38" spans="1:18" ht="18" customHeight="1" thickBot="1">
      <c r="A38" s="1089" t="s">
        <v>684</v>
      </c>
      <c r="B38" s="1090" t="s">
        <v>728</v>
      </c>
      <c r="C38" s="1091">
        <f ca="1">ROUND(C5*F38,0)</f>
        <v>1012</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91253</v>
      </c>
      <c r="D39" s="1095" t="s">
        <v>773</v>
      </c>
      <c r="E39" s="1096"/>
      <c r="F39" s="1097"/>
      <c r="G39" s="1384"/>
      <c r="H39" s="2699"/>
      <c r="I39" s="1398"/>
      <c r="J39" s="1399"/>
      <c r="K39" s="2703"/>
      <c r="L39" s="2699"/>
      <c r="M39" s="2699"/>
    </row>
    <row r="40" spans="1:18" ht="18" customHeight="1">
      <c r="A40" s="299" t="s">
        <v>395</v>
      </c>
      <c r="B40" s="300" t="s">
        <v>774</v>
      </c>
      <c r="C40" s="301">
        <f ca="1">ROUND(C39*(1-((1+F42)/(1+F40))^F41)/(F40-F42),0)</f>
        <v>2456350</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31930</v>
      </c>
      <c r="D43" s="337" t="s">
        <v>777</v>
      </c>
      <c r="E43" s="338" t="s">
        <v>778</v>
      </c>
      <c r="F43" s="339">
        <f ca="1">INDIRECT("'数据-取费表'!k"&amp;$G$1)</f>
        <v>76.930000000000007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-257.6696</v>
      </c>
      <c r="D45" s="3431" t="s">
        <v>3358</v>
      </c>
      <c r="E45" s="1400"/>
      <c r="F45" s="1400"/>
      <c r="O45" s="1403" t="s">
        <v>808</v>
      </c>
      <c r="P45" s="1461"/>
      <c r="Q45" s="1461"/>
      <c r="R45" s="1461"/>
    </row>
    <row r="46" spans="1:18" s="1384" customFormat="1" ht="13.5" thickBot="1">
      <c r="A46" s="1404" t="s">
        <v>809</v>
      </c>
      <c r="C46" s="1405">
        <f ca="1">ROUND(C45,0)</f>
        <v>-258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0</v>
      </c>
      <c r="M47" s="1380" t="str">
        <f>IF(ISNUMBER(FIND("住宅",C1)),"住宅","非住宅")</f>
        <v>住宅</v>
      </c>
      <c r="O47" s="1418" t="s">
        <v>403</v>
      </c>
      <c r="P47" s="1419" t="s">
        <v>817</v>
      </c>
      <c r="Q47" s="1420">
        <f ca="1">C40+J29</f>
        <v>2456350</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591892</v>
      </c>
      <c r="R49" s="1420" t="s">
        <v>818</v>
      </c>
    </row>
    <row r="50" spans="1:18" s="1384" customFormat="1" ht="13.5" thickBot="1">
      <c r="A50" s="976"/>
      <c r="B50" s="979"/>
      <c r="C50" s="980"/>
      <c r="D50" s="953"/>
      <c r="E50" s="1056" t="s">
        <v>697</v>
      </c>
      <c r="F50" s="1057">
        <f ca="1">F7</f>
        <v>76.930000000000007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1139253</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v>5.5E-2</v>
      </c>
      <c r="O52" s="1428" t="s">
        <v>408</v>
      </c>
      <c r="P52" s="1419" t="s">
        <v>834</v>
      </c>
      <c r="Q52" s="1420">
        <f ca="1">J53</f>
        <v>40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40</v>
      </c>
      <c r="K53" s="3668" t="s">
        <v>837</v>
      </c>
      <c r="L53" s="3669"/>
      <c r="O53" s="1418" t="s">
        <v>409</v>
      </c>
      <c r="P53" s="1419" t="s">
        <v>838</v>
      </c>
      <c r="Q53" s="1420">
        <f ca="1">Q47+Q48</f>
        <v>2456350</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3457</v>
      </c>
      <c r="O55" s="1411" t="s">
        <v>811</v>
      </c>
      <c r="P55" s="1412" t="s">
        <v>812</v>
      </c>
      <c r="Q55" s="1413" t="s">
        <v>813</v>
      </c>
      <c r="R55" s="1413" t="s">
        <v>814</v>
      </c>
    </row>
    <row r="56" spans="1:18" s="1384" customFormat="1" ht="36" customHeight="1" thickTop="1" thickBot="1">
      <c r="A56" s="957">
        <v>2</v>
      </c>
      <c r="B56" s="958" t="s">
        <v>704</v>
      </c>
      <c r="C56" s="232">
        <f ca="1">C13</f>
        <v>414324</v>
      </c>
      <c r="D56" s="1447"/>
      <c r="E56" s="1448"/>
      <c r="F56" s="1440"/>
      <c r="I56" s="1449" t="s">
        <v>842</v>
      </c>
      <c r="J56" s="1450" t="s">
        <v>3403</v>
      </c>
      <c r="K56" s="1421" t="s">
        <v>843</v>
      </c>
      <c r="L56" s="1424" t="str">
        <f ca="1">IF(L48&lt;J51,"——",L48-J51)</f>
        <v>——</v>
      </c>
      <c r="O56" s="1418" t="s">
        <v>403</v>
      </c>
      <c r="P56" s="1419" t="s">
        <v>817</v>
      </c>
      <c r="Q56" s="1420">
        <f ca="1">C40+J29</f>
        <v>2456350</v>
      </c>
      <c r="R56" s="1420" t="s">
        <v>818</v>
      </c>
    </row>
    <row r="57" spans="1:18" s="1384" customFormat="1" ht="24.75" thickBot="1">
      <c r="A57" s="1451"/>
      <c r="B57" s="950" t="s">
        <v>767</v>
      </c>
      <c r="C57" s="238">
        <f ca="1">C29</f>
        <v>591892</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6540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2456350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5919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621</v>
      </c>
      <c r="D65" s="964" t="s">
        <v>743</v>
      </c>
      <c r="E65" s="950" t="s">
        <v>744</v>
      </c>
      <c r="F65" s="330">
        <f t="shared" ca="1" si="0"/>
        <v>1.5E-3</v>
      </c>
      <c r="I65" s="1462" t="s">
        <v>867</v>
      </c>
      <c r="J65" s="1463">
        <v>40</v>
      </c>
      <c r="K65" s="1463">
        <v>30</v>
      </c>
      <c r="L65" s="1463">
        <v>50</v>
      </c>
      <c r="M65" s="1465">
        <v>0.02</v>
      </c>
      <c r="O65" s="1418" t="s">
        <v>403</v>
      </c>
      <c r="P65" s="1419" t="s">
        <v>868</v>
      </c>
      <c r="Q65" s="1420">
        <f ca="1">C40+J29</f>
        <v>2456350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-6540</v>
      </c>
      <c r="D67" s="963" t="s">
        <v>753</v>
      </c>
      <c r="E67" s="968"/>
      <c r="F67" s="969"/>
      <c r="O67" s="1428" t="s">
        <v>405</v>
      </c>
      <c r="P67" s="1419" t="s">
        <v>850</v>
      </c>
      <c r="Q67" s="1466">
        <f ca="1">L51</f>
        <v>1139253</v>
      </c>
      <c r="R67" s="1420" t="s">
        <v>870</v>
      </c>
    </row>
    <row r="68" spans="1:18" s="1384" customFormat="1" ht="16.5" thickBot="1">
      <c r="A68" s="947" t="s">
        <v>395</v>
      </c>
      <c r="B68" s="948" t="s">
        <v>774</v>
      </c>
      <c r="C68" s="301">
        <f ca="1">ROUND(C67*(1-((1+F70)/(1+F68))^F69)/(F68-F70),0)</f>
        <v>-120346</v>
      </c>
      <c r="D68" s="965" t="s">
        <v>758</v>
      </c>
      <c r="E68" s="950" t="s">
        <v>759</v>
      </c>
      <c r="F68" s="312">
        <f ca="1">F40</f>
        <v>4.4999999999999998E-2</v>
      </c>
      <c r="O68" s="1428" t="s">
        <v>406</v>
      </c>
      <c r="P68" s="1467" t="s">
        <v>871</v>
      </c>
      <c r="Q68" s="1420">
        <f ca="1">ROUND(Q69-Q70*Q71,0)</f>
        <v>66394</v>
      </c>
      <c r="R68" s="1420" t="s">
        <v>414</v>
      </c>
    </row>
    <row r="69" spans="1:18" s="1384" customFormat="1" ht="13.5" thickBot="1">
      <c r="A69" s="951"/>
      <c r="B69" s="952"/>
      <c r="C69" s="306"/>
      <c r="D69" s="970" t="s">
        <v>762</v>
      </c>
      <c r="E69" s="950" t="s">
        <v>763</v>
      </c>
      <c r="F69" s="333">
        <f ca="1">F41</f>
        <v>40</v>
      </c>
      <c r="O69" s="1428" t="s">
        <v>411</v>
      </c>
      <c r="P69" s="1467" t="s">
        <v>872</v>
      </c>
      <c r="Q69" s="1420">
        <f ca="1">C39</f>
        <v>91253</v>
      </c>
      <c r="R69" s="1420" t="s">
        <v>818</v>
      </c>
    </row>
    <row r="70" spans="1:18" s="1384" customFormat="1" ht="13.5" thickBot="1">
      <c r="A70" s="954"/>
      <c r="B70" s="955"/>
      <c r="C70" s="310"/>
      <c r="D70" s="966"/>
      <c r="E70" s="950" t="s">
        <v>766</v>
      </c>
      <c r="F70" s="1054"/>
      <c r="O70" s="1428" t="s">
        <v>412</v>
      </c>
      <c r="P70" s="1467" t="s">
        <v>873</v>
      </c>
      <c r="Q70" s="1420">
        <f ca="1">C13</f>
        <v>414324</v>
      </c>
      <c r="R70" s="1420" t="s">
        <v>818</v>
      </c>
    </row>
    <row r="71" spans="1:18" s="1384" customFormat="1" ht="13.5" thickBot="1">
      <c r="A71" s="971" t="s">
        <v>396</v>
      </c>
      <c r="B71" s="972" t="s">
        <v>776</v>
      </c>
      <c r="C71" s="336">
        <f ca="1">ROUND(C68/F71,0)</f>
        <v>-1564</v>
      </c>
      <c r="D71" s="973" t="s">
        <v>777</v>
      </c>
      <c r="E71" s="974" t="s">
        <v>778</v>
      </c>
      <c r="F71" s="339">
        <f ca="1">F43</f>
        <v>76.930000000000007</v>
      </c>
      <c r="O71" s="1428" t="s">
        <v>413</v>
      </c>
      <c r="P71" s="1467" t="s">
        <v>874</v>
      </c>
      <c r="Q71" s="1431">
        <f ca="1">C76</f>
        <v>0.06</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24859</v>
      </c>
      <c r="D75" s="1384"/>
      <c r="E75" s="1384"/>
      <c r="F75" s="1384"/>
      <c r="K75" s="1402"/>
      <c r="L75" s="1384"/>
      <c r="O75" s="1418" t="s">
        <v>409</v>
      </c>
      <c r="P75" s="1419" t="s">
        <v>838</v>
      </c>
      <c r="Q75" s="1420">
        <f ca="1">Q65+Q66</f>
        <v>2456350</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0.72799999999999998</v>
      </c>
    </row>
    <row r="80" spans="1:18">
      <c r="B80" s="340" t="s">
        <v>800</v>
      </c>
      <c r="C80" s="274">
        <f ca="1">ROUND(C75/C39,3)</f>
        <v>0.27200000000000002</v>
      </c>
    </row>
    <row r="81" spans="2:3">
      <c r="B81" s="270" t="s">
        <v>801</v>
      </c>
      <c r="C81" s="238"/>
    </row>
    <row r="82" spans="2:3">
      <c r="B82" s="273" t="s">
        <v>802</v>
      </c>
      <c r="C82" s="275">
        <f ca="1">1-C83</f>
        <v>0.83099999999999996</v>
      </c>
    </row>
    <row r="83" spans="2:3">
      <c r="B83" s="273" t="s">
        <v>803</v>
      </c>
      <c r="C83" s="274">
        <f ca="1">ROUND(C13/C40,3)</f>
        <v>0.16900000000000001</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73" t="s">
        <v>2320</v>
      </c>
      <c r="K2" s="3674"/>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75" t="s">
        <v>2330</v>
      </c>
      <c r="K3" s="3676"/>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75" t="s">
        <v>2332</v>
      </c>
      <c r="K4" s="3676"/>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77" t="s">
        <v>2336</v>
      </c>
      <c r="B6" s="3678"/>
      <c r="C6" s="3679"/>
      <c r="D6" s="2869"/>
      <c r="E6" s="2870"/>
      <c r="F6" s="2871"/>
      <c r="G6" s="2872"/>
      <c r="H6" s="2847"/>
      <c r="I6" s="2848"/>
      <c r="J6" s="3680">
        <v>1</v>
      </c>
      <c r="K6" s="368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80"/>
      <c r="K7" s="3682"/>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84" t="s">
        <v>2350</v>
      </c>
      <c r="C8" s="3685"/>
      <c r="D8" s="2888" t="s">
        <v>2351</v>
      </c>
      <c r="E8" s="2889" t="s">
        <v>2352</v>
      </c>
      <c r="F8" s="2890" t="s">
        <v>2353</v>
      </c>
      <c r="G8" s="2891"/>
      <c r="H8" s="2847"/>
      <c r="I8" s="2848"/>
      <c r="J8" s="3680"/>
      <c r="K8" s="3682"/>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84" t="s">
        <v>2356</v>
      </c>
      <c r="C9" s="3685"/>
      <c r="D9" s="2888">
        <f>ROUND(D6*E9,0)</f>
        <v>0</v>
      </c>
      <c r="E9" s="2892"/>
      <c r="F9" s="2893" t="s">
        <v>2357</v>
      </c>
      <c r="G9" s="2872"/>
      <c r="H9" s="2847"/>
      <c r="I9" s="2848"/>
      <c r="J9" s="3680"/>
      <c r="K9" s="3682"/>
      <c r="L9" s="2882" t="s">
        <v>2358</v>
      </c>
      <c r="M9" s="2883"/>
      <c r="N9" s="2859"/>
      <c r="O9" s="2884"/>
      <c r="P9" s="2884"/>
      <c r="Q9" s="2885">
        <v>365</v>
      </c>
      <c r="R9" s="2886">
        <f t="shared" si="0"/>
        <v>0</v>
      </c>
      <c r="S9" s="2840"/>
      <c r="T9" s="2840"/>
      <c r="U9" s="2840"/>
      <c r="V9" s="2848"/>
    </row>
    <row r="10" spans="1:22" s="2852" customFormat="1" ht="13.15" customHeight="1">
      <c r="A10" s="2887">
        <v>2</v>
      </c>
      <c r="B10" s="3684" t="s">
        <v>2359</v>
      </c>
      <c r="C10" s="3685"/>
      <c r="D10" s="2888">
        <f>ROUND(D6*E10,0)</f>
        <v>0</v>
      </c>
      <c r="E10" s="2892"/>
      <c r="F10" s="2893" t="s">
        <v>2360</v>
      </c>
      <c r="G10" s="2872"/>
      <c r="H10" s="2847"/>
      <c r="I10" s="2848"/>
      <c r="J10" s="3680"/>
      <c r="K10" s="3682"/>
      <c r="L10" s="2882" t="s">
        <v>2361</v>
      </c>
      <c r="M10" s="2883"/>
      <c r="N10" s="2859"/>
      <c r="O10" s="2884"/>
      <c r="P10" s="2884"/>
      <c r="Q10" s="2885">
        <v>365</v>
      </c>
      <c r="R10" s="2886">
        <f t="shared" si="0"/>
        <v>0</v>
      </c>
      <c r="S10" s="2840"/>
      <c r="T10" s="2840"/>
      <c r="U10" s="2840"/>
      <c r="V10" s="2848"/>
    </row>
    <row r="11" spans="1:22" s="2852" customFormat="1" ht="13.15" customHeight="1">
      <c r="A11" s="2887">
        <v>3</v>
      </c>
      <c r="B11" s="3684" t="s">
        <v>2362</v>
      </c>
      <c r="C11" s="3685"/>
      <c r="D11" s="2888">
        <f>D12+D14+D15+D16</f>
        <v>0</v>
      </c>
      <c r="E11" s="2894" t="e">
        <f>D11/D6</f>
        <v>#DIV/0!</v>
      </c>
      <c r="F11" s="2890"/>
      <c r="G11" s="2891"/>
      <c r="H11" s="2847"/>
      <c r="I11" s="2848"/>
      <c r="J11" s="3680"/>
      <c r="K11" s="3682"/>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86" t="s">
        <v>2365</v>
      </c>
      <c r="C12" s="3687"/>
      <c r="D12" s="2896">
        <f>ROUND(D13*1.2%*(1-30%),0)</f>
        <v>0</v>
      </c>
      <c r="E12" s="2897">
        <v>1.2E-2</v>
      </c>
      <c r="F12" s="2890" t="s">
        <v>2366</v>
      </c>
      <c r="G12" s="2891"/>
      <c r="H12" s="2847"/>
      <c r="I12" s="2848"/>
      <c r="J12" s="3680"/>
      <c r="K12" s="3682"/>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80"/>
      <c r="K13" s="3682"/>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86" t="s">
        <v>2371</v>
      </c>
      <c r="C14" s="3687"/>
      <c r="D14" s="2896">
        <f>ROUND(E14*B5/10000,0)</f>
        <v>0</v>
      </c>
      <c r="E14" s="2885"/>
      <c r="F14" s="2890" t="s">
        <v>2372</v>
      </c>
      <c r="G14" s="2891"/>
      <c r="H14" s="2847"/>
      <c r="I14" s="2848"/>
      <c r="J14" s="3680"/>
      <c r="K14" s="368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86" t="s">
        <v>2375</v>
      </c>
      <c r="C15" s="3687"/>
      <c r="D15" s="2896">
        <f>ROUND(D6*E15,0)</f>
        <v>0</v>
      </c>
      <c r="E15" s="2897">
        <v>5.5E-2</v>
      </c>
      <c r="F15" s="2890" t="s">
        <v>2376</v>
      </c>
      <c r="G15" s="2872"/>
      <c r="H15" s="2847"/>
      <c r="I15" s="2848"/>
      <c r="J15" s="3680">
        <v>2</v>
      </c>
      <c r="K15" s="368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86" t="s">
        <v>2384</v>
      </c>
      <c r="C16" s="3687"/>
      <c r="D16" s="2907">
        <f>D6*E16</f>
        <v>0</v>
      </c>
      <c r="E16" s="2908"/>
      <c r="F16" s="2893" t="s">
        <v>2385</v>
      </c>
      <c r="G16" s="2872"/>
      <c r="H16" s="2847"/>
      <c r="I16" s="2848"/>
      <c r="J16" s="3680"/>
      <c r="K16" s="3682"/>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88" t="s">
        <v>2387</v>
      </c>
      <c r="C17" s="3689"/>
      <c r="D17" s="2910">
        <f>ROUND(D6*E17,0)</f>
        <v>0</v>
      </c>
      <c r="E17" s="2911"/>
      <c r="F17" s="2912" t="s">
        <v>2388</v>
      </c>
      <c r="G17" s="2872"/>
      <c r="H17" s="2847"/>
      <c r="I17" s="2848"/>
      <c r="J17" s="3680"/>
      <c r="K17" s="3682"/>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80"/>
      <c r="K18" s="3682"/>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80"/>
      <c r="K19" s="368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0">
        <v>3</v>
      </c>
      <c r="K20" s="368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80"/>
      <c r="K21" s="3682"/>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80"/>
      <c r="K22" s="3682"/>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80"/>
      <c r="K23" s="3682"/>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80"/>
      <c r="K24" s="368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90">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9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73" t="s">
        <v>2320</v>
      </c>
      <c r="K32" s="3674"/>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75" t="s">
        <v>2330</v>
      </c>
      <c r="K33" s="3676"/>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75" t="s">
        <v>2332</v>
      </c>
      <c r="K34" s="367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80">
        <v>1</v>
      </c>
      <c r="K36" s="3681"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80"/>
      <c r="K37" s="3682"/>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0"/>
      <c r="K38" s="3682"/>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80"/>
      <c r="K39" s="3682"/>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80"/>
      <c r="K40" s="3683"/>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0">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9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245.63499999999999</v>
      </c>
      <c r="C2" s="1872" t="s">
        <v>1651</v>
      </c>
      <c r="D2" s="1873" t="s">
        <v>1652</v>
      </c>
      <c r="E2" s="2607">
        <f>SUM(E6:E13)</f>
        <v>76.930000000000007</v>
      </c>
      <c r="F2" s="2706"/>
      <c r="G2" s="1489"/>
      <c r="H2" s="1489"/>
      <c r="I2" s="1489"/>
      <c r="J2" s="1489"/>
      <c r="K2" s="1489"/>
      <c r="L2" s="1489"/>
      <c r="M2" s="1489"/>
      <c r="N2" s="1489"/>
      <c r="O2" s="1489"/>
      <c r="P2" s="1489"/>
      <c r="Q2" s="1489"/>
      <c r="R2" s="1489"/>
      <c r="S2" s="1489"/>
    </row>
    <row r="3" spans="1:22" ht="15.75">
      <c r="A3" s="1870" t="s">
        <v>686</v>
      </c>
      <c r="B3" s="2601">
        <f ca="1">ROUND(B2*10000/E2,0)</f>
        <v>31930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92" t="s">
        <v>1654</v>
      </c>
      <c r="C5" s="3693"/>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245.63499999999999</v>
      </c>
      <c r="C6" s="1872" t="s">
        <v>1651</v>
      </c>
      <c r="D6" s="2708"/>
      <c r="E6" s="2606">
        <f>IF(OR(A6=0,F6="否"),0,'数据-取费表'!K6+'数据-取费表'!S6)</f>
        <v>76.930000000000007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8" zoomScale="80" zoomScaleNormal="60" zoomScaleSheetLayoutView="80" workbookViewId="0">
      <selection activeCell="M59" sqref="M5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t="s">
        <v>3387</v>
      </c>
      <c r="F1" s="1879" t="s">
        <v>3388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493.99059999999997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64213</v>
      </c>
      <c r="C3" s="354" t="s">
        <v>1665</v>
      </c>
      <c r="D3" s="353">
        <f>IF(D1="",'数据-汇总表'!E3,SUMIF('数据-汇总表'!$C19:$C33,D1,'数据-汇总表'!$E19:$E33))</f>
        <v>76.930000000000007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4" t="s">
        <v>1667</v>
      </c>
      <c r="D4" s="3715"/>
      <c r="E4" s="3716" t="s">
        <v>1668</v>
      </c>
      <c r="F4" s="3717"/>
      <c r="G4" s="3714" t="s">
        <v>1669</v>
      </c>
      <c r="H4" s="3715"/>
      <c r="I4" s="3714" t="s">
        <v>1670</v>
      </c>
      <c r="J4" s="3715"/>
      <c r="K4" s="1889" t="s">
        <v>1671</v>
      </c>
      <c r="L4" s="2714"/>
      <c r="M4" s="2715"/>
      <c r="N4" s="2715"/>
      <c r="O4" s="2715"/>
      <c r="P4" s="3718" t="s">
        <v>1672</v>
      </c>
      <c r="Q4" s="3719"/>
      <c r="R4" s="3699" t="s">
        <v>1668</v>
      </c>
      <c r="S4" s="3700"/>
      <c r="T4" s="3699" t="s">
        <v>1669</v>
      </c>
      <c r="U4" s="3700"/>
      <c r="V4" s="3726" t="s">
        <v>1670</v>
      </c>
      <c r="W4" s="3726"/>
      <c r="X4" s="1355"/>
      <c r="Y4" s="3699" t="s">
        <v>1672</v>
      </c>
      <c r="Z4" s="3700"/>
      <c r="AA4" s="3694" t="s">
        <v>1668</v>
      </c>
      <c r="AB4" s="3694" t="s">
        <v>1669</v>
      </c>
      <c r="AC4" s="3694" t="s">
        <v>1670</v>
      </c>
    </row>
    <row r="5" spans="1:29" ht="15">
      <c r="A5" s="358"/>
      <c r="B5" s="359"/>
      <c r="C5" s="3705" t="s">
        <v>3380</v>
      </c>
      <c r="D5" s="3706"/>
      <c r="E5" s="3703" t="str">
        <f>C5</f>
        <v>恋日国际</v>
      </c>
      <c r="F5" s="3704"/>
      <c r="G5" s="3709" t="str">
        <f>C5</f>
        <v>恋日国际</v>
      </c>
      <c r="H5" s="3706"/>
      <c r="I5" s="3709" t="str">
        <f>C5</f>
        <v>恋日国际</v>
      </c>
      <c r="J5" s="3706"/>
      <c r="K5" s="1890"/>
      <c r="L5" s="2714"/>
      <c r="M5" s="2715"/>
      <c r="N5" s="2715"/>
      <c r="O5" s="2715"/>
      <c r="P5" s="3720"/>
      <c r="Q5" s="3721"/>
      <c r="R5" s="3701"/>
      <c r="S5" s="3702"/>
      <c r="T5" s="3701"/>
      <c r="U5" s="3702"/>
      <c r="V5" s="3726"/>
      <c r="W5" s="3726"/>
      <c r="X5" s="1355"/>
      <c r="Y5" s="3701"/>
      <c r="Z5" s="3702"/>
      <c r="AA5" s="3695"/>
      <c r="AB5" s="3695"/>
      <c r="AC5" s="3695"/>
    </row>
    <row r="6" spans="1:29" ht="15.75" thickBot="1">
      <c r="A6" s="360"/>
      <c r="B6" s="361"/>
      <c r="C6" s="3707" t="s">
        <v>1677</v>
      </c>
      <c r="D6" s="3708"/>
      <c r="E6" s="3710" t="s">
        <v>3381</v>
      </c>
      <c r="F6" s="3711"/>
      <c r="G6" s="3712" t="s">
        <v>3382</v>
      </c>
      <c r="H6" s="3708"/>
      <c r="I6" s="3712" t="s">
        <v>3383</v>
      </c>
      <c r="J6" s="3708"/>
      <c r="K6" s="1890" t="s">
        <v>1678</v>
      </c>
      <c r="L6" s="2714"/>
      <c r="M6" s="2715"/>
      <c r="N6" s="2715"/>
      <c r="O6" s="2715"/>
      <c r="P6" s="3722"/>
      <c r="Q6" s="3723"/>
      <c r="R6" s="3701"/>
      <c r="S6" s="3702"/>
      <c r="T6" s="3724"/>
      <c r="U6" s="3725"/>
      <c r="V6" s="3726"/>
      <c r="W6" s="3726"/>
      <c r="X6" s="1355"/>
      <c r="Y6" s="3724"/>
      <c r="Z6" s="3725"/>
      <c r="AA6" s="3696"/>
      <c r="AB6" s="3696"/>
      <c r="AC6" s="3696"/>
    </row>
    <row r="7" spans="1:29" s="108" customFormat="1" ht="15.75" thickBot="1">
      <c r="A7" s="362" t="s">
        <v>1679</v>
      </c>
      <c r="B7" s="363"/>
      <c r="C7" s="364">
        <f>'数据-取费表'!B2</f>
        <v>45096</v>
      </c>
      <c r="D7" s="365">
        <v>100</v>
      </c>
      <c r="E7" s="366">
        <f>Sheet1!D176</f>
        <v>44920</v>
      </c>
      <c r="F7" s="367">
        <f>SUMIF(58:58,YEAR(E7)&amp;"-"&amp;MONTH(E7),59:59)</f>
        <v>100</v>
      </c>
      <c r="G7" s="366">
        <f>Sheet1!D177</f>
        <v>44856</v>
      </c>
      <c r="H7" s="365">
        <f>SUMIF(58:58,YEAR(G7)&amp;"-"&amp;MONTH(G7),59:59)</f>
        <v>100</v>
      </c>
      <c r="I7" s="366">
        <v>44733</v>
      </c>
      <c r="J7" s="365">
        <f>SUMIF(58:58,YEAR(I7)&amp;"-"&amp;MONTH(I7),59:59)</f>
        <v>100</v>
      </c>
      <c r="K7" s="1891"/>
      <c r="L7" s="2716"/>
      <c r="M7" s="2717"/>
      <c r="N7" s="2717"/>
      <c r="O7" s="2717"/>
      <c r="P7" s="3697" t="s">
        <v>1680</v>
      </c>
      <c r="Q7" s="3727"/>
      <c r="R7" s="701" t="s">
        <v>20</v>
      </c>
      <c r="S7" s="702">
        <f t="shared" ref="S7:S15" si="0">F7</f>
        <v>100</v>
      </c>
      <c r="T7" s="701" t="s">
        <v>20</v>
      </c>
      <c r="U7" s="702">
        <f t="shared" ref="U7:U15" si="1">H7</f>
        <v>100</v>
      </c>
      <c r="V7" s="701" t="s">
        <v>20</v>
      </c>
      <c r="W7" s="702">
        <f t="shared" ref="W7:W15" si="2">J7</f>
        <v>100</v>
      </c>
      <c r="X7" s="703"/>
      <c r="Y7" s="3697" t="s">
        <v>1680</v>
      </c>
      <c r="Z7" s="3698"/>
      <c r="AA7" s="704">
        <f>D7/F7</f>
        <v>1</v>
      </c>
      <c r="AB7" s="704">
        <f>D7/H7</f>
        <v>1</v>
      </c>
      <c r="AC7" s="704">
        <f>D7/J7</f>
        <v>1</v>
      </c>
    </row>
    <row r="8" spans="1:29" s="108" customFormat="1" ht="15.75" thickBot="1">
      <c r="A8" s="362" t="s">
        <v>1681</v>
      </c>
      <c r="B8" s="363"/>
      <c r="C8" s="368" t="s">
        <v>3384</v>
      </c>
      <c r="D8" s="365">
        <v>100</v>
      </c>
      <c r="E8" s="1892" t="s">
        <v>3384</v>
      </c>
      <c r="F8" s="367">
        <f>SUMIF(61:61,E8,62:62)-SUMIF(61:61,C8,62:62)+100</f>
        <v>100</v>
      </c>
      <c r="G8" s="368" t="s">
        <v>3384</v>
      </c>
      <c r="H8" s="365">
        <f>SUMIF(61:61,G8,62:62)-SUMIF(61:61,C8,62:62)+100</f>
        <v>100</v>
      </c>
      <c r="I8" s="1892" t="s">
        <v>3384</v>
      </c>
      <c r="J8" s="365">
        <f>SUMIF(61:61,I8,62:62)-SUMIF(61:61,C8,62:62)+100</f>
        <v>100</v>
      </c>
      <c r="K8" s="1891"/>
      <c r="L8" s="2716"/>
      <c r="M8" s="2717"/>
      <c r="N8" s="2717"/>
      <c r="O8" s="2717"/>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450" t="s">
        <v>3386</v>
      </c>
      <c r="D9" s="126">
        <v>100</v>
      </c>
      <c r="E9" s="371" t="s">
        <v>3385</v>
      </c>
      <c r="F9" s="372">
        <f>SUMIF(63:63,E9,64:64)-SUMIF(63:63,C9,64:64)+100</f>
        <v>100</v>
      </c>
      <c r="G9" s="373" t="s">
        <v>3385</v>
      </c>
      <c r="H9" s="126">
        <f>SUMIF(63:63,G9,64:64)-SUMIF(63:63,C9,64:64)+100</f>
        <v>100</v>
      </c>
      <c r="I9" s="373" t="s">
        <v>3385</v>
      </c>
      <c r="J9" s="126">
        <f>SUMIF(63:63,I9,64:64)-SUMIF(63:63,C9,64:64)+100</f>
        <v>100</v>
      </c>
      <c r="K9" s="1891"/>
      <c r="L9" s="2716"/>
      <c r="M9" s="2717"/>
      <c r="N9" s="2717"/>
      <c r="O9" s="2717"/>
      <c r="P9" s="3713"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3"/>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v>4</v>
      </c>
      <c r="D11" s="127">
        <v>100</v>
      </c>
      <c r="E11" s="381">
        <f>C11</f>
        <v>4</v>
      </c>
      <c r="F11" s="376">
        <f>LOOKUP(E11,68:68,69:69)-LOOKUP(C11,68:68,69:69)+100</f>
        <v>100</v>
      </c>
      <c r="G11" s="380">
        <f>C11</f>
        <v>4</v>
      </c>
      <c r="H11" s="127">
        <f>LOOKUP(G11,68:68,69:69)-LOOKUP(C11,68:68,69:69)+100</f>
        <v>100</v>
      </c>
      <c r="I11" s="380">
        <f>C11</f>
        <v>4</v>
      </c>
      <c r="J11" s="127">
        <f>LOOKUP(I11,68:68,69:69)-LOOKUP(C11,68:68,69:69)+100</f>
        <v>100</v>
      </c>
      <c r="K11" s="377"/>
      <c r="L11" s="2720"/>
      <c r="M11" s="2715"/>
      <c r="N11" s="2715"/>
      <c r="O11" s="2715"/>
      <c r="P11" s="3713"/>
      <c r="Q11" s="1343" t="str">
        <f t="shared" si="6"/>
        <v>容积率</v>
      </c>
      <c r="R11" s="701" t="s">
        <v>18</v>
      </c>
      <c r="S11" s="702">
        <f t="shared" si="0"/>
        <v>100</v>
      </c>
      <c r="T11" s="701" t="s">
        <v>18</v>
      </c>
      <c r="U11" s="702">
        <f t="shared" si="1"/>
        <v>100</v>
      </c>
      <c r="V11" s="701" t="s">
        <v>18</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3"/>
      <c r="Q12" s="1343">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3"/>
      <c r="Q13" s="1343">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3"/>
      <c r="Q14" s="1343">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0" t="s">
        <v>1691</v>
      </c>
      <c r="Q15" s="1352" t="str">
        <f t="shared" si="6"/>
        <v>居住社区成熟度</v>
      </c>
      <c r="R15" s="705" t="s">
        <v>18</v>
      </c>
      <c r="S15" s="706">
        <f t="shared" si="0"/>
        <v>100</v>
      </c>
      <c r="T15" s="705" t="s">
        <v>18</v>
      </c>
      <c r="U15" s="706">
        <f t="shared" si="1"/>
        <v>100</v>
      </c>
      <c r="V15" s="705" t="s">
        <v>18</v>
      </c>
      <c r="W15" s="706">
        <f t="shared" si="2"/>
        <v>100</v>
      </c>
      <c r="X15" s="1355"/>
      <c r="Y15" s="373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41"/>
      <c r="Q16" s="1352"/>
      <c r="R16" s="705"/>
      <c r="S16" s="706"/>
      <c r="T16" s="705"/>
      <c r="U16" s="706"/>
      <c r="V16" s="705"/>
      <c r="W16" s="706"/>
      <c r="X16" s="1355"/>
      <c r="Y16" s="373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1"/>
      <c r="Q17" s="1352" t="str">
        <f>B17</f>
        <v>交通便捷度</v>
      </c>
      <c r="R17" s="705" t="s">
        <v>18</v>
      </c>
      <c r="S17" s="706">
        <f>F17</f>
        <v>100</v>
      </c>
      <c r="T17" s="705" t="s">
        <v>18</v>
      </c>
      <c r="U17" s="706">
        <f>H17</f>
        <v>100</v>
      </c>
      <c r="V17" s="705" t="s">
        <v>18</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41"/>
      <c r="Q18" s="1352"/>
      <c r="R18" s="705"/>
      <c r="S18" s="706"/>
      <c r="T18" s="705"/>
      <c r="U18" s="706"/>
      <c r="V18" s="705"/>
      <c r="W18" s="706"/>
      <c r="X18" s="1355"/>
      <c r="Y18" s="373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1"/>
      <c r="Q19" s="1352" t="str">
        <f>B19</f>
        <v>公共配套设施</v>
      </c>
      <c r="R19" s="705" t="s">
        <v>18</v>
      </c>
      <c r="S19" s="706">
        <f>F19</f>
        <v>100</v>
      </c>
      <c r="T19" s="705" t="s">
        <v>18</v>
      </c>
      <c r="U19" s="706">
        <f>H19</f>
        <v>100</v>
      </c>
      <c r="V19" s="705" t="s">
        <v>18</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41"/>
      <c r="Q20" s="1352"/>
      <c r="R20" s="705"/>
      <c r="S20" s="706"/>
      <c r="T20" s="705"/>
      <c r="U20" s="706"/>
      <c r="V20" s="705"/>
      <c r="W20" s="706"/>
      <c r="X20" s="1355"/>
      <c r="Y20" s="373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41"/>
      <c r="Q22" s="1352"/>
      <c r="R22" s="705"/>
      <c r="S22" s="706"/>
      <c r="T22" s="705"/>
      <c r="U22" s="706"/>
      <c r="V22" s="705"/>
      <c r="W22" s="706"/>
      <c r="X22" s="1355"/>
      <c r="Y22" s="373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1"/>
      <c r="Q23" s="1352" t="str">
        <f>B23</f>
        <v>自然及人文环境</v>
      </c>
      <c r="R23" s="705" t="s">
        <v>18</v>
      </c>
      <c r="S23" s="706">
        <f>F23</f>
        <v>100</v>
      </c>
      <c r="T23" s="705" t="s">
        <v>18</v>
      </c>
      <c r="U23" s="706">
        <f>H23</f>
        <v>100</v>
      </c>
      <c r="V23" s="705" t="s">
        <v>18</v>
      </c>
      <c r="W23" s="706">
        <f>J23</f>
        <v>100</v>
      </c>
      <c r="X23" s="1355"/>
      <c r="Y23" s="373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41"/>
      <c r="Q24" s="1352"/>
      <c r="R24" s="705"/>
      <c r="S24" s="706"/>
      <c r="T24" s="705"/>
      <c r="U24" s="706"/>
      <c r="V24" s="705"/>
      <c r="W24" s="706"/>
      <c r="X24" s="1355"/>
      <c r="Y24" s="373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4"/>
      <c r="Z25" s="1356" t="str">
        <f>Q25</f>
        <v>楼层-1</v>
      </c>
      <c r="AA25" s="1353">
        <f t="shared" ref="AA25:AA46" si="15">D25/F25</f>
        <v>1</v>
      </c>
      <c r="AB25" s="1353">
        <f t="shared" ref="AB25:AB46" si="16">D25/H25</f>
        <v>1</v>
      </c>
      <c r="AC25" s="1353">
        <f t="shared" ref="AC25:AC46" si="17">D25/J25</f>
        <v>1</v>
      </c>
    </row>
    <row r="26" spans="1:29" ht="15">
      <c r="A26" s="379"/>
      <c r="B26" s="375" t="s">
        <v>1693</v>
      </c>
      <c r="C26" s="411" t="s">
        <v>3407</v>
      </c>
      <c r="D26" s="386">
        <v>100</v>
      </c>
      <c r="E26" s="1906" t="s">
        <v>3450</v>
      </c>
      <c r="F26" s="386">
        <f>SUMIF(88:88,E26,89:89)-SUMIF(88:88,C26,89:89)+100</f>
        <v>98</v>
      </c>
      <c r="G26" s="1907" t="s">
        <v>3452</v>
      </c>
      <c r="H26" s="386">
        <f>SUMIF(88:88,G26,89:89)-SUMIF(88:88,C26,89:89)+100</f>
        <v>101.5</v>
      </c>
      <c r="I26" s="1907" t="s">
        <v>3405</v>
      </c>
      <c r="J26" s="386">
        <f>SUMIF(88:88,I26,89:89)-SUMIF(88:88,C26,89:89)+100</f>
        <v>100.5</v>
      </c>
      <c r="K26" s="377">
        <v>0.5</v>
      </c>
      <c r="L26" s="2721"/>
      <c r="M26" s="2715"/>
      <c r="N26" s="2715"/>
      <c r="O26" s="2715"/>
      <c r="P26" s="3741"/>
      <c r="Q26" s="1352" t="str">
        <f t="shared" si="11"/>
        <v>朝向</v>
      </c>
      <c r="R26" s="705" t="s">
        <v>18</v>
      </c>
      <c r="S26" s="706">
        <f t="shared" si="12"/>
        <v>98</v>
      </c>
      <c r="T26" s="705" t="s">
        <v>18</v>
      </c>
      <c r="U26" s="706">
        <f t="shared" si="13"/>
        <v>101.5</v>
      </c>
      <c r="V26" s="705" t="s">
        <v>18</v>
      </c>
      <c r="W26" s="706">
        <f t="shared" si="14"/>
        <v>100.5</v>
      </c>
      <c r="X26" s="1355"/>
      <c r="Y26" s="3734"/>
      <c r="Z26" s="1356" t="str">
        <f>Q26</f>
        <v>朝向</v>
      </c>
      <c r="AA26" s="1353">
        <f t="shared" si="15"/>
        <v>1.0204081632653061</v>
      </c>
      <c r="AB26" s="1353">
        <f t="shared" si="16"/>
        <v>0.98522167487684731</v>
      </c>
      <c r="AC26" s="1353">
        <f t="shared" si="17"/>
        <v>0.99502487562189057</v>
      </c>
    </row>
    <row r="27" spans="1:29" s="108" customFormat="1" ht="15">
      <c r="A27" s="382"/>
      <c r="B27" s="3454" t="s">
        <v>3410</v>
      </c>
      <c r="C27" s="383" t="s">
        <v>3411</v>
      </c>
      <c r="D27" s="413">
        <v>100</v>
      </c>
      <c r="E27" s="3478" t="s">
        <v>3448</v>
      </c>
      <c r="F27" s="413">
        <f>SUMIF(90:90,E27,91:91)-SUMIF(90:90,C27,91:91)+100</f>
        <v>96</v>
      </c>
      <c r="G27" s="3479" t="s">
        <v>3449</v>
      </c>
      <c r="H27" s="413">
        <f>SUMIF(90:90,G27,91:91)-SUMIF(90:90,C27,91:91)+100</f>
        <v>100</v>
      </c>
      <c r="I27" s="414" t="s">
        <v>3412</v>
      </c>
      <c r="J27" s="413">
        <f>SUMIF(90:90,I27,91:91)-SUMIF(90:90,C27,91:91)+100</f>
        <v>98</v>
      </c>
      <c r="K27" s="1894"/>
      <c r="L27" s="2716"/>
      <c r="M27" s="2717"/>
      <c r="N27" s="2717"/>
      <c r="O27" s="2717"/>
      <c r="P27" s="3741"/>
      <c r="Q27" s="1343" t="str">
        <f t="shared" si="11"/>
        <v>楼层</v>
      </c>
      <c r="R27" s="701" t="s">
        <v>18</v>
      </c>
      <c r="S27" s="702">
        <f t="shared" si="12"/>
        <v>96</v>
      </c>
      <c r="T27" s="701" t="s">
        <v>18</v>
      </c>
      <c r="U27" s="702">
        <f t="shared" si="13"/>
        <v>100</v>
      </c>
      <c r="V27" s="701" t="s">
        <v>18</v>
      </c>
      <c r="W27" s="702">
        <f t="shared" si="14"/>
        <v>98</v>
      </c>
      <c r="X27" s="703"/>
      <c r="Y27" s="3734"/>
      <c r="Z27" s="52" t="str">
        <f>Q27</f>
        <v>楼层</v>
      </c>
      <c r="AA27" s="1353">
        <f t="shared" si="15"/>
        <v>1.0416666666666667</v>
      </c>
      <c r="AB27" s="1353">
        <f t="shared" si="16"/>
        <v>1</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41"/>
      <c r="Q28" s="1352">
        <f t="shared" si="11"/>
        <v>111</v>
      </c>
      <c r="R28" s="705" t="s">
        <v>18</v>
      </c>
      <c r="S28" s="706">
        <f t="shared" si="12"/>
        <v>100</v>
      </c>
      <c r="T28" s="705" t="s">
        <v>18</v>
      </c>
      <c r="U28" s="706">
        <f t="shared" si="13"/>
        <v>100</v>
      </c>
      <c r="V28" s="705" t="s">
        <v>18</v>
      </c>
      <c r="W28" s="706">
        <f t="shared" si="14"/>
        <v>100</v>
      </c>
      <c r="X28" s="1355"/>
      <c r="Y28" s="373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41"/>
      <c r="Q29" s="1352">
        <f t="shared" si="11"/>
        <v>111</v>
      </c>
      <c r="R29" s="705" t="s">
        <v>18</v>
      </c>
      <c r="S29" s="706">
        <f t="shared" si="12"/>
        <v>100</v>
      </c>
      <c r="T29" s="705" t="s">
        <v>18</v>
      </c>
      <c r="U29" s="706">
        <f t="shared" si="13"/>
        <v>100</v>
      </c>
      <c r="V29" s="705" t="s">
        <v>18</v>
      </c>
      <c r="W29" s="706">
        <f t="shared" si="14"/>
        <v>100</v>
      </c>
      <c r="X29" s="1355"/>
      <c r="Y29" s="373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41"/>
      <c r="Q30" s="1352">
        <f t="shared" si="11"/>
        <v>111</v>
      </c>
      <c r="R30" s="705" t="s">
        <v>18</v>
      </c>
      <c r="S30" s="706">
        <f t="shared" si="12"/>
        <v>100</v>
      </c>
      <c r="T30" s="705" t="s">
        <v>18</v>
      </c>
      <c r="U30" s="706">
        <f t="shared" si="13"/>
        <v>100</v>
      </c>
      <c r="V30" s="705" t="s">
        <v>18</v>
      </c>
      <c r="W30" s="706">
        <f t="shared" si="14"/>
        <v>100</v>
      </c>
      <c r="X30" s="1355"/>
      <c r="Y30" s="373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41"/>
      <c r="Q31" s="1352">
        <f t="shared" si="11"/>
        <v>111</v>
      </c>
      <c r="R31" s="705" t="s">
        <v>18</v>
      </c>
      <c r="S31" s="706">
        <f t="shared" si="12"/>
        <v>100</v>
      </c>
      <c r="T31" s="705" t="s">
        <v>18</v>
      </c>
      <c r="U31" s="706">
        <f t="shared" si="13"/>
        <v>100</v>
      </c>
      <c r="V31" s="705" t="s">
        <v>18</v>
      </c>
      <c r="W31" s="706">
        <f t="shared" si="14"/>
        <v>100</v>
      </c>
      <c r="X31" s="1355"/>
      <c r="Y31" s="3734"/>
      <c r="Z31" s="1356">
        <f t="shared" si="18"/>
        <v>111</v>
      </c>
      <c r="AA31" s="1353">
        <f t="shared" si="15"/>
        <v>1</v>
      </c>
      <c r="AB31" s="1353">
        <f t="shared" si="16"/>
        <v>1</v>
      </c>
      <c r="AC31" s="1353">
        <f t="shared" si="17"/>
        <v>1</v>
      </c>
    </row>
    <row r="32" spans="1:29" ht="15">
      <c r="A32" s="391" t="s">
        <v>1694</v>
      </c>
      <c r="B32" s="63" t="s">
        <v>1695</v>
      </c>
      <c r="C32" s="1910" t="s">
        <v>3413</v>
      </c>
      <c r="D32" s="418">
        <v>100</v>
      </c>
      <c r="E32" s="1911" t="s">
        <v>3413</v>
      </c>
      <c r="F32" s="412">
        <f>SUMIF(100:100,E32,101:101)-SUMIF(100:100,C32,101:101)+100</f>
        <v>100</v>
      </c>
      <c r="G32" s="1910" t="s">
        <v>3413</v>
      </c>
      <c r="H32" s="418">
        <f>SUMIF(100:100,G32,101:101)-SUMIF(100:100,C32,101:101)+100</f>
        <v>100</v>
      </c>
      <c r="I32" s="1911" t="s">
        <v>3413</v>
      </c>
      <c r="J32" s="386">
        <f>SUMIF(100:100,I32,101:101)-SUMIF(100:100,C32,101:101)+100</f>
        <v>100</v>
      </c>
      <c r="K32" s="377"/>
      <c r="L32" s="2721"/>
      <c r="M32" s="2715"/>
      <c r="N32" s="2715"/>
      <c r="O32" s="2715"/>
      <c r="P32" s="3735" t="s">
        <v>1696</v>
      </c>
      <c r="Q32" s="1352" t="str">
        <f t="shared" si="11"/>
        <v>建筑类型</v>
      </c>
      <c r="R32" s="705" t="s">
        <v>18</v>
      </c>
      <c r="S32" s="706">
        <f t="shared" si="12"/>
        <v>100</v>
      </c>
      <c r="T32" s="705" t="s">
        <v>18</v>
      </c>
      <c r="U32" s="706">
        <f t="shared" si="13"/>
        <v>100</v>
      </c>
      <c r="V32" s="705" t="s">
        <v>18</v>
      </c>
      <c r="W32" s="706">
        <f t="shared" si="14"/>
        <v>100</v>
      </c>
      <c r="X32" s="1355"/>
      <c r="Y32" s="3738"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76.930000000000007</v>
      </c>
      <c r="D33" s="127">
        <v>100</v>
      </c>
      <c r="E33" s="381">
        <f>Sheet1!C176</f>
        <v>52.24</v>
      </c>
      <c r="F33" s="376">
        <f>LOOKUP(E33,103:103,104:104)-LOOKUP(C33,103:103,104:104)+100</f>
        <v>102</v>
      </c>
      <c r="G33" s="380">
        <f>Sheet1!C177</f>
        <v>52.24</v>
      </c>
      <c r="H33" s="127">
        <f>LOOKUP(G33,103:103,104:104)-LOOKUP(C33,103:103,104:104)+100</f>
        <v>102</v>
      </c>
      <c r="I33" s="381">
        <v>75.58</v>
      </c>
      <c r="J33" s="127">
        <f>LOOKUP(I33,103:103,104:104)-LOOKUP(C33,103:103,104:104)+100</f>
        <v>100</v>
      </c>
      <c r="K33" s="1894"/>
      <c r="L33" s="2720"/>
      <c r="M33" s="2722"/>
      <c r="N33" s="2722"/>
      <c r="O33" s="2722"/>
      <c r="P33" s="3736"/>
      <c r="Q33" s="707" t="str">
        <f t="shared" si="11"/>
        <v>项目建筑规模</v>
      </c>
      <c r="R33" s="708" t="s">
        <v>18</v>
      </c>
      <c r="S33" s="709">
        <f t="shared" si="12"/>
        <v>102</v>
      </c>
      <c r="T33" s="708" t="s">
        <v>18</v>
      </c>
      <c r="U33" s="709">
        <f t="shared" si="13"/>
        <v>102</v>
      </c>
      <c r="V33" s="708" t="s">
        <v>18</v>
      </c>
      <c r="W33" s="709">
        <f t="shared" si="14"/>
        <v>100</v>
      </c>
      <c r="X33" s="710"/>
      <c r="Y33" s="3738"/>
      <c r="Z33" s="711" t="str">
        <f t="shared" si="18"/>
        <v>项目建筑规模</v>
      </c>
      <c r="AA33" s="1353">
        <f t="shared" si="15"/>
        <v>0.98039215686274506</v>
      </c>
      <c r="AB33" s="1353">
        <f t="shared" si="16"/>
        <v>0.98039215686274506</v>
      </c>
      <c r="AC33" s="1353">
        <f t="shared" si="17"/>
        <v>1</v>
      </c>
    </row>
    <row r="34" spans="1:29" ht="15">
      <c r="A34" s="423"/>
      <c r="B34" s="375" t="s">
        <v>1698</v>
      </c>
      <c r="C34" s="1912" t="s">
        <v>3401</v>
      </c>
      <c r="D34" s="386">
        <v>100</v>
      </c>
      <c r="E34" s="1913" t="s">
        <v>3401</v>
      </c>
      <c r="F34" s="412">
        <f>SUMIF(105:105,E34,106:106)-SUMIF(105:105,C34,106:106)+100</f>
        <v>100</v>
      </c>
      <c r="G34" s="1912" t="s">
        <v>3401</v>
      </c>
      <c r="H34" s="386">
        <f>SUMIF(105:105,G34,106:106)-SUMIF(105:105,C34,106:106)+100</f>
        <v>100</v>
      </c>
      <c r="I34" s="1913" t="s">
        <v>3401</v>
      </c>
      <c r="J34" s="386">
        <f>SUMIF(105:105,I34,106:106)-SUMIF(105:105,C34,106:106)+100</f>
        <v>100</v>
      </c>
      <c r="K34" s="377"/>
      <c r="L34" s="2721"/>
      <c r="M34" s="2715"/>
      <c r="N34" s="2715"/>
      <c r="O34" s="2715"/>
      <c r="P34" s="3736"/>
      <c r="Q34" s="1352" t="str">
        <f t="shared" si="11"/>
        <v>建筑结构</v>
      </c>
      <c r="R34" s="705" t="s">
        <v>18</v>
      </c>
      <c r="S34" s="706">
        <f t="shared" si="12"/>
        <v>100</v>
      </c>
      <c r="T34" s="705" t="s">
        <v>18</v>
      </c>
      <c r="U34" s="706">
        <f t="shared" si="13"/>
        <v>100</v>
      </c>
      <c r="V34" s="705" t="s">
        <v>18</v>
      </c>
      <c r="W34" s="706">
        <f t="shared" si="14"/>
        <v>100</v>
      </c>
      <c r="X34" s="1355"/>
      <c r="Y34" s="3738"/>
      <c r="Z34" s="1356" t="str">
        <f t="shared" si="18"/>
        <v>建筑结构</v>
      </c>
      <c r="AA34" s="1353">
        <f t="shared" si="15"/>
        <v>1</v>
      </c>
      <c r="AB34" s="1353">
        <f t="shared" si="16"/>
        <v>1</v>
      </c>
      <c r="AC34" s="1353">
        <f t="shared" si="17"/>
        <v>1</v>
      </c>
    </row>
    <row r="35" spans="1:29" ht="15">
      <c r="A35" s="423"/>
      <c r="B35" s="375" t="s">
        <v>1699</v>
      </c>
      <c r="C35" s="1906" t="s">
        <v>3416</v>
      </c>
      <c r="D35" s="386">
        <v>100</v>
      </c>
      <c r="E35" s="1907" t="s">
        <v>3416</v>
      </c>
      <c r="F35" s="412">
        <f>SUMIF(107:107,E35,108:108)-SUMIF(107:107,C35,108:108)+100</f>
        <v>100</v>
      </c>
      <c r="G35" s="1906" t="s">
        <v>3416</v>
      </c>
      <c r="H35" s="386">
        <f>SUMIF(107:107,G35,108:108)-SUMIF(107:107,C35,108:108)+100</f>
        <v>100</v>
      </c>
      <c r="I35" s="1907" t="s">
        <v>3416</v>
      </c>
      <c r="J35" s="386">
        <f>SUMIF(107:107,I35,108:108)-SUMIF(107:107,C35,108:108)+100</f>
        <v>100</v>
      </c>
      <c r="K35" s="377"/>
      <c r="L35" s="2721"/>
      <c r="M35" s="2715"/>
      <c r="N35" s="2715"/>
      <c r="O35" s="2715"/>
      <c r="P35" s="3736"/>
      <c r="Q35" s="1352" t="str">
        <f t="shared" si="11"/>
        <v>建筑品质</v>
      </c>
      <c r="R35" s="705" t="s">
        <v>18</v>
      </c>
      <c r="S35" s="706">
        <f t="shared" si="12"/>
        <v>100</v>
      </c>
      <c r="T35" s="705" t="s">
        <v>18</v>
      </c>
      <c r="U35" s="706">
        <f t="shared" si="13"/>
        <v>100</v>
      </c>
      <c r="V35" s="705" t="s">
        <v>18</v>
      </c>
      <c r="W35" s="706">
        <f t="shared" si="14"/>
        <v>100</v>
      </c>
      <c r="X35" s="1355"/>
      <c r="Y35" s="373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36"/>
      <c r="Q36" s="1352" t="str">
        <f t="shared" si="11"/>
        <v>公共部分装修</v>
      </c>
      <c r="R36" s="705" t="s">
        <v>18</v>
      </c>
      <c r="S36" s="706">
        <f t="shared" si="12"/>
        <v>100</v>
      </c>
      <c r="T36" s="705" t="s">
        <v>18</v>
      </c>
      <c r="U36" s="706">
        <f t="shared" si="13"/>
        <v>100</v>
      </c>
      <c r="V36" s="705" t="s">
        <v>18</v>
      </c>
      <c r="W36" s="706">
        <f t="shared" si="14"/>
        <v>100</v>
      </c>
      <c r="X36" s="1355"/>
      <c r="Y36" s="3738"/>
      <c r="Z36" s="1356" t="str">
        <f t="shared" si="18"/>
        <v>公共部分装修</v>
      </c>
      <c r="AA36" s="1353">
        <f t="shared" si="15"/>
        <v>1</v>
      </c>
      <c r="AB36" s="1353">
        <f t="shared" si="16"/>
        <v>1</v>
      </c>
      <c r="AC36" s="1353">
        <f t="shared" si="17"/>
        <v>1</v>
      </c>
    </row>
    <row r="37" spans="1:29" s="108" customFormat="1" ht="15">
      <c r="A37" s="424"/>
      <c r="B37" s="375" t="s">
        <v>1701</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6"/>
      <c r="M37" s="2717"/>
      <c r="N37" s="2717"/>
      <c r="O37" s="2717"/>
      <c r="P37" s="3736"/>
      <c r="Q37" s="1343" t="str">
        <f t="shared" si="11"/>
        <v>成新度</v>
      </c>
      <c r="R37" s="701" t="s">
        <v>18</v>
      </c>
      <c r="S37" s="702">
        <f t="shared" si="12"/>
        <v>100</v>
      </c>
      <c r="T37" s="701" t="s">
        <v>18</v>
      </c>
      <c r="U37" s="702">
        <f t="shared" si="13"/>
        <v>100</v>
      </c>
      <c r="V37" s="701" t="s">
        <v>18</v>
      </c>
      <c r="W37" s="702">
        <f t="shared" si="14"/>
        <v>100</v>
      </c>
      <c r="X37" s="703"/>
      <c r="Y37" s="3738"/>
      <c r="Z37" s="52" t="str">
        <f t="shared" si="18"/>
        <v>成新度</v>
      </c>
      <c r="AA37" s="704">
        <f t="shared" si="15"/>
        <v>1</v>
      </c>
      <c r="AB37" s="704">
        <f t="shared" si="16"/>
        <v>1</v>
      </c>
      <c r="AC37" s="704">
        <f t="shared" si="17"/>
        <v>1</v>
      </c>
    </row>
    <row r="38" spans="1:29" ht="15">
      <c r="A38" s="423"/>
      <c r="B38" s="375" t="s">
        <v>1702</v>
      </c>
      <c r="C38" s="1906" t="s">
        <v>3420</v>
      </c>
      <c r="D38" s="386">
        <v>100</v>
      </c>
      <c r="E38" s="1907" t="s">
        <v>3420</v>
      </c>
      <c r="F38" s="412">
        <f>SUMIF(114:114,E38,115:115)-SUMIF(114:114,C38,115:115)+100</f>
        <v>100</v>
      </c>
      <c r="G38" s="1906" t="s">
        <v>3420</v>
      </c>
      <c r="H38" s="386">
        <f>SUMIF(114:114,G38,115:115)-SUMIF(114:114,C38,115:115)+100</f>
        <v>100</v>
      </c>
      <c r="I38" s="1907" t="s">
        <v>3420</v>
      </c>
      <c r="J38" s="386">
        <f>SUMIF(114:114,I38,115:115)-SUMIF(114:114,C38,115:115)+100</f>
        <v>100</v>
      </c>
      <c r="K38" s="377"/>
      <c r="L38" s="2721"/>
      <c r="M38" s="2715"/>
      <c r="N38" s="2715"/>
      <c r="O38" s="2715"/>
      <c r="P38" s="3736" t="s">
        <v>1696</v>
      </c>
      <c r="Q38" s="1352" t="str">
        <f t="shared" si="11"/>
        <v>物业管理</v>
      </c>
      <c r="R38" s="705" t="s">
        <v>18</v>
      </c>
      <c r="S38" s="706">
        <f t="shared" si="12"/>
        <v>100</v>
      </c>
      <c r="T38" s="705" t="s">
        <v>18</v>
      </c>
      <c r="U38" s="706">
        <f t="shared" si="13"/>
        <v>100</v>
      </c>
      <c r="V38" s="705" t="s">
        <v>18</v>
      </c>
      <c r="W38" s="706">
        <f t="shared" si="14"/>
        <v>100</v>
      </c>
      <c r="X38" s="1355"/>
      <c r="Y38" s="3738" t="s">
        <v>1696</v>
      </c>
      <c r="Z38" s="1356" t="str">
        <f t="shared" si="18"/>
        <v>物业管理</v>
      </c>
      <c r="AA38" s="1353">
        <f t="shared" si="15"/>
        <v>1</v>
      </c>
      <c r="AB38" s="1353">
        <f t="shared" si="16"/>
        <v>1</v>
      </c>
      <c r="AC38" s="1353">
        <f t="shared" si="17"/>
        <v>1</v>
      </c>
    </row>
    <row r="39" spans="1:29" ht="15">
      <c r="A39" s="423"/>
      <c r="B39" s="375" t="s">
        <v>1703</v>
      </c>
      <c r="C39" s="1906" t="s">
        <v>3422</v>
      </c>
      <c r="D39" s="386">
        <v>100</v>
      </c>
      <c r="E39" s="1907" t="s">
        <v>3422</v>
      </c>
      <c r="F39" s="412">
        <f>SUMIF(116:116,E39,117:117)-SUMIF(116:116,C39,117:117)+100</f>
        <v>100</v>
      </c>
      <c r="G39" s="1906" t="s">
        <v>3422</v>
      </c>
      <c r="H39" s="386">
        <f>SUMIF(116:116,G39,117:117)-SUMIF(116:116,C39,117:117)+100</f>
        <v>100</v>
      </c>
      <c r="I39" s="1907" t="s">
        <v>3422</v>
      </c>
      <c r="J39" s="386">
        <f>SUMIF(116:116,I39,117:117)-SUMIF(116:116,C39,117:117)+100</f>
        <v>100</v>
      </c>
      <c r="K39" s="377"/>
      <c r="L39" s="2721"/>
      <c r="M39" s="2715"/>
      <c r="N39" s="2715"/>
      <c r="O39" s="2715"/>
      <c r="P39" s="3736"/>
      <c r="Q39" s="1352" t="str">
        <f t="shared" si="11"/>
        <v>市政基础设施</v>
      </c>
      <c r="R39" s="705" t="s">
        <v>18</v>
      </c>
      <c r="S39" s="706">
        <f t="shared" si="12"/>
        <v>100</v>
      </c>
      <c r="T39" s="705" t="s">
        <v>18</v>
      </c>
      <c r="U39" s="706">
        <f t="shared" si="13"/>
        <v>100</v>
      </c>
      <c r="V39" s="705" t="s">
        <v>18</v>
      </c>
      <c r="W39" s="706">
        <f t="shared" si="14"/>
        <v>100</v>
      </c>
      <c r="X39" s="1355"/>
      <c r="Y39" s="3738"/>
      <c r="Z39" s="1356" t="str">
        <f t="shared" si="18"/>
        <v>市政基础设施</v>
      </c>
      <c r="AA39" s="1353">
        <f t="shared" si="15"/>
        <v>1</v>
      </c>
      <c r="AB39" s="1353">
        <f t="shared" si="16"/>
        <v>1</v>
      </c>
      <c r="AC39" s="1353">
        <f t="shared" si="17"/>
        <v>1</v>
      </c>
    </row>
    <row r="40" spans="1:29" ht="15">
      <c r="A40" s="423"/>
      <c r="B40" s="375" t="s">
        <v>1704</v>
      </c>
      <c r="C40" s="1906" t="s">
        <v>3424</v>
      </c>
      <c r="D40" s="386">
        <v>100</v>
      </c>
      <c r="E40" s="1907" t="s">
        <v>3424</v>
      </c>
      <c r="F40" s="412">
        <f>SUMIF(118:118,E40,119:119)-SUMIF(118:118,C40,119:119)+100</f>
        <v>100</v>
      </c>
      <c r="G40" s="1906" t="s">
        <v>3424</v>
      </c>
      <c r="H40" s="386">
        <f>SUMIF(118:118,G40,119:119)-SUMIF(118:118,C40,119:119)+100</f>
        <v>100</v>
      </c>
      <c r="I40" s="1907" t="s">
        <v>3424</v>
      </c>
      <c r="J40" s="386">
        <f>SUMIF(118:118,I40,119:119)-SUMIF(118:118,C40,119:119)+100</f>
        <v>100</v>
      </c>
      <c r="K40" s="377"/>
      <c r="L40" s="2721"/>
      <c r="M40" s="2715"/>
      <c r="N40" s="2715"/>
      <c r="O40" s="2715"/>
      <c r="P40" s="3736"/>
      <c r="Q40" s="1352" t="str">
        <f t="shared" si="11"/>
        <v>房型</v>
      </c>
      <c r="R40" s="705" t="s">
        <v>18</v>
      </c>
      <c r="S40" s="706">
        <f t="shared" si="12"/>
        <v>100</v>
      </c>
      <c r="T40" s="705" t="s">
        <v>18</v>
      </c>
      <c r="U40" s="706">
        <f t="shared" si="13"/>
        <v>100</v>
      </c>
      <c r="V40" s="705" t="s">
        <v>18</v>
      </c>
      <c r="W40" s="706">
        <f t="shared" si="14"/>
        <v>100</v>
      </c>
      <c r="X40" s="1355"/>
      <c r="Y40" s="373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6"/>
      <c r="Q41" s="707" t="str">
        <f t="shared" si="11"/>
        <v>单套/主力户型建筑面积</v>
      </c>
      <c r="R41" s="708" t="s">
        <v>18</v>
      </c>
      <c r="S41" s="709">
        <f t="shared" si="12"/>
        <v>100</v>
      </c>
      <c r="T41" s="708" t="s">
        <v>18</v>
      </c>
      <c r="U41" s="709">
        <f t="shared" si="13"/>
        <v>100</v>
      </c>
      <c r="V41" s="708" t="s">
        <v>18</v>
      </c>
      <c r="W41" s="709">
        <f t="shared" si="14"/>
        <v>100</v>
      </c>
      <c r="X41" s="710"/>
      <c r="Y41" s="3738"/>
      <c r="Z41" s="711" t="str">
        <f t="shared" si="18"/>
        <v>单套/主力户型建筑面积</v>
      </c>
      <c r="AA41" s="1353">
        <f t="shared" si="15"/>
        <v>1</v>
      </c>
      <c r="AB41" s="1353">
        <f t="shared" si="16"/>
        <v>1</v>
      </c>
      <c r="AC41" s="1353">
        <f t="shared" si="17"/>
        <v>1</v>
      </c>
    </row>
    <row r="42" spans="1:29" ht="15">
      <c r="A42" s="423"/>
      <c r="B42" s="375" t="s">
        <v>1706</v>
      </c>
      <c r="C42" s="1906" t="s">
        <v>3418</v>
      </c>
      <c r="D42" s="386">
        <v>100</v>
      </c>
      <c r="E42" s="1907" t="s">
        <v>3418</v>
      </c>
      <c r="F42" s="412">
        <f>SUMIF(122:122,E42,123:123)-SUMIF(122:122,C42,123:123)+100</f>
        <v>100</v>
      </c>
      <c r="G42" s="1906" t="s">
        <v>3418</v>
      </c>
      <c r="H42" s="386">
        <f>SUMIF(122:122,G42,123:123)-SUMIF(122:122,C42,123:123)+100</f>
        <v>100</v>
      </c>
      <c r="I42" s="1907" t="s">
        <v>3418</v>
      </c>
      <c r="J42" s="386">
        <f>SUMIF(122:122,I42,123:123)-SUMIF(122:122,C42,123:123)+100</f>
        <v>100</v>
      </c>
      <c r="K42" s="377"/>
      <c r="L42" s="2721"/>
      <c r="M42" s="2715"/>
      <c r="N42" s="2715"/>
      <c r="O42" s="2715"/>
      <c r="P42" s="3736"/>
      <c r="Q42" s="1352" t="str">
        <f t="shared" si="11"/>
        <v>内部装修</v>
      </c>
      <c r="R42" s="705" t="s">
        <v>18</v>
      </c>
      <c r="S42" s="706">
        <f t="shared" si="12"/>
        <v>100</v>
      </c>
      <c r="T42" s="705" t="s">
        <v>18</v>
      </c>
      <c r="U42" s="706">
        <f t="shared" si="13"/>
        <v>100</v>
      </c>
      <c r="V42" s="705" t="s">
        <v>18</v>
      </c>
      <c r="W42" s="706">
        <f t="shared" si="14"/>
        <v>100</v>
      </c>
      <c r="X42" s="1355"/>
      <c r="Y42" s="373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36"/>
      <c r="Q43" s="1352" t="str">
        <f t="shared" si="11"/>
        <v>内部装修维护情况</v>
      </c>
      <c r="R43" s="705" t="s">
        <v>18</v>
      </c>
      <c r="S43" s="706">
        <f t="shared" si="12"/>
        <v>100</v>
      </c>
      <c r="T43" s="705" t="s">
        <v>18</v>
      </c>
      <c r="U43" s="706">
        <f t="shared" si="13"/>
        <v>100</v>
      </c>
      <c r="V43" s="705" t="s">
        <v>18</v>
      </c>
      <c r="W43" s="706">
        <f t="shared" si="14"/>
        <v>100</v>
      </c>
      <c r="X43" s="1355"/>
      <c r="Y43" s="373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36"/>
      <c r="Q44" s="1343">
        <f t="shared" si="11"/>
        <v>111</v>
      </c>
      <c r="R44" s="701" t="s">
        <v>18</v>
      </c>
      <c r="S44" s="702">
        <f t="shared" si="12"/>
        <v>100</v>
      </c>
      <c r="T44" s="701" t="s">
        <v>18</v>
      </c>
      <c r="U44" s="702">
        <f t="shared" si="13"/>
        <v>100</v>
      </c>
      <c r="V44" s="701" t="s">
        <v>18</v>
      </c>
      <c r="W44" s="702">
        <f t="shared" si="14"/>
        <v>100</v>
      </c>
      <c r="X44" s="703"/>
      <c r="Y44" s="373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6"/>
      <c r="Q45" s="1352">
        <f t="shared" si="11"/>
        <v>111</v>
      </c>
      <c r="R45" s="705" t="s">
        <v>18</v>
      </c>
      <c r="S45" s="706">
        <f t="shared" si="12"/>
        <v>100</v>
      </c>
      <c r="T45" s="705" t="s">
        <v>18</v>
      </c>
      <c r="U45" s="706">
        <f t="shared" si="13"/>
        <v>100</v>
      </c>
      <c r="V45" s="705" t="s">
        <v>18</v>
      </c>
      <c r="W45" s="706">
        <f t="shared" si="14"/>
        <v>100</v>
      </c>
      <c r="X45" s="1355"/>
      <c r="Y45" s="373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37"/>
      <c r="Q46" s="1352">
        <f t="shared" si="11"/>
        <v>111</v>
      </c>
      <c r="R46" s="705" t="s">
        <v>17</v>
      </c>
      <c r="S46" s="706">
        <f t="shared" si="12"/>
        <v>100</v>
      </c>
      <c r="T46" s="705" t="s">
        <v>17</v>
      </c>
      <c r="U46" s="706">
        <f t="shared" si="13"/>
        <v>100</v>
      </c>
      <c r="V46" s="705" t="s">
        <v>17</v>
      </c>
      <c r="W46" s="706">
        <f t="shared" si="14"/>
        <v>100</v>
      </c>
      <c r="X46" s="1355"/>
      <c r="Y46" s="3739"/>
      <c r="Z46" s="1356">
        <f t="shared" si="18"/>
        <v>111</v>
      </c>
      <c r="AA46" s="1353">
        <f t="shared" si="15"/>
        <v>1</v>
      </c>
      <c r="AB46" s="1353">
        <f t="shared" si="16"/>
        <v>1</v>
      </c>
      <c r="AC46" s="1353">
        <f t="shared" si="17"/>
        <v>1</v>
      </c>
    </row>
    <row r="47" spans="1:29" ht="15">
      <c r="A47" s="430" t="s">
        <v>1708</v>
      </c>
      <c r="B47" s="431"/>
      <c r="C47" s="1154" t="s">
        <v>16</v>
      </c>
      <c r="D47" s="1155"/>
      <c r="E47" s="1156">
        <f>ROUND(Sheet1!F176,0)</f>
        <v>63170</v>
      </c>
      <c r="F47" s="1157"/>
      <c r="G47" s="1158">
        <f>ROUND(Sheet1!F177,)</f>
        <v>66616</v>
      </c>
      <c r="H47" s="1159"/>
      <c r="I47" s="1156">
        <v>61524</v>
      </c>
      <c r="J47" s="1159"/>
      <c r="K47" s="1914"/>
      <c r="L47" s="2723"/>
      <c r="M47" s="2724"/>
      <c r="N47" s="2715"/>
      <c r="O47" s="2724"/>
      <c r="P47" s="3731" t="str">
        <f>A47</f>
        <v>成交单价（元/平方米）</v>
      </c>
      <c r="Q47" s="3731"/>
      <c r="R47" s="3732">
        <f>E47</f>
        <v>63170</v>
      </c>
      <c r="S47" s="3732"/>
      <c r="T47" s="3732">
        <f>G47</f>
        <v>66616</v>
      </c>
      <c r="U47" s="3732"/>
      <c r="V47" s="3732">
        <f>I47</f>
        <v>61524</v>
      </c>
      <c r="W47" s="3732"/>
      <c r="X47" s="690"/>
      <c r="Y47" s="712"/>
      <c r="Z47" s="690"/>
      <c r="AA47" s="690"/>
      <c r="AB47" s="690"/>
      <c r="AC47" s="690"/>
    </row>
    <row r="48" spans="1:29" ht="15.75" thickBot="1">
      <c r="A48" s="437" t="s">
        <v>1709</v>
      </c>
      <c r="B48" s="438"/>
      <c r="C48" s="1160">
        <f>R49</f>
        <v>64213</v>
      </c>
      <c r="D48" s="2317" t="s">
        <v>2138</v>
      </c>
      <c r="E48" s="1161">
        <f>R48</f>
        <v>65828</v>
      </c>
      <c r="F48" s="2318"/>
      <c r="G48" s="1160">
        <f>T48</f>
        <v>64345</v>
      </c>
      <c r="H48" s="2318"/>
      <c r="I48" s="1161">
        <f>V48</f>
        <v>62467</v>
      </c>
      <c r="J48" s="2318"/>
      <c r="K48" s="2319">
        <f>F48+H48+J48</f>
        <v>0</v>
      </c>
      <c r="L48" s="2723"/>
      <c r="M48" s="2724"/>
      <c r="N48" s="2724"/>
      <c r="O48" s="2724"/>
      <c r="P48" s="3731" t="str">
        <f>A48</f>
        <v>比较价值（元/平方米）</v>
      </c>
      <c r="Q48" s="3731"/>
      <c r="R48" s="3732">
        <f>IF(F1="售价",ROUND(PRODUCT(R47,AA7:AA46),0),ROUND(PRODUCT(R47,AA7:AA46),1))</f>
        <v>65828</v>
      </c>
      <c r="S48" s="3732"/>
      <c r="T48" s="3732">
        <f>IF(F1="售价",ROUND(PRODUCT(T47,AB7:AB46),0),ROUND(PRODUCT(T47,AB7:AB46),1))</f>
        <v>64345</v>
      </c>
      <c r="U48" s="3732"/>
      <c r="V48" s="3732">
        <f>IF(F1="售价",ROUND(PRODUCT(V47,AC7:AC46),0),ROUND(PRODUCT(V47,AC7:AC46),1))</f>
        <v>62467</v>
      </c>
      <c r="W48" s="3732"/>
      <c r="X48" s="690"/>
      <c r="Y48" s="690"/>
      <c r="Z48" s="690"/>
      <c r="AA48" s="690"/>
      <c r="AB48" s="690"/>
      <c r="AC48" s="690"/>
    </row>
    <row r="49" spans="1:29" ht="15.75" thickBot="1">
      <c r="A49" s="441" t="s">
        <v>1710</v>
      </c>
      <c r="B49" s="442"/>
      <c r="C49" s="1162">
        <f>R49</f>
        <v>64213</v>
      </c>
      <c r="D49" s="1163"/>
      <c r="E49" s="1163"/>
      <c r="F49" s="1163"/>
      <c r="G49" s="1163"/>
      <c r="H49" s="1163"/>
      <c r="I49" s="1163"/>
      <c r="J49" s="1163"/>
      <c r="K49" s="1915"/>
      <c r="L49" s="2723"/>
      <c r="M49" s="2724"/>
      <c r="N49" s="2724"/>
      <c r="O49" s="2724"/>
      <c r="P49" s="3728" t="str">
        <f>A49</f>
        <v>估价对象XX用房的比较价值（楼面单价，元/平方米）</v>
      </c>
      <c r="Q49" s="3729"/>
      <c r="R49" s="3730">
        <f>IF(F1="售价",ROUND(IF(D48="简单平均",AVERAGE(R48:V48),R48*F48+T48*H48+V48*J48),0),ROUND(IF(D48="简单平均",AVERAGE(R48:V48),R48*F48+T48*H48+V48*J48),1))</f>
        <v>64213</v>
      </c>
      <c r="S49" s="3730"/>
      <c r="T49" s="3730"/>
      <c r="U49" s="3730"/>
      <c r="V49" s="3730"/>
      <c r="W49" s="373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4.2076935254076409E-2</v>
      </c>
      <c r="F52" s="449" t="str">
        <f>IF(OR(E52&gt;=0.3,E52&lt;=-0.3),"超过30%","")</f>
        <v/>
      </c>
      <c r="G52" s="448">
        <f>IF(G47&lt;G48,G48/G47-1,G47/G48-1)</f>
        <v>3.529411764705892E-2</v>
      </c>
      <c r="H52" s="449" t="str">
        <f>IF(OR(G52&gt;=0.3,G52&lt;=-0.3),"超过30%","")</f>
        <v/>
      </c>
      <c r="I52" s="448">
        <f>IF(I47&lt;I48,I48/I47-1,I47/I48-1)</f>
        <v>1.532735192770307E-2</v>
      </c>
      <c r="J52" s="449" t="str">
        <f>IF(OR(I52&gt;=0.3,I52&lt;=-0.3),"超过30%","")</f>
        <v/>
      </c>
      <c r="K52" s="2729"/>
      <c r="L52" s="2725"/>
      <c r="M52" s="2724"/>
      <c r="N52" s="2724"/>
      <c r="O52" s="2724"/>
    </row>
    <row r="53" spans="1:29" ht="13.5" customHeight="1">
      <c r="A53" s="2724"/>
      <c r="B53" s="2724"/>
      <c r="C53" s="446" t="s">
        <v>1712</v>
      </c>
      <c r="D53" s="450"/>
      <c r="E53" s="448">
        <f>IF(E48&lt;G48,G48/E48-1,E48/G48-1)</f>
        <v>2.3047633848783944E-2</v>
      </c>
      <c r="F53" s="449" t="str">
        <f>IF(OR(E53&gt;=0.2,E53&lt;=-0.2),"超过20%","")</f>
        <v/>
      </c>
      <c r="G53" s="448">
        <f>IF(G48&lt;I48,I48/G48-1,G48/I48-1)</f>
        <v>3.0063873725326928E-2</v>
      </c>
      <c r="H53" s="449" t="str">
        <f>IF(OR(G53&gt;=0.2,G53&lt;=-0.2),"超过20%","")</f>
        <v/>
      </c>
      <c r="I53" s="448">
        <f>IF(I48&lt;E48,E48/I48-1,I48/E48-1)</f>
        <v>5.3804408727808228E-2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5.455121101788829E-2</v>
      </c>
      <c r="F54" s="449" t="str">
        <f>IF(OR(E54&gt;=0.3,E54&lt;=-0.3),"超过30%","")</f>
        <v/>
      </c>
      <c r="G54" s="448">
        <f>IF(G47&lt;I47,I47/G47-1,G47/I47-1)</f>
        <v>8.276444964566676E-2</v>
      </c>
      <c r="H54" s="449" t="str">
        <f>IF(OR(G54&gt;=0.3,G54&lt;=-0.3),"超过30%","")</f>
        <v/>
      </c>
      <c r="I54" s="448">
        <f>IF(I47&lt;E47,E47/I47-1,I47/E47-1)</f>
        <v>2.6753787139977891E-2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f>C59</f>
        <v>100</v>
      </c>
      <c r="E59" s="461">
        <f>C59</f>
        <v>100</v>
      </c>
      <c r="F59" s="461">
        <v>100.5</v>
      </c>
      <c r="G59" s="461">
        <f>F59</f>
        <v>100.5</v>
      </c>
      <c r="H59" s="461">
        <f>F59</f>
        <v>100.5</v>
      </c>
      <c r="I59" s="461">
        <v>100</v>
      </c>
      <c r="J59" s="461">
        <f>I59</f>
        <v>100</v>
      </c>
      <c r="K59" s="461">
        <f>I59</f>
        <v>100</v>
      </c>
      <c r="L59" s="461">
        <v>100</v>
      </c>
      <c r="M59" s="462">
        <f>L59</f>
        <v>100</v>
      </c>
      <c r="N59" s="461">
        <f>L59</f>
        <v>100</v>
      </c>
      <c r="O59" s="462">
        <f>L59</f>
        <v>100</v>
      </c>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3458" t="s">
        <v>3426</v>
      </c>
      <c r="E61" s="472"/>
      <c r="F61" s="472"/>
      <c r="G61" s="472"/>
      <c r="H61" s="472"/>
      <c r="I61" s="472"/>
      <c r="J61" s="472"/>
      <c r="K61" s="472"/>
      <c r="L61" s="473"/>
      <c r="M61" s="474"/>
      <c r="N61" s="932"/>
      <c r="O61" s="932"/>
      <c r="P61" s="1921"/>
      <c r="Q61" s="453"/>
    </row>
    <row r="62" spans="1:29" s="108" customFormat="1" ht="15.75" thickBot="1">
      <c r="A62" s="470"/>
      <c r="B62" s="459"/>
      <c r="C62" s="460">
        <v>100</v>
      </c>
      <c r="D62" s="461">
        <v>90</v>
      </c>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1（含）-5</v>
      </c>
      <c r="D67" s="496" t="str">
        <f t="shared" ref="D67:L67" si="20">D68&amp;"（含）"&amp;"-"&amp;E68</f>
        <v>5（含）-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5</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2" t="s">
        <v>3455</v>
      </c>
      <c r="D88" s="3452"/>
      <c r="E88" s="3452" t="s">
        <v>3406</v>
      </c>
      <c r="F88" s="3453" t="s">
        <v>3408</v>
      </c>
      <c r="G88" s="3452"/>
      <c r="H88" s="3452" t="s">
        <v>3409</v>
      </c>
      <c r="I88" s="503"/>
      <c r="J88" s="3452" t="s">
        <v>3456</v>
      </c>
      <c r="K88" s="503"/>
      <c r="L88" s="503"/>
      <c r="M88" s="530"/>
      <c r="N88" s="932"/>
      <c r="O88" s="932"/>
      <c r="P88" s="1922"/>
      <c r="Q88" s="453"/>
    </row>
    <row r="89" spans="1:17" s="108" customFormat="1" ht="15.75"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29.25" thickTop="1">
      <c r="A90" s="502"/>
      <c r="B90" s="487" t="str">
        <f>B27</f>
        <v>楼层</v>
      </c>
      <c r="C90" s="503" t="str">
        <f>C27</f>
        <v>19/25（高层）</v>
      </c>
      <c r="D90" s="3455" t="str">
        <f>E27</f>
        <v>低层</v>
      </c>
      <c r="E90" s="3455" t="str">
        <f>G27</f>
        <v>高层</v>
      </c>
      <c r="F90" s="3455" t="str">
        <f>I27</f>
        <v>10/25（中层）</v>
      </c>
      <c r="G90" s="503"/>
      <c r="H90" s="504"/>
      <c r="I90" s="504"/>
      <c r="J90" s="504"/>
      <c r="K90" s="504"/>
      <c r="L90" s="505"/>
      <c r="M90" s="506"/>
      <c r="N90" s="935"/>
      <c r="O90" s="935"/>
      <c r="P90" s="1923"/>
      <c r="Q90" s="508"/>
    </row>
    <row r="91" spans="1:17" s="422" customFormat="1" ht="15.75" thickBot="1">
      <c r="A91" s="502"/>
      <c r="B91" s="492"/>
      <c r="C91" s="509">
        <v>100</v>
      </c>
      <c r="D91" s="509">
        <v>96</v>
      </c>
      <c r="E91" s="509">
        <v>100</v>
      </c>
      <c r="F91" s="509">
        <v>98</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6" t="s">
        <v>3414</v>
      </c>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1738</v>
      </c>
      <c r="C105" s="3452" t="s">
        <v>3415</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7" t="s">
        <v>3417</v>
      </c>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2" t="s">
        <v>3419</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2" t="s">
        <v>3421</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2" t="s">
        <v>3423</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7" t="s">
        <v>3425</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2" t="s">
        <v>3419</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31:P179"/>
  <sheetViews>
    <sheetView workbookViewId="0">
      <selection activeCell="H180" sqref="H180"/>
    </sheetView>
  </sheetViews>
  <sheetFormatPr defaultRowHeight="13.5"/>
  <cols>
    <col min="4" max="4" width="12.5" customWidth="1"/>
    <col min="10" max="10" width="13.5" bestFit="1" customWidth="1"/>
  </cols>
  <sheetData>
    <row r="31" spans="15:15">
      <c r="O31" s="3449" t="s">
        <v>3378</v>
      </c>
    </row>
    <row r="95" spans="16:16">
      <c r="P95" s="3449" t="s">
        <v>3379</v>
      </c>
    </row>
    <row r="161" spans="1:10" ht="14.25" thickBot="1"/>
    <row r="162" spans="1:10">
      <c r="A162" s="3742" t="s">
        <v>3427</v>
      </c>
      <c r="B162" s="3742" t="s">
        <v>3428</v>
      </c>
      <c r="C162" s="3742" t="s">
        <v>3429</v>
      </c>
      <c r="D162" s="3742" t="s">
        <v>672</v>
      </c>
      <c r="E162" s="3742" t="s">
        <v>3430</v>
      </c>
      <c r="F162" s="3459" t="s">
        <v>3431</v>
      </c>
      <c r="G162" s="3742" t="s">
        <v>3433</v>
      </c>
      <c r="H162" s="3742" t="s">
        <v>3434</v>
      </c>
      <c r="J162" s="3466">
        <v>44782</v>
      </c>
    </row>
    <row r="163" spans="1:10" ht="14.25" thickBot="1">
      <c r="A163" s="3743"/>
      <c r="B163" s="3743"/>
      <c r="C163" s="3743"/>
      <c r="D163" s="3743"/>
      <c r="E163" s="3743"/>
      <c r="F163" s="3460" t="s">
        <v>3432</v>
      </c>
      <c r="G163" s="3743"/>
      <c r="H163" s="3743"/>
    </row>
    <row r="164" spans="1:10" ht="14.25" thickBot="1">
      <c r="A164" s="3461">
        <v>1</v>
      </c>
      <c r="B164" s="3460">
        <v>-2</v>
      </c>
      <c r="C164" s="3460">
        <v>-2</v>
      </c>
      <c r="D164" s="3460" t="s">
        <v>3435</v>
      </c>
      <c r="E164" s="3460" t="s">
        <v>3401</v>
      </c>
      <c r="F164" s="3460">
        <v>391.18</v>
      </c>
      <c r="G164" s="3462">
        <v>6296</v>
      </c>
      <c r="H164" s="3463">
        <v>246.29</v>
      </c>
    </row>
    <row r="165" spans="1:10" ht="14.25" thickBot="1">
      <c r="A165" s="3461">
        <v>2</v>
      </c>
      <c r="B165" s="3460">
        <v>-31</v>
      </c>
      <c r="C165" s="3460">
        <v>-3</v>
      </c>
      <c r="D165" s="3460" t="s">
        <v>3435</v>
      </c>
      <c r="E165" s="3460" t="s">
        <v>3401</v>
      </c>
      <c r="F165" s="3460">
        <v>503.72</v>
      </c>
      <c r="G165" s="3462">
        <v>6173</v>
      </c>
      <c r="H165" s="3463">
        <v>310.95</v>
      </c>
    </row>
    <row r="166" spans="1:10" ht="14.25" thickBot="1">
      <c r="A166" s="3461">
        <v>3</v>
      </c>
      <c r="B166" s="3460">
        <v>-32</v>
      </c>
      <c r="C166" s="3460">
        <v>-3</v>
      </c>
      <c r="D166" s="3460" t="s">
        <v>3435</v>
      </c>
      <c r="E166" s="3460" t="s">
        <v>3401</v>
      </c>
      <c r="F166" s="3460">
        <v>584.24</v>
      </c>
      <c r="G166" s="3462">
        <v>6173</v>
      </c>
      <c r="H166" s="3463">
        <v>360.65</v>
      </c>
    </row>
    <row r="167" spans="1:10" ht="14.25" thickBot="1">
      <c r="A167" s="3461">
        <v>4</v>
      </c>
      <c r="B167" s="3460">
        <v>915</v>
      </c>
      <c r="C167" s="3460">
        <v>9</v>
      </c>
      <c r="D167" s="3460" t="s">
        <v>3385</v>
      </c>
      <c r="E167" s="3460" t="s">
        <v>3401</v>
      </c>
      <c r="F167" s="3460">
        <v>75.58</v>
      </c>
      <c r="G167" s="3462">
        <v>56835</v>
      </c>
      <c r="H167" s="3463">
        <v>429.56</v>
      </c>
    </row>
    <row r="168" spans="1:10" ht="14.25" thickBot="1">
      <c r="A168" s="3461">
        <v>5</v>
      </c>
      <c r="B168" s="3460">
        <v>1806</v>
      </c>
      <c r="C168" s="3460">
        <v>16</v>
      </c>
      <c r="D168" s="3460" t="s">
        <v>3385</v>
      </c>
      <c r="E168" s="3460" t="s">
        <v>3401</v>
      </c>
      <c r="F168" s="3460">
        <v>76.930000000000007</v>
      </c>
      <c r="G168" s="3462">
        <v>58907</v>
      </c>
      <c r="H168" s="3463">
        <v>453.17</v>
      </c>
    </row>
    <row r="169" spans="1:10" ht="14.25" thickBot="1">
      <c r="A169" s="3461">
        <v>6</v>
      </c>
      <c r="B169" s="3460">
        <v>1909</v>
      </c>
      <c r="C169" s="3460">
        <v>17</v>
      </c>
      <c r="D169" s="3460" t="s">
        <v>3385</v>
      </c>
      <c r="E169" s="3460" t="s">
        <v>3401</v>
      </c>
      <c r="F169" s="3460">
        <v>75.58</v>
      </c>
      <c r="G169" s="3462">
        <v>59203</v>
      </c>
      <c r="H169" s="3463">
        <v>447.46</v>
      </c>
    </row>
    <row r="170" spans="1:10" ht="14.25" thickBot="1">
      <c r="A170" s="3461">
        <v>7</v>
      </c>
      <c r="B170" s="3460">
        <v>1</v>
      </c>
      <c r="C170" s="3460">
        <v>22</v>
      </c>
      <c r="D170" s="3460" t="s">
        <v>3385</v>
      </c>
      <c r="E170" s="3460" t="s">
        <v>3401</v>
      </c>
      <c r="F170" s="3460">
        <v>120.84</v>
      </c>
      <c r="G170" s="3462">
        <v>60683</v>
      </c>
      <c r="H170" s="3463">
        <v>733.29</v>
      </c>
    </row>
    <row r="171" spans="1:10" ht="14.25" thickBot="1">
      <c r="A171" s="3461">
        <v>8</v>
      </c>
      <c r="B171" s="3460">
        <v>2</v>
      </c>
      <c r="C171" s="3460">
        <v>22</v>
      </c>
      <c r="D171" s="3460" t="s">
        <v>3385</v>
      </c>
      <c r="E171" s="3460" t="s">
        <v>3401</v>
      </c>
      <c r="F171" s="3460">
        <v>24.43</v>
      </c>
      <c r="G171" s="3462">
        <v>60683</v>
      </c>
      <c r="H171" s="3463">
        <v>148.25</v>
      </c>
    </row>
    <row r="172" spans="1:10" ht="14.25" thickBot="1">
      <c r="A172" s="3461">
        <v>9</v>
      </c>
      <c r="B172" s="3460">
        <v>3</v>
      </c>
      <c r="C172" s="3460">
        <v>22</v>
      </c>
      <c r="D172" s="3460" t="s">
        <v>3385</v>
      </c>
      <c r="E172" s="3460" t="s">
        <v>3401</v>
      </c>
      <c r="F172" s="3460">
        <v>24.43</v>
      </c>
      <c r="G172" s="3462">
        <v>60683</v>
      </c>
      <c r="H172" s="3463">
        <v>148.25</v>
      </c>
    </row>
    <row r="173" spans="1:10" ht="14.25" thickBot="1">
      <c r="A173" s="3744" t="s">
        <v>3436</v>
      </c>
      <c r="B173" s="3745"/>
      <c r="C173" s="3464"/>
      <c r="D173" s="3464"/>
      <c r="E173" s="3464"/>
      <c r="F173" s="3464">
        <v>1876.93</v>
      </c>
      <c r="G173" s="3464"/>
      <c r="H173" s="3465">
        <v>3277.87</v>
      </c>
    </row>
    <row r="175" spans="1:10" ht="33">
      <c r="A175" s="3467" t="s">
        <v>3437</v>
      </c>
      <c r="B175" s="3467" t="s">
        <v>3438</v>
      </c>
      <c r="C175" s="3468" t="s">
        <v>3439</v>
      </c>
      <c r="D175" s="3467" t="s">
        <v>3440</v>
      </c>
      <c r="E175" s="3469" t="s">
        <v>3441</v>
      </c>
      <c r="F175" s="3470" t="s">
        <v>3442</v>
      </c>
      <c r="G175" s="3470" t="s">
        <v>3443</v>
      </c>
    </row>
    <row r="176" spans="1:10" ht="16.5">
      <c r="A176" s="3471">
        <v>1</v>
      </c>
      <c r="B176" s="3472" t="s">
        <v>3444</v>
      </c>
      <c r="C176" s="3473">
        <v>52.24</v>
      </c>
      <c r="D176" s="3474">
        <v>44920</v>
      </c>
      <c r="E176" s="3475">
        <v>330</v>
      </c>
      <c r="F176" s="3476">
        <f t="shared" ref="F176:F179" si="0">E176*10000/C176</f>
        <v>63169.984686064316</v>
      </c>
      <c r="G176" s="3477" t="s">
        <v>3445</v>
      </c>
      <c r="H176" s="3480" t="s">
        <v>3451</v>
      </c>
    </row>
    <row r="177" spans="1:8" ht="16.5">
      <c r="A177" s="3471">
        <v>2</v>
      </c>
      <c r="B177" s="3472" t="s">
        <v>3444</v>
      </c>
      <c r="C177" s="3473">
        <v>52.24</v>
      </c>
      <c r="D177" s="3474">
        <v>44856</v>
      </c>
      <c r="E177" s="3475">
        <v>348</v>
      </c>
      <c r="F177" s="3476">
        <f t="shared" si="0"/>
        <v>66615.620214395094</v>
      </c>
      <c r="G177" s="3477" t="s">
        <v>3446</v>
      </c>
      <c r="H177" s="3480" t="s">
        <v>3453</v>
      </c>
    </row>
    <row r="178" spans="1:8" ht="16.5">
      <c r="A178" s="3471">
        <v>3</v>
      </c>
      <c r="B178" s="3472" t="s">
        <v>3444</v>
      </c>
      <c r="C178" s="3473">
        <v>52.24</v>
      </c>
      <c r="D178" s="3474">
        <v>44845</v>
      </c>
      <c r="E178" s="3475">
        <v>354</v>
      </c>
      <c r="F178" s="3476">
        <f t="shared" si="0"/>
        <v>67764.165390505354</v>
      </c>
      <c r="G178" s="3477" t="s">
        <v>3447</v>
      </c>
      <c r="H178" s="3480" t="s">
        <v>3453</v>
      </c>
    </row>
    <row r="179" spans="1:8" ht="16.5">
      <c r="A179" s="3471">
        <v>4</v>
      </c>
      <c r="B179" s="3472" t="s">
        <v>3444</v>
      </c>
      <c r="C179" s="3473">
        <v>76.930000000000007</v>
      </c>
      <c r="D179" s="3474">
        <v>44652</v>
      </c>
      <c r="E179" s="3475">
        <v>456</v>
      </c>
      <c r="F179" s="3476">
        <f t="shared" si="0"/>
        <v>59274.665280124784</v>
      </c>
      <c r="G179" s="3477" t="s">
        <v>3445</v>
      </c>
      <c r="H179" s="3481" t="s">
        <v>3454</v>
      </c>
    </row>
  </sheetData>
  <mergeCells count="8">
    <mergeCell ref="H162:H163"/>
    <mergeCell ref="A173:B173"/>
    <mergeCell ref="A162:A163"/>
    <mergeCell ref="B162:B163"/>
    <mergeCell ref="C162:C163"/>
    <mergeCell ref="D162:D163"/>
    <mergeCell ref="E162:E163"/>
    <mergeCell ref="G162:G163"/>
  </mergeCells>
  <phoneticPr fontId="134" type="noConversion"/>
  <hyperlinks>
    <hyperlink ref="O31" r:id="rId1" xr:uid="{00000000-0004-0000-1A00-000000000000}"/>
    <hyperlink ref="P95" r:id="rId2" xr:uid="{00000000-0004-0000-1A00-000001000000}"/>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7BEF0-BDA8-43EE-9CF4-2F71D27F44E8}">
  <dimension ref="A1:N4"/>
  <sheetViews>
    <sheetView workbookViewId="0">
      <selection activeCell="G18" sqref="G18"/>
    </sheetView>
  </sheetViews>
  <sheetFormatPr defaultColWidth="11" defaultRowHeight="14.25"/>
  <cols>
    <col min="1" max="16384" width="11" style="3829"/>
  </cols>
  <sheetData>
    <row r="1" spans="1:14">
      <c r="A1" s="3828" t="s">
        <v>3458</v>
      </c>
      <c r="C1" s="3830">
        <v>45047.333831018521</v>
      </c>
      <c r="D1" s="3830">
        <v>45017.333831018521</v>
      </c>
      <c r="E1" s="3830">
        <v>44986.333831018521</v>
      </c>
      <c r="F1" s="3830">
        <v>44958.333831018521</v>
      </c>
      <c r="G1" s="3830">
        <v>44927.333831018521</v>
      </c>
      <c r="H1" s="3830">
        <v>44896.333831018521</v>
      </c>
      <c r="I1" s="3830">
        <v>44866.333831018521</v>
      </c>
      <c r="J1" s="3830">
        <v>44835.333831018521</v>
      </c>
      <c r="K1" s="3830">
        <v>44805.333831018521</v>
      </c>
      <c r="L1" s="3830">
        <v>44774.333831018521</v>
      </c>
      <c r="M1" s="3830">
        <v>44743.333831018521</v>
      </c>
      <c r="N1" s="3830">
        <v>44713.333831018521</v>
      </c>
    </row>
    <row r="2" spans="1:14">
      <c r="A2" s="3828"/>
      <c r="C2" s="3829" t="s">
        <v>3459</v>
      </c>
      <c r="D2" s="3829" t="s">
        <v>3459</v>
      </c>
      <c r="E2" s="3829" t="s">
        <v>3459</v>
      </c>
      <c r="F2" s="3829" t="s">
        <v>3459</v>
      </c>
      <c r="G2" s="3829" t="s">
        <v>3459</v>
      </c>
      <c r="H2" s="3829" t="s">
        <v>3459</v>
      </c>
      <c r="I2" s="3829" t="s">
        <v>3459</v>
      </c>
      <c r="J2" s="3829" t="s">
        <v>3459</v>
      </c>
      <c r="K2" s="3829" t="s">
        <v>3459</v>
      </c>
      <c r="L2" s="3829" t="s">
        <v>3459</v>
      </c>
      <c r="M2" s="3829" t="s">
        <v>3459</v>
      </c>
      <c r="N2" s="3829" t="s">
        <v>3459</v>
      </c>
    </row>
    <row r="3" spans="1:14">
      <c r="A3" s="3829" t="s">
        <v>3460</v>
      </c>
      <c r="B3" s="3829">
        <f>ROUND(AVERAGE(C3:N3),0)</f>
        <v>118</v>
      </c>
      <c r="C3" s="3829">
        <v>124.76</v>
      </c>
      <c r="D3" s="3829">
        <v>123.51</v>
      </c>
      <c r="E3" s="3829">
        <v>121.08</v>
      </c>
      <c r="F3" s="3829">
        <v>117.96</v>
      </c>
      <c r="G3" s="3829">
        <v>113.5</v>
      </c>
      <c r="H3" s="3829">
        <v>111.01</v>
      </c>
      <c r="I3" s="3829">
        <v>112.24</v>
      </c>
      <c r="J3" s="3829">
        <v>118.82</v>
      </c>
      <c r="K3" s="3829">
        <v>121.27</v>
      </c>
      <c r="L3" s="3829">
        <v>118.44</v>
      </c>
      <c r="M3" s="3829">
        <v>122.7</v>
      </c>
      <c r="N3" s="3829">
        <v>113.9</v>
      </c>
    </row>
    <row r="4" spans="1:14">
      <c r="B4" s="3831">
        <f>ROUND(B3/30,0)</f>
        <v>4</v>
      </c>
    </row>
  </sheetData>
  <mergeCells count="1">
    <mergeCell ref="A1:A2"/>
  </mergeCells>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76.930000000000007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4" t="s">
        <v>1770</v>
      </c>
      <c r="D4" s="3715"/>
      <c r="E4" s="3716" t="s">
        <v>1771</v>
      </c>
      <c r="F4" s="3717"/>
      <c r="G4" s="3714" t="s">
        <v>1772</v>
      </c>
      <c r="H4" s="3715"/>
      <c r="I4" s="3714" t="s">
        <v>1773</v>
      </c>
      <c r="J4" s="3715"/>
      <c r="K4" s="559" t="s">
        <v>1774</v>
      </c>
      <c r="L4" s="2714"/>
      <c r="M4" s="2715"/>
      <c r="N4" s="2715"/>
      <c r="O4" s="2715"/>
      <c r="P4" s="3718" t="s">
        <v>1775</v>
      </c>
      <c r="Q4" s="3719"/>
      <c r="R4" s="3699" t="s">
        <v>1771</v>
      </c>
      <c r="S4" s="3700"/>
      <c r="T4" s="3699" t="s">
        <v>1772</v>
      </c>
      <c r="U4" s="3700"/>
      <c r="V4" s="3726" t="s">
        <v>1773</v>
      </c>
      <c r="W4" s="3726"/>
      <c r="X4" s="1355"/>
      <c r="Y4" s="3699" t="s">
        <v>1775</v>
      </c>
      <c r="Z4" s="3700"/>
      <c r="AA4" s="3694" t="s">
        <v>1771</v>
      </c>
      <c r="AB4" s="3726" t="s">
        <v>1772</v>
      </c>
      <c r="AC4" s="3694" t="s">
        <v>1773</v>
      </c>
    </row>
    <row r="5" spans="1:29" ht="15">
      <c r="A5" s="358"/>
      <c r="B5" s="359"/>
      <c r="C5" s="3709" t="s">
        <v>1673</v>
      </c>
      <c r="D5" s="3706"/>
      <c r="E5" s="3703" t="s">
        <v>1674</v>
      </c>
      <c r="F5" s="3704"/>
      <c r="G5" s="3709" t="s">
        <v>1675</v>
      </c>
      <c r="H5" s="3706"/>
      <c r="I5" s="3709" t="s">
        <v>1676</v>
      </c>
      <c r="J5" s="3706"/>
      <c r="K5" s="559"/>
      <c r="L5" s="2714"/>
      <c r="M5" s="2715"/>
      <c r="N5" s="2715"/>
      <c r="O5" s="2715"/>
      <c r="P5" s="3720"/>
      <c r="Q5" s="3721"/>
      <c r="R5" s="3701"/>
      <c r="S5" s="3702"/>
      <c r="T5" s="3701"/>
      <c r="U5" s="3702"/>
      <c r="V5" s="3726"/>
      <c r="W5" s="3726"/>
      <c r="X5" s="1355"/>
      <c r="Y5" s="3701"/>
      <c r="Z5" s="3702"/>
      <c r="AA5" s="3695"/>
      <c r="AB5" s="3726"/>
      <c r="AC5" s="3695"/>
    </row>
    <row r="6" spans="1:29" ht="15.75" thickBot="1">
      <c r="A6" s="360"/>
      <c r="B6" s="361"/>
      <c r="C6" s="3707" t="s">
        <v>1677</v>
      </c>
      <c r="D6" s="3708"/>
      <c r="E6" s="3746" t="s">
        <v>1677</v>
      </c>
      <c r="F6" s="3711"/>
      <c r="G6" s="3707" t="s">
        <v>1677</v>
      </c>
      <c r="H6" s="3708"/>
      <c r="I6" s="3707" t="s">
        <v>1677</v>
      </c>
      <c r="J6" s="3708"/>
      <c r="K6" s="559" t="s">
        <v>1678</v>
      </c>
      <c r="L6" s="2714"/>
      <c r="M6" s="2715"/>
      <c r="N6" s="2715"/>
      <c r="O6" s="2715"/>
      <c r="P6" s="3722"/>
      <c r="Q6" s="3723"/>
      <c r="R6" s="3701"/>
      <c r="S6" s="3702"/>
      <c r="T6" s="3724"/>
      <c r="U6" s="3725"/>
      <c r="V6" s="3726"/>
      <c r="W6" s="3726"/>
      <c r="X6" s="1355"/>
      <c r="Y6" s="3724"/>
      <c r="Z6" s="3725"/>
      <c r="AA6" s="3696"/>
      <c r="AB6" s="3726"/>
      <c r="AC6" s="3696"/>
    </row>
    <row r="7" spans="1:29" s="108" customFormat="1" ht="15.75" thickBot="1">
      <c r="A7" s="362" t="s">
        <v>1679</v>
      </c>
      <c r="B7" s="363"/>
      <c r="C7" s="364">
        <f>'数据-取费表'!B2</f>
        <v>45096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7" t="s">
        <v>1680</v>
      </c>
      <c r="Q7" s="372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3"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3"/>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3"/>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3"/>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3"/>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3"/>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0" t="s">
        <v>1691</v>
      </c>
      <c r="Q15" s="1352" t="str">
        <f t="shared" si="6"/>
        <v>商业繁华度</v>
      </c>
      <c r="R15" s="705" t="s">
        <v>14</v>
      </c>
      <c r="S15" s="706">
        <f t="shared" si="0"/>
        <v>100</v>
      </c>
      <c r="T15" s="705" t="s">
        <v>14</v>
      </c>
      <c r="U15" s="706">
        <f t="shared" si="1"/>
        <v>100</v>
      </c>
      <c r="V15" s="705" t="s">
        <v>14</v>
      </c>
      <c r="W15" s="706">
        <f t="shared" si="2"/>
        <v>100</v>
      </c>
      <c r="X15" s="1355"/>
      <c r="Y15" s="373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41"/>
      <c r="Q16" s="1352"/>
      <c r="R16" s="705"/>
      <c r="S16" s="706"/>
      <c r="T16" s="705"/>
      <c r="U16" s="706"/>
      <c r="V16" s="705"/>
      <c r="W16" s="706"/>
      <c r="X16" s="1355"/>
      <c r="Y16" s="373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41"/>
      <c r="Q18" s="1352"/>
      <c r="R18" s="705"/>
      <c r="S18" s="706"/>
      <c r="T18" s="705"/>
      <c r="U18" s="706"/>
      <c r="V18" s="705"/>
      <c r="W18" s="706"/>
      <c r="X18" s="1355"/>
      <c r="Y18" s="373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41"/>
      <c r="Q20" s="1352"/>
      <c r="R20" s="705"/>
      <c r="S20" s="706"/>
      <c r="T20" s="705"/>
      <c r="U20" s="706"/>
      <c r="V20" s="705"/>
      <c r="W20" s="706"/>
      <c r="X20" s="1355"/>
      <c r="Y20" s="373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41"/>
      <c r="Q22" s="1352"/>
      <c r="R22" s="705"/>
      <c r="S22" s="706"/>
      <c r="T22" s="705"/>
      <c r="U22" s="706"/>
      <c r="V22" s="705"/>
      <c r="W22" s="706"/>
      <c r="X22" s="1355"/>
      <c r="Y22" s="373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1"/>
      <c r="Q23" s="1352" t="str">
        <f>B23</f>
        <v>自然及人文环境</v>
      </c>
      <c r="R23" s="705" t="s">
        <v>14</v>
      </c>
      <c r="S23" s="706">
        <f>F23</f>
        <v>100</v>
      </c>
      <c r="T23" s="705" t="s">
        <v>14</v>
      </c>
      <c r="U23" s="706">
        <f>H23</f>
        <v>100</v>
      </c>
      <c r="V23" s="705" t="s">
        <v>14</v>
      </c>
      <c r="W23" s="706">
        <f>J23</f>
        <v>100</v>
      </c>
      <c r="X23" s="1355"/>
      <c r="Y23" s="373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41"/>
      <c r="Q24" s="1352"/>
      <c r="R24" s="705"/>
      <c r="S24" s="706"/>
      <c r="T24" s="705"/>
      <c r="U24" s="706"/>
      <c r="V24" s="705"/>
      <c r="W24" s="706"/>
      <c r="X24" s="1355"/>
      <c r="Y24" s="373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1"/>
      <c r="Q25" s="1352" t="str">
        <f t="shared" ref="Q25:Q46" si="11">B25</f>
        <v>临街状况</v>
      </c>
      <c r="R25" s="705" t="s">
        <v>14</v>
      </c>
      <c r="S25" s="706">
        <f>F25</f>
        <v>100</v>
      </c>
      <c r="T25" s="705" t="s">
        <v>14</v>
      </c>
      <c r="U25" s="706">
        <f>H25</f>
        <v>100</v>
      </c>
      <c r="V25" s="705" t="s">
        <v>14</v>
      </c>
      <c r="W25" s="706">
        <f>J25</f>
        <v>100</v>
      </c>
      <c r="X25" s="1355"/>
      <c r="Y25" s="373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1"/>
      <c r="Q26" s="1352" t="str">
        <f t="shared" si="11"/>
        <v>平面位置/可视性</v>
      </c>
      <c r="R26" s="705" t="s">
        <v>14</v>
      </c>
      <c r="S26" s="706">
        <f>F26</f>
        <v>100</v>
      </c>
      <c r="T26" s="705" t="s">
        <v>14</v>
      </c>
      <c r="U26" s="706">
        <f>H26</f>
        <v>100</v>
      </c>
      <c r="V26" s="705" t="s">
        <v>14</v>
      </c>
      <c r="W26" s="706">
        <f>J26</f>
        <v>100</v>
      </c>
      <c r="X26" s="1355"/>
      <c r="Y26" s="373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41"/>
      <c r="Q27" s="1343" t="str">
        <f t="shared" si="11"/>
        <v>人流量</v>
      </c>
      <c r="R27" s="701" t="s">
        <v>14</v>
      </c>
      <c r="S27" s="702">
        <f>F27</f>
        <v>100</v>
      </c>
      <c r="T27" s="701" t="s">
        <v>14</v>
      </c>
      <c r="U27" s="702">
        <f>H27</f>
        <v>100</v>
      </c>
      <c r="V27" s="701" t="s">
        <v>14</v>
      </c>
      <c r="W27" s="702">
        <f>J27</f>
        <v>100</v>
      </c>
      <c r="X27" s="703"/>
      <c r="Y27" s="373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1"/>
      <c r="Q29" s="1352">
        <f t="shared" si="11"/>
        <v>111</v>
      </c>
      <c r="R29" s="705" t="s">
        <v>14</v>
      </c>
      <c r="S29" s="706">
        <f t="shared" si="12"/>
        <v>100</v>
      </c>
      <c r="T29" s="705" t="s">
        <v>14</v>
      </c>
      <c r="U29" s="706">
        <f t="shared" si="13"/>
        <v>100</v>
      </c>
      <c r="V29" s="705" t="s">
        <v>14</v>
      </c>
      <c r="W29" s="706">
        <f t="shared" si="14"/>
        <v>100</v>
      </c>
      <c r="X29" s="1355"/>
      <c r="Y29" s="373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5" t="s">
        <v>1696</v>
      </c>
      <c r="Q32" s="1352" t="str">
        <f t="shared" si="11"/>
        <v>商业类型</v>
      </c>
      <c r="R32" s="705" t="s">
        <v>14</v>
      </c>
      <c r="S32" s="706">
        <f t="shared" si="12"/>
        <v>100</v>
      </c>
      <c r="T32" s="705" t="s">
        <v>14</v>
      </c>
      <c r="U32" s="706">
        <f t="shared" si="13"/>
        <v>100</v>
      </c>
      <c r="V32" s="705" t="s">
        <v>14</v>
      </c>
      <c r="W32" s="706">
        <f t="shared" si="14"/>
        <v>100</v>
      </c>
      <c r="X32" s="1355"/>
      <c r="Y32" s="373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6"/>
      <c r="Q33" s="707" t="str">
        <f t="shared" si="11"/>
        <v>项目建筑规模</v>
      </c>
      <c r="R33" s="708" t="s">
        <v>14</v>
      </c>
      <c r="S33" s="709" t="e">
        <f t="shared" si="12"/>
        <v>#N/A</v>
      </c>
      <c r="T33" s="708" t="s">
        <v>14</v>
      </c>
      <c r="U33" s="709" t="e">
        <f t="shared" si="13"/>
        <v>#N/A</v>
      </c>
      <c r="V33" s="708" t="s">
        <v>14</v>
      </c>
      <c r="W33" s="709" t="e">
        <f t="shared" si="14"/>
        <v>#N/A</v>
      </c>
      <c r="X33" s="710"/>
      <c r="Y33" s="373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36"/>
      <c r="Q34" s="1352" t="str">
        <f t="shared" si="11"/>
        <v>建筑结构</v>
      </c>
      <c r="R34" s="705" t="s">
        <v>14</v>
      </c>
      <c r="S34" s="706">
        <f t="shared" si="12"/>
        <v>100</v>
      </c>
      <c r="T34" s="705" t="s">
        <v>14</v>
      </c>
      <c r="U34" s="706">
        <f t="shared" si="13"/>
        <v>100</v>
      </c>
      <c r="V34" s="705" t="s">
        <v>14</v>
      </c>
      <c r="W34" s="706">
        <f t="shared" si="14"/>
        <v>100</v>
      </c>
      <c r="X34" s="1355"/>
      <c r="Y34" s="373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36"/>
      <c r="Q35" s="1352" t="str">
        <f t="shared" si="11"/>
        <v>公共部分装修</v>
      </c>
      <c r="R35" s="705" t="s">
        <v>14</v>
      </c>
      <c r="S35" s="706">
        <f t="shared" si="12"/>
        <v>100</v>
      </c>
      <c r="T35" s="705" t="s">
        <v>14</v>
      </c>
      <c r="U35" s="706">
        <f t="shared" si="13"/>
        <v>100</v>
      </c>
      <c r="V35" s="705" t="s">
        <v>14</v>
      </c>
      <c r="W35" s="706">
        <f t="shared" si="14"/>
        <v>100</v>
      </c>
      <c r="X35" s="1355"/>
      <c r="Y35" s="373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6"/>
      <c r="Q36" s="1352" t="str">
        <f t="shared" si="11"/>
        <v>成新度</v>
      </c>
      <c r="R36" s="705" t="s">
        <v>14</v>
      </c>
      <c r="S36" s="706" t="e">
        <f t="shared" si="12"/>
        <v>#N/A</v>
      </c>
      <c r="T36" s="705" t="s">
        <v>14</v>
      </c>
      <c r="U36" s="706" t="e">
        <f t="shared" si="13"/>
        <v>#N/A</v>
      </c>
      <c r="V36" s="705" t="s">
        <v>14</v>
      </c>
      <c r="W36" s="706" t="e">
        <f t="shared" si="14"/>
        <v>#N/A</v>
      </c>
      <c r="X36" s="1355"/>
      <c r="Y36" s="373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36"/>
      <c r="Q37" s="1343" t="str">
        <f t="shared" si="11"/>
        <v>市政基础设施</v>
      </c>
      <c r="R37" s="701" t="s">
        <v>14</v>
      </c>
      <c r="S37" s="702">
        <f t="shared" si="12"/>
        <v>100</v>
      </c>
      <c r="T37" s="701" t="s">
        <v>14</v>
      </c>
      <c r="U37" s="702">
        <f t="shared" si="13"/>
        <v>100</v>
      </c>
      <c r="V37" s="701" t="s">
        <v>14</v>
      </c>
      <c r="W37" s="702">
        <f t="shared" si="14"/>
        <v>100</v>
      </c>
      <c r="X37" s="703"/>
      <c r="Y37" s="373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6" t="s">
        <v>1696</v>
      </c>
      <c r="Q38" s="1352" t="str">
        <f t="shared" si="11"/>
        <v>业态</v>
      </c>
      <c r="R38" s="705" t="s">
        <v>14</v>
      </c>
      <c r="S38" s="706">
        <f t="shared" si="12"/>
        <v>100</v>
      </c>
      <c r="T38" s="705" t="s">
        <v>14</v>
      </c>
      <c r="U38" s="706">
        <f t="shared" si="13"/>
        <v>100</v>
      </c>
      <c r="V38" s="705" t="s">
        <v>14</v>
      </c>
      <c r="W38" s="706">
        <f t="shared" si="14"/>
        <v>100</v>
      </c>
      <c r="X38" s="1355"/>
      <c r="Y38" s="373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6"/>
      <c r="Q39" s="1352" t="str">
        <f t="shared" si="11"/>
        <v>层高</v>
      </c>
      <c r="R39" s="705" t="s">
        <v>14</v>
      </c>
      <c r="S39" s="706">
        <f t="shared" si="12"/>
        <v>100</v>
      </c>
      <c r="T39" s="705" t="s">
        <v>14</v>
      </c>
      <c r="U39" s="706">
        <f t="shared" si="13"/>
        <v>100</v>
      </c>
      <c r="V39" s="705" t="s">
        <v>14</v>
      </c>
      <c r="W39" s="706">
        <f t="shared" si="14"/>
        <v>100</v>
      </c>
      <c r="X39" s="1355"/>
      <c r="Y39" s="373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6"/>
      <c r="Q40" s="1352" t="str">
        <f t="shared" si="11"/>
        <v>单套建筑面积</v>
      </c>
      <c r="R40" s="705" t="s">
        <v>14</v>
      </c>
      <c r="S40" s="706">
        <f t="shared" si="12"/>
        <v>100</v>
      </c>
      <c r="T40" s="705" t="s">
        <v>14</v>
      </c>
      <c r="U40" s="706">
        <f t="shared" si="13"/>
        <v>100</v>
      </c>
      <c r="V40" s="705" t="s">
        <v>14</v>
      </c>
      <c r="W40" s="706">
        <f t="shared" si="14"/>
        <v>100</v>
      </c>
      <c r="X40" s="1355"/>
      <c r="Y40" s="373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6"/>
      <c r="Q41" s="707" t="str">
        <f t="shared" si="11"/>
        <v>进深比</v>
      </c>
      <c r="R41" s="708" t="s">
        <v>14</v>
      </c>
      <c r="S41" s="709">
        <f t="shared" si="12"/>
        <v>100</v>
      </c>
      <c r="T41" s="708" t="s">
        <v>14</v>
      </c>
      <c r="U41" s="709">
        <f t="shared" si="13"/>
        <v>100</v>
      </c>
      <c r="V41" s="708" t="s">
        <v>14</v>
      </c>
      <c r="W41" s="709">
        <f t="shared" si="14"/>
        <v>100</v>
      </c>
      <c r="X41" s="710"/>
      <c r="Y41" s="373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36"/>
      <c r="Q42" s="1352" t="str">
        <f t="shared" si="11"/>
        <v>内部装修</v>
      </c>
      <c r="R42" s="705" t="s">
        <v>14</v>
      </c>
      <c r="S42" s="706">
        <f t="shared" si="12"/>
        <v>100</v>
      </c>
      <c r="T42" s="705" t="s">
        <v>14</v>
      </c>
      <c r="U42" s="706">
        <f t="shared" si="13"/>
        <v>100</v>
      </c>
      <c r="V42" s="705" t="s">
        <v>14</v>
      </c>
      <c r="W42" s="706">
        <f t="shared" si="14"/>
        <v>100</v>
      </c>
      <c r="X42" s="1355"/>
      <c r="Y42" s="373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6"/>
      <c r="Q43" s="1352" t="str">
        <f t="shared" si="11"/>
        <v>内部装修维护情况</v>
      </c>
      <c r="R43" s="705" t="s">
        <v>14</v>
      </c>
      <c r="S43" s="706">
        <f t="shared" si="12"/>
        <v>100</v>
      </c>
      <c r="T43" s="705" t="s">
        <v>14</v>
      </c>
      <c r="U43" s="706">
        <f t="shared" si="13"/>
        <v>100</v>
      </c>
      <c r="V43" s="705" t="s">
        <v>14</v>
      </c>
      <c r="W43" s="706">
        <f t="shared" si="14"/>
        <v>100</v>
      </c>
      <c r="X43" s="1355"/>
      <c r="Y43" s="373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6"/>
      <c r="Q44" s="1343">
        <f t="shared" si="11"/>
        <v>111</v>
      </c>
      <c r="R44" s="701" t="s">
        <v>14</v>
      </c>
      <c r="S44" s="702">
        <f t="shared" si="12"/>
        <v>100</v>
      </c>
      <c r="T44" s="701" t="s">
        <v>14</v>
      </c>
      <c r="U44" s="702">
        <f t="shared" si="13"/>
        <v>100</v>
      </c>
      <c r="V44" s="701" t="s">
        <v>14</v>
      </c>
      <c r="W44" s="702">
        <f t="shared" si="14"/>
        <v>100</v>
      </c>
      <c r="X44" s="703"/>
      <c r="Y44" s="373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6"/>
      <c r="Q45" s="1352">
        <f t="shared" si="11"/>
        <v>111</v>
      </c>
      <c r="R45" s="705" t="s">
        <v>14</v>
      </c>
      <c r="S45" s="706">
        <f t="shared" si="12"/>
        <v>100</v>
      </c>
      <c r="T45" s="705" t="s">
        <v>14</v>
      </c>
      <c r="U45" s="706">
        <f t="shared" si="13"/>
        <v>100</v>
      </c>
      <c r="V45" s="705" t="s">
        <v>14</v>
      </c>
      <c r="W45" s="706">
        <f t="shared" si="14"/>
        <v>100</v>
      </c>
      <c r="X45" s="1355"/>
      <c r="Y45" s="373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31" t="str">
        <f>A47</f>
        <v>成交单价（元/平方米）</v>
      </c>
      <c r="Q47" s="3731"/>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受贵公司委托，我公司对北京市朝阳区南郎家园18号楼19层2113房地产市场价值进行了预评估。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估价对象为北京市朝阳区南郎家园18号楼19层2113房地产，为所有。根据《国有土地使用证》[]，估价对象（分摊）出让国有建设用地使用权面积为0平方米，建筑面积为76.93平方米。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南郎家园18号楼19层2113房地产,属开发建设的，该项目尚在开发建设中。根据《国有土地使用证》[]，估价对象（分摊）出让国有建设用地使用权面积为0平方米，规划建筑面积为76.93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2023年6月19日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76.930000000000007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4" t="s">
        <v>1770</v>
      </c>
      <c r="D4" s="3715"/>
      <c r="E4" s="3716" t="s">
        <v>1771</v>
      </c>
      <c r="F4" s="3717"/>
      <c r="G4" s="3714" t="s">
        <v>1772</v>
      </c>
      <c r="H4" s="3715"/>
      <c r="I4" s="3714" t="s">
        <v>1773</v>
      </c>
      <c r="J4" s="3715"/>
      <c r="K4" s="559" t="s">
        <v>1774</v>
      </c>
      <c r="L4" s="2714"/>
      <c r="M4" s="2715"/>
      <c r="N4" s="2715"/>
      <c r="O4" s="2715"/>
      <c r="P4" s="3753" t="s">
        <v>1775</v>
      </c>
      <c r="Q4" s="3754"/>
      <c r="R4" s="3748" t="s">
        <v>1771</v>
      </c>
      <c r="S4" s="3749"/>
      <c r="T4" s="3748" t="s">
        <v>1772</v>
      </c>
      <c r="U4" s="3749"/>
      <c r="V4" s="3757" t="s">
        <v>1773</v>
      </c>
      <c r="W4" s="3757"/>
      <c r="X4" s="1958"/>
      <c r="Y4" s="3748" t="s">
        <v>1775</v>
      </c>
      <c r="Z4" s="3749"/>
      <c r="AA4" s="3747" t="s">
        <v>1771</v>
      </c>
      <c r="AB4" s="3747" t="s">
        <v>1772</v>
      </c>
      <c r="AC4" s="3750" t="s">
        <v>1773</v>
      </c>
    </row>
    <row r="5" spans="1:29" ht="15">
      <c r="A5" s="358"/>
      <c r="B5" s="359"/>
      <c r="C5" s="3709" t="s">
        <v>1673</v>
      </c>
      <c r="D5" s="3706"/>
      <c r="E5" s="3703" t="s">
        <v>1674</v>
      </c>
      <c r="F5" s="3704"/>
      <c r="G5" s="3709" t="s">
        <v>1675</v>
      </c>
      <c r="H5" s="3706"/>
      <c r="I5" s="3709" t="s">
        <v>1676</v>
      </c>
      <c r="J5" s="3706"/>
      <c r="K5" s="559"/>
      <c r="L5" s="2714"/>
      <c r="M5" s="2715"/>
      <c r="N5" s="2715"/>
      <c r="O5" s="2715"/>
      <c r="P5" s="3755"/>
      <c r="Q5" s="3721"/>
      <c r="R5" s="3701"/>
      <c r="S5" s="3702"/>
      <c r="T5" s="3701"/>
      <c r="U5" s="3702"/>
      <c r="V5" s="3726"/>
      <c r="W5" s="3726"/>
      <c r="X5" s="1355"/>
      <c r="Y5" s="3701"/>
      <c r="Z5" s="3702"/>
      <c r="AA5" s="3695"/>
      <c r="AB5" s="3695"/>
      <c r="AC5" s="3751"/>
    </row>
    <row r="6" spans="1:29" ht="15.75" thickBot="1">
      <c r="A6" s="360"/>
      <c r="B6" s="361"/>
      <c r="C6" s="3707" t="s">
        <v>1677</v>
      </c>
      <c r="D6" s="3708"/>
      <c r="E6" s="3746" t="s">
        <v>1677</v>
      </c>
      <c r="F6" s="3711"/>
      <c r="G6" s="3707" t="s">
        <v>1677</v>
      </c>
      <c r="H6" s="3708"/>
      <c r="I6" s="3707" t="s">
        <v>1677</v>
      </c>
      <c r="J6" s="3708"/>
      <c r="K6" s="559" t="s">
        <v>1678</v>
      </c>
      <c r="L6" s="2714"/>
      <c r="M6" s="2715"/>
      <c r="N6" s="2715"/>
      <c r="O6" s="2715"/>
      <c r="P6" s="3756"/>
      <c r="Q6" s="3723"/>
      <c r="R6" s="3701"/>
      <c r="S6" s="3702"/>
      <c r="T6" s="3724"/>
      <c r="U6" s="3725"/>
      <c r="V6" s="3726"/>
      <c r="W6" s="3726"/>
      <c r="X6" s="1355"/>
      <c r="Y6" s="3724"/>
      <c r="Z6" s="3725"/>
      <c r="AA6" s="3696"/>
      <c r="AB6" s="3696"/>
      <c r="AC6" s="3752"/>
    </row>
    <row r="7" spans="1:29" s="108" customFormat="1" ht="15.75" thickBot="1">
      <c r="A7" s="362" t="s">
        <v>1679</v>
      </c>
      <c r="B7" s="363"/>
      <c r="C7" s="364">
        <f>'数据-取费表'!B2</f>
        <v>45096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8" t="s">
        <v>1680</v>
      </c>
      <c r="Q7" s="372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8"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3"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3"/>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3"/>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3"/>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3"/>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3"/>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0" t="s">
        <v>1691</v>
      </c>
      <c r="Q15" s="1352" t="str">
        <f t="shared" si="6"/>
        <v>办公集聚程度</v>
      </c>
      <c r="R15" s="705" t="s">
        <v>14</v>
      </c>
      <c r="S15" s="706">
        <f t="shared" si="0"/>
        <v>100</v>
      </c>
      <c r="T15" s="705" t="s">
        <v>14</v>
      </c>
      <c r="U15" s="706">
        <f t="shared" si="1"/>
        <v>100</v>
      </c>
      <c r="V15" s="705" t="s">
        <v>14</v>
      </c>
      <c r="W15" s="706">
        <f t="shared" si="2"/>
        <v>100</v>
      </c>
      <c r="X15" s="1355"/>
      <c r="Y15" s="373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41"/>
      <c r="Q16" s="1352"/>
      <c r="R16" s="705"/>
      <c r="S16" s="706"/>
      <c r="T16" s="705"/>
      <c r="U16" s="706"/>
      <c r="V16" s="705"/>
      <c r="W16" s="706"/>
      <c r="X16" s="1355"/>
      <c r="Y16" s="373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41"/>
      <c r="Q18" s="1352"/>
      <c r="R18" s="705"/>
      <c r="S18" s="706"/>
      <c r="T18" s="705"/>
      <c r="U18" s="706"/>
      <c r="V18" s="705"/>
      <c r="W18" s="706"/>
      <c r="X18" s="1355"/>
      <c r="Y18" s="373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41"/>
      <c r="Q20" s="1352"/>
      <c r="R20" s="705"/>
      <c r="S20" s="706"/>
      <c r="T20" s="705"/>
      <c r="U20" s="706"/>
      <c r="V20" s="705"/>
      <c r="W20" s="706"/>
      <c r="X20" s="1355"/>
      <c r="Y20" s="373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41"/>
      <c r="Q22" s="1352"/>
      <c r="R22" s="705"/>
      <c r="S22" s="706"/>
      <c r="T22" s="705"/>
      <c r="U22" s="706"/>
      <c r="V22" s="705"/>
      <c r="W22" s="706"/>
      <c r="X22" s="1355"/>
      <c r="Y22" s="373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1"/>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41"/>
      <c r="Q24" s="1352"/>
      <c r="R24" s="705"/>
      <c r="S24" s="706"/>
      <c r="T24" s="705"/>
      <c r="U24" s="706"/>
      <c r="V24" s="705"/>
      <c r="W24" s="706"/>
      <c r="X24" s="1355"/>
      <c r="Y24" s="373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41"/>
      <c r="Q25" s="1352" t="str">
        <f>B25</f>
        <v>毗邻道路的类型与等级</v>
      </c>
      <c r="R25" s="705" t="s">
        <v>14</v>
      </c>
      <c r="S25" s="706">
        <f>F25</f>
        <v>100</v>
      </c>
      <c r="T25" s="705" t="s">
        <v>14</v>
      </c>
      <c r="U25" s="706">
        <f>H25</f>
        <v>100</v>
      </c>
      <c r="V25" s="705" t="s">
        <v>14</v>
      </c>
      <c r="W25" s="706">
        <f>J25</f>
        <v>100</v>
      </c>
      <c r="X25" s="1355"/>
      <c r="Y25" s="373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41"/>
      <c r="Q26" s="1352"/>
      <c r="R26" s="705"/>
      <c r="S26" s="706"/>
      <c r="T26" s="705"/>
      <c r="U26" s="706"/>
      <c r="V26" s="705"/>
      <c r="W26" s="706"/>
      <c r="X26" s="1355"/>
      <c r="Y26" s="373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1"/>
      <c r="Q27" s="1352" t="str">
        <f t="shared" ref="Q27:Q47" si="11">B27</f>
        <v>楼层</v>
      </c>
      <c r="R27" s="705" t="s">
        <v>14</v>
      </c>
      <c r="S27" s="706">
        <f>F27</f>
        <v>100</v>
      </c>
      <c r="T27" s="705" t="s">
        <v>14</v>
      </c>
      <c r="U27" s="706">
        <f>H27</f>
        <v>100</v>
      </c>
      <c r="V27" s="705" t="s">
        <v>14</v>
      </c>
      <c r="W27" s="706">
        <f>J27</f>
        <v>100</v>
      </c>
      <c r="X27" s="1355"/>
      <c r="Y27" s="373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41"/>
      <c r="Q28" s="1343" t="str">
        <f t="shared" si="11"/>
        <v>朝向</v>
      </c>
      <c r="R28" s="701" t="s">
        <v>14</v>
      </c>
      <c r="S28" s="702">
        <f>F28</f>
        <v>100</v>
      </c>
      <c r="T28" s="701" t="s">
        <v>14</v>
      </c>
      <c r="U28" s="702">
        <f>H28</f>
        <v>100</v>
      </c>
      <c r="V28" s="701" t="s">
        <v>14</v>
      </c>
      <c r="W28" s="702">
        <f>J28</f>
        <v>100</v>
      </c>
      <c r="X28" s="703"/>
      <c r="Y28" s="373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41"/>
      <c r="Q29" s="1352">
        <f t="shared" si="11"/>
        <v>111</v>
      </c>
      <c r="R29" s="705" t="s">
        <v>14</v>
      </c>
      <c r="S29" s="706">
        <f t="shared" ref="S29:S47" si="12">F29</f>
        <v>100</v>
      </c>
      <c r="T29" s="705" t="s">
        <v>14</v>
      </c>
      <c r="U29" s="706">
        <f t="shared" ref="U29:U47" si="13">H29</f>
        <v>100</v>
      </c>
      <c r="V29" s="705" t="s">
        <v>14</v>
      </c>
      <c r="W29" s="706">
        <f t="shared" ref="W29:W47" si="14">J29</f>
        <v>100</v>
      </c>
      <c r="X29" s="1355"/>
      <c r="Y29" s="373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41"/>
      <c r="Q32" s="1352">
        <f t="shared" si="11"/>
        <v>111</v>
      </c>
      <c r="R32" s="705" t="s">
        <v>14</v>
      </c>
      <c r="S32" s="706">
        <f t="shared" si="12"/>
        <v>100</v>
      </c>
      <c r="T32" s="705" t="s">
        <v>14</v>
      </c>
      <c r="U32" s="706">
        <f t="shared" si="13"/>
        <v>100</v>
      </c>
      <c r="V32" s="705" t="s">
        <v>14</v>
      </c>
      <c r="W32" s="706">
        <f t="shared" si="14"/>
        <v>100</v>
      </c>
      <c r="X32" s="1355"/>
      <c r="Y32" s="373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5" t="s">
        <v>1696</v>
      </c>
      <c r="Q33" s="1352" t="str">
        <f t="shared" si="11"/>
        <v>建筑类型</v>
      </c>
      <c r="R33" s="705" t="s">
        <v>14</v>
      </c>
      <c r="S33" s="706">
        <f t="shared" si="12"/>
        <v>100</v>
      </c>
      <c r="T33" s="705" t="s">
        <v>14</v>
      </c>
      <c r="U33" s="706">
        <f t="shared" si="13"/>
        <v>100</v>
      </c>
      <c r="V33" s="705" t="s">
        <v>14</v>
      </c>
      <c r="W33" s="706">
        <f t="shared" si="14"/>
        <v>100</v>
      </c>
      <c r="X33" s="1355"/>
      <c r="Y33" s="373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6"/>
      <c r="Q34" s="707" t="str">
        <f t="shared" si="11"/>
        <v>项目建筑规模</v>
      </c>
      <c r="R34" s="708" t="s">
        <v>14</v>
      </c>
      <c r="S34" s="709" t="e">
        <f t="shared" si="12"/>
        <v>#N/A</v>
      </c>
      <c r="T34" s="708" t="s">
        <v>14</v>
      </c>
      <c r="U34" s="709" t="e">
        <f t="shared" si="13"/>
        <v>#N/A</v>
      </c>
      <c r="V34" s="708" t="s">
        <v>14</v>
      </c>
      <c r="W34" s="709" t="e">
        <f t="shared" si="14"/>
        <v>#N/A</v>
      </c>
      <c r="X34" s="710"/>
      <c r="Y34" s="373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6"/>
      <c r="Q35" s="1352" t="str">
        <f t="shared" si="11"/>
        <v>建筑结构</v>
      </c>
      <c r="R35" s="705" t="s">
        <v>14</v>
      </c>
      <c r="S35" s="706">
        <f t="shared" si="12"/>
        <v>100</v>
      </c>
      <c r="T35" s="705" t="s">
        <v>14</v>
      </c>
      <c r="U35" s="706">
        <f t="shared" si="13"/>
        <v>100</v>
      </c>
      <c r="V35" s="705" t="s">
        <v>14</v>
      </c>
      <c r="W35" s="706">
        <f t="shared" si="14"/>
        <v>100</v>
      </c>
      <c r="X35" s="1355"/>
      <c r="Y35" s="373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6"/>
      <c r="Q36" s="1352" t="str">
        <f t="shared" si="11"/>
        <v>公共部分装修</v>
      </c>
      <c r="R36" s="705" t="s">
        <v>14</v>
      </c>
      <c r="S36" s="706">
        <f t="shared" si="12"/>
        <v>100</v>
      </c>
      <c r="T36" s="705" t="s">
        <v>14</v>
      </c>
      <c r="U36" s="706">
        <f t="shared" si="13"/>
        <v>100</v>
      </c>
      <c r="V36" s="705" t="s">
        <v>14</v>
      </c>
      <c r="W36" s="706">
        <f t="shared" si="14"/>
        <v>100</v>
      </c>
      <c r="X36" s="1355"/>
      <c r="Y36" s="373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6"/>
      <c r="Q37" s="1352" t="str">
        <f t="shared" si="11"/>
        <v>成新度</v>
      </c>
      <c r="R37" s="705" t="s">
        <v>14</v>
      </c>
      <c r="S37" s="706" t="e">
        <f t="shared" si="12"/>
        <v>#N/A</v>
      </c>
      <c r="T37" s="705" t="s">
        <v>14</v>
      </c>
      <c r="U37" s="706" t="e">
        <f t="shared" si="13"/>
        <v>#N/A</v>
      </c>
      <c r="V37" s="705" t="s">
        <v>14</v>
      </c>
      <c r="W37" s="706" t="e">
        <f t="shared" si="14"/>
        <v>#N/A</v>
      </c>
      <c r="X37" s="1355"/>
      <c r="Y37" s="373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6"/>
      <c r="Q38" s="1343" t="str">
        <f t="shared" si="11"/>
        <v>写字楼等级</v>
      </c>
      <c r="R38" s="701" t="s">
        <v>14</v>
      </c>
      <c r="S38" s="702">
        <f t="shared" si="12"/>
        <v>100</v>
      </c>
      <c r="T38" s="701" t="s">
        <v>14</v>
      </c>
      <c r="U38" s="702">
        <f t="shared" si="13"/>
        <v>100</v>
      </c>
      <c r="V38" s="701" t="s">
        <v>14</v>
      </c>
      <c r="W38" s="702">
        <f t="shared" si="14"/>
        <v>100</v>
      </c>
      <c r="X38" s="703"/>
      <c r="Y38" s="373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6" t="s">
        <v>1696</v>
      </c>
      <c r="Q39" s="1352" t="str">
        <f t="shared" si="11"/>
        <v>物业管理</v>
      </c>
      <c r="R39" s="705" t="s">
        <v>14</v>
      </c>
      <c r="S39" s="706">
        <f t="shared" si="12"/>
        <v>100</v>
      </c>
      <c r="T39" s="705" t="s">
        <v>14</v>
      </c>
      <c r="U39" s="706">
        <f t="shared" si="13"/>
        <v>100</v>
      </c>
      <c r="V39" s="705" t="s">
        <v>14</v>
      </c>
      <c r="W39" s="706">
        <f t="shared" si="14"/>
        <v>100</v>
      </c>
      <c r="X39" s="1355"/>
      <c r="Y39" s="373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6"/>
      <c r="Q40" s="1352" t="str">
        <f t="shared" si="11"/>
        <v>市政基础设施</v>
      </c>
      <c r="R40" s="705" t="s">
        <v>14</v>
      </c>
      <c r="S40" s="706">
        <f t="shared" si="12"/>
        <v>100</v>
      </c>
      <c r="T40" s="705" t="s">
        <v>14</v>
      </c>
      <c r="U40" s="706">
        <f t="shared" si="13"/>
        <v>100</v>
      </c>
      <c r="V40" s="705" t="s">
        <v>14</v>
      </c>
      <c r="W40" s="706">
        <f t="shared" si="14"/>
        <v>100</v>
      </c>
      <c r="X40" s="1355"/>
      <c r="Y40" s="373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6"/>
      <c r="Q41" s="1352" t="str">
        <f t="shared" si="11"/>
        <v>层高</v>
      </c>
      <c r="R41" s="705" t="s">
        <v>14</v>
      </c>
      <c r="S41" s="706">
        <f t="shared" si="12"/>
        <v>100</v>
      </c>
      <c r="T41" s="705" t="s">
        <v>14</v>
      </c>
      <c r="U41" s="706">
        <f t="shared" si="13"/>
        <v>100</v>
      </c>
      <c r="V41" s="705" t="s">
        <v>14</v>
      </c>
      <c r="W41" s="706">
        <f t="shared" si="14"/>
        <v>100</v>
      </c>
      <c r="X41" s="1355"/>
      <c r="Y41" s="373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6"/>
      <c r="Q42" s="707" t="str">
        <f t="shared" si="11"/>
        <v>单套建筑面积</v>
      </c>
      <c r="R42" s="708" t="s">
        <v>14</v>
      </c>
      <c r="S42" s="709">
        <f t="shared" si="12"/>
        <v>100</v>
      </c>
      <c r="T42" s="708" t="s">
        <v>14</v>
      </c>
      <c r="U42" s="709">
        <f t="shared" si="13"/>
        <v>100</v>
      </c>
      <c r="V42" s="708" t="s">
        <v>14</v>
      </c>
      <c r="W42" s="709">
        <f t="shared" si="14"/>
        <v>100</v>
      </c>
      <c r="X42" s="710"/>
      <c r="Y42" s="373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6"/>
      <c r="Q43" s="1352" t="str">
        <f t="shared" si="11"/>
        <v>内部装修</v>
      </c>
      <c r="R43" s="705" t="s">
        <v>14</v>
      </c>
      <c r="S43" s="706">
        <f t="shared" si="12"/>
        <v>100</v>
      </c>
      <c r="T43" s="705" t="s">
        <v>14</v>
      </c>
      <c r="U43" s="706">
        <f t="shared" si="13"/>
        <v>100</v>
      </c>
      <c r="V43" s="705" t="s">
        <v>14</v>
      </c>
      <c r="W43" s="706">
        <f t="shared" si="14"/>
        <v>100</v>
      </c>
      <c r="X43" s="1355"/>
      <c r="Y43" s="373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6"/>
      <c r="Q44" s="1352" t="str">
        <f t="shared" si="11"/>
        <v>内部装修维护情况</v>
      </c>
      <c r="R44" s="705" t="s">
        <v>14</v>
      </c>
      <c r="S44" s="706">
        <f t="shared" si="12"/>
        <v>100</v>
      </c>
      <c r="T44" s="705" t="s">
        <v>14</v>
      </c>
      <c r="U44" s="706">
        <f t="shared" si="13"/>
        <v>100</v>
      </c>
      <c r="V44" s="705" t="s">
        <v>14</v>
      </c>
      <c r="W44" s="706">
        <f t="shared" si="14"/>
        <v>100</v>
      </c>
      <c r="X44" s="1355"/>
      <c r="Y44" s="373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6"/>
      <c r="Q45" s="1343">
        <f t="shared" si="11"/>
        <v>111</v>
      </c>
      <c r="R45" s="701" t="s">
        <v>14</v>
      </c>
      <c r="S45" s="702">
        <f t="shared" si="12"/>
        <v>100</v>
      </c>
      <c r="T45" s="701" t="s">
        <v>14</v>
      </c>
      <c r="U45" s="702">
        <f t="shared" si="13"/>
        <v>100</v>
      </c>
      <c r="V45" s="701" t="s">
        <v>14</v>
      </c>
      <c r="W45" s="702">
        <f t="shared" si="14"/>
        <v>100</v>
      </c>
      <c r="X45" s="703"/>
      <c r="Y45" s="373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7"/>
      <c r="Q47" s="1352">
        <f t="shared" si="11"/>
        <v>111</v>
      </c>
      <c r="R47" s="705" t="s">
        <v>14</v>
      </c>
      <c r="S47" s="706">
        <f t="shared" si="12"/>
        <v>100</v>
      </c>
      <c r="T47" s="705" t="s">
        <v>14</v>
      </c>
      <c r="U47" s="706">
        <f t="shared" si="13"/>
        <v>100</v>
      </c>
      <c r="V47" s="705" t="s">
        <v>14</v>
      </c>
      <c r="W47" s="706">
        <f t="shared" si="14"/>
        <v>100</v>
      </c>
      <c r="X47" s="1355"/>
      <c r="Y47" s="373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13" t="str">
        <f>A48</f>
        <v>成交单价（元/平方米）</v>
      </c>
      <c r="Q48" s="3731"/>
      <c r="R48" s="3732">
        <f>E48</f>
        <v>0</v>
      </c>
      <c r="S48" s="3732"/>
      <c r="T48" s="3732">
        <f>G48</f>
        <v>0</v>
      </c>
      <c r="U48" s="3732"/>
      <c r="V48" s="3732">
        <f>I48</f>
        <v>0</v>
      </c>
      <c r="W48" s="373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13" t="str">
        <f>A49</f>
        <v>比较价值（元/平方米）</v>
      </c>
      <c r="Q49" s="3731"/>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76.930000000000007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913"/>
      <c r="M4" s="914"/>
      <c r="N4" s="914"/>
      <c r="O4" s="914"/>
      <c r="P4" s="3718" t="s">
        <v>1775</v>
      </c>
      <c r="Q4" s="3719"/>
      <c r="R4" s="3699" t="s">
        <v>1771</v>
      </c>
      <c r="S4" s="3700"/>
      <c r="T4" s="3699" t="s">
        <v>1772</v>
      </c>
      <c r="U4" s="3700"/>
      <c r="V4" s="3726" t="s">
        <v>1773</v>
      </c>
      <c r="W4" s="3726"/>
      <c r="X4" s="1355"/>
      <c r="Y4" s="3699" t="s">
        <v>1775</v>
      </c>
      <c r="Z4" s="3700"/>
      <c r="AA4" s="3694" t="s">
        <v>1771</v>
      </c>
      <c r="AB4" s="3695" t="s">
        <v>1772</v>
      </c>
      <c r="AC4" s="3694" t="s">
        <v>1773</v>
      </c>
    </row>
    <row r="5" spans="1:29" ht="15">
      <c r="A5" s="358"/>
      <c r="B5" s="359"/>
      <c r="C5" s="3709" t="s">
        <v>1673</v>
      </c>
      <c r="D5" s="3706"/>
      <c r="E5" s="3703" t="s">
        <v>1674</v>
      </c>
      <c r="F5" s="3704"/>
      <c r="G5" s="3709" t="s">
        <v>1675</v>
      </c>
      <c r="H5" s="3706"/>
      <c r="I5" s="3709" t="s">
        <v>1676</v>
      </c>
      <c r="J5" s="3706"/>
      <c r="K5" s="559"/>
      <c r="L5" s="913"/>
      <c r="M5" s="914"/>
      <c r="N5" s="914"/>
      <c r="O5" s="914"/>
      <c r="P5" s="3720"/>
      <c r="Q5" s="3721"/>
      <c r="R5" s="3701"/>
      <c r="S5" s="3702"/>
      <c r="T5" s="3701"/>
      <c r="U5" s="3702"/>
      <c r="V5" s="3726"/>
      <c r="W5" s="3726"/>
      <c r="X5" s="1355"/>
      <c r="Y5" s="3701"/>
      <c r="Z5" s="3702"/>
      <c r="AA5" s="3695"/>
      <c r="AB5" s="3695"/>
      <c r="AC5" s="3695"/>
    </row>
    <row r="6" spans="1:29" ht="15.75" thickBot="1">
      <c r="A6" s="360"/>
      <c r="B6" s="361"/>
      <c r="C6" s="3707" t="s">
        <v>1677</v>
      </c>
      <c r="D6" s="3708"/>
      <c r="E6" s="3746" t="s">
        <v>1677</v>
      </c>
      <c r="F6" s="3711"/>
      <c r="G6" s="3707" t="s">
        <v>1677</v>
      </c>
      <c r="H6" s="3708"/>
      <c r="I6" s="3707" t="s">
        <v>1677</v>
      </c>
      <c r="J6" s="3708"/>
      <c r="K6" s="559" t="s">
        <v>1678</v>
      </c>
      <c r="L6" s="913"/>
      <c r="M6" s="914"/>
      <c r="N6" s="914"/>
      <c r="O6" s="914"/>
      <c r="P6" s="3722"/>
      <c r="Q6" s="3723"/>
      <c r="R6" s="3701"/>
      <c r="S6" s="3702"/>
      <c r="T6" s="3724"/>
      <c r="U6" s="3725"/>
      <c r="V6" s="3726"/>
      <c r="W6" s="3726"/>
      <c r="X6" s="1355"/>
      <c r="Y6" s="3724"/>
      <c r="Z6" s="3725"/>
      <c r="AA6" s="3696"/>
      <c r="AB6" s="3696"/>
      <c r="AC6" s="3696"/>
    </row>
    <row r="7" spans="1:29" s="108" customFormat="1" ht="15.75" thickBot="1">
      <c r="A7" s="362" t="s">
        <v>1679</v>
      </c>
      <c r="B7" s="363"/>
      <c r="C7" s="364">
        <f>'数据-取费表'!B2</f>
        <v>45096</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2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4"/>
      <c r="Q16" s="1352"/>
      <c r="R16" s="705"/>
      <c r="S16" s="706"/>
      <c r="T16" s="705"/>
      <c r="U16" s="706"/>
      <c r="V16" s="705"/>
      <c r="W16" s="706"/>
      <c r="X16" s="1355"/>
      <c r="Y16" s="373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4"/>
      <c r="Q18" s="1352"/>
      <c r="R18" s="705"/>
      <c r="S18" s="706"/>
      <c r="T18" s="705"/>
      <c r="U18" s="706"/>
      <c r="V18" s="705"/>
      <c r="W18" s="706"/>
      <c r="X18" s="1355"/>
      <c r="Y18" s="373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4"/>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4"/>
      <c r="Q20" s="1352"/>
      <c r="R20" s="705"/>
      <c r="S20" s="706"/>
      <c r="T20" s="705"/>
      <c r="U20" s="706"/>
      <c r="V20" s="705"/>
      <c r="W20" s="706"/>
      <c r="X20" s="1355"/>
      <c r="Y20" s="373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4"/>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4"/>
      <c r="Q22" s="1352"/>
      <c r="R22" s="705"/>
      <c r="S22" s="706"/>
      <c r="T22" s="705"/>
      <c r="U22" s="706"/>
      <c r="V22" s="705"/>
      <c r="W22" s="706"/>
      <c r="X22" s="1355"/>
      <c r="Y22" s="373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4"/>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4"/>
      <c r="Q24" s="1352"/>
      <c r="R24" s="705"/>
      <c r="S24" s="706"/>
      <c r="T24" s="705"/>
      <c r="U24" s="706"/>
      <c r="V24" s="705"/>
      <c r="W24" s="706"/>
      <c r="X24" s="1355"/>
      <c r="Y24" s="373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4"/>
      <c r="Q25" s="1352">
        <f>B25</f>
        <v>111</v>
      </c>
      <c r="R25" s="705" t="s">
        <v>14</v>
      </c>
      <c r="S25" s="706">
        <f>F25</f>
        <v>100</v>
      </c>
      <c r="T25" s="705" t="s">
        <v>14</v>
      </c>
      <c r="U25" s="706">
        <f>H25</f>
        <v>100</v>
      </c>
      <c r="V25" s="705" t="s">
        <v>14</v>
      </c>
      <c r="W25" s="706">
        <f>J25</f>
        <v>100</v>
      </c>
      <c r="X25" s="1355"/>
      <c r="Y25" s="373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4"/>
      <c r="Q26" s="1352">
        <f t="shared" ref="Q26:Q40" si="11">B26</f>
        <v>111</v>
      </c>
      <c r="R26" s="705" t="s">
        <v>14</v>
      </c>
      <c r="S26" s="706">
        <f>F26</f>
        <v>100</v>
      </c>
      <c r="T26" s="705" t="s">
        <v>14</v>
      </c>
      <c r="U26" s="706">
        <f>H26</f>
        <v>100</v>
      </c>
      <c r="V26" s="705" t="s">
        <v>14</v>
      </c>
      <c r="W26" s="706">
        <f>J26</f>
        <v>100</v>
      </c>
      <c r="X26" s="1355"/>
      <c r="Y26" s="373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4"/>
      <c r="Q27" s="1343">
        <f t="shared" si="11"/>
        <v>111</v>
      </c>
      <c r="R27" s="701" t="s">
        <v>14</v>
      </c>
      <c r="S27" s="702">
        <f>F27</f>
        <v>100</v>
      </c>
      <c r="T27" s="701" t="s">
        <v>14</v>
      </c>
      <c r="U27" s="702">
        <f>H27</f>
        <v>100</v>
      </c>
      <c r="V27" s="701" t="s">
        <v>14</v>
      </c>
      <c r="W27" s="702">
        <f>J27</f>
        <v>100</v>
      </c>
      <c r="X27" s="703"/>
      <c r="Y27" s="373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4"/>
      <c r="Q28" s="1352">
        <f t="shared" si="11"/>
        <v>111</v>
      </c>
      <c r="R28" s="705" t="s">
        <v>14</v>
      </c>
      <c r="S28" s="706">
        <f t="shared" ref="S28:S40" si="12">F28</f>
        <v>100</v>
      </c>
      <c r="T28" s="705" t="s">
        <v>14</v>
      </c>
      <c r="U28" s="706">
        <f t="shared" ref="U28:U40" si="13">H28</f>
        <v>100</v>
      </c>
      <c r="V28" s="705" t="s">
        <v>14</v>
      </c>
      <c r="W28" s="706">
        <f t="shared" ref="W28:W40" si="14">J28</f>
        <v>100</v>
      </c>
      <c r="X28" s="1355"/>
      <c r="Y28" s="3734"/>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2" t="s">
        <v>1696</v>
      </c>
      <c r="Q29" s="1352" t="str">
        <f t="shared" si="11"/>
        <v>建筑类型</v>
      </c>
      <c r="R29" s="705" t="s">
        <v>14</v>
      </c>
      <c r="S29" s="706">
        <f t="shared" si="12"/>
        <v>100</v>
      </c>
      <c r="T29" s="705" t="s">
        <v>14</v>
      </c>
      <c r="U29" s="706">
        <f t="shared" si="13"/>
        <v>100</v>
      </c>
      <c r="V29" s="705" t="s">
        <v>14</v>
      </c>
      <c r="W29" s="706">
        <f t="shared" si="14"/>
        <v>100</v>
      </c>
      <c r="X29" s="1355"/>
      <c r="Y29" s="373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8"/>
      <c r="Q30" s="707" t="str">
        <f t="shared" si="11"/>
        <v>项目建筑规模</v>
      </c>
      <c r="R30" s="708" t="s">
        <v>14</v>
      </c>
      <c r="S30" s="709" t="e">
        <f t="shared" si="12"/>
        <v>#N/A</v>
      </c>
      <c r="T30" s="708" t="s">
        <v>14</v>
      </c>
      <c r="U30" s="709" t="e">
        <f t="shared" si="13"/>
        <v>#N/A</v>
      </c>
      <c r="V30" s="708" t="s">
        <v>14</v>
      </c>
      <c r="W30" s="709" t="e">
        <f t="shared" si="14"/>
        <v>#N/A</v>
      </c>
      <c r="X30" s="710"/>
      <c r="Y30" s="373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8"/>
      <c r="Q31" s="1352" t="str">
        <f t="shared" si="11"/>
        <v>建筑结构</v>
      </c>
      <c r="R31" s="705" t="s">
        <v>14</v>
      </c>
      <c r="S31" s="706">
        <f t="shared" si="12"/>
        <v>100</v>
      </c>
      <c r="T31" s="705" t="s">
        <v>14</v>
      </c>
      <c r="U31" s="706">
        <f t="shared" si="13"/>
        <v>100</v>
      </c>
      <c r="V31" s="705" t="s">
        <v>14</v>
      </c>
      <c r="W31" s="706">
        <f t="shared" si="14"/>
        <v>100</v>
      </c>
      <c r="X31" s="1355"/>
      <c r="Y31" s="373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8"/>
      <c r="Q32" s="1352" t="str">
        <f t="shared" si="11"/>
        <v>公共部分装修</v>
      </c>
      <c r="R32" s="705" t="s">
        <v>14</v>
      </c>
      <c r="S32" s="706">
        <f t="shared" si="12"/>
        <v>100</v>
      </c>
      <c r="T32" s="705" t="s">
        <v>14</v>
      </c>
      <c r="U32" s="706">
        <f t="shared" si="13"/>
        <v>100</v>
      </c>
      <c r="V32" s="705" t="s">
        <v>14</v>
      </c>
      <c r="W32" s="706">
        <f t="shared" si="14"/>
        <v>100</v>
      </c>
      <c r="X32" s="1355"/>
      <c r="Y32" s="373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8"/>
      <c r="Q33" s="1352" t="str">
        <f t="shared" si="11"/>
        <v>成新度</v>
      </c>
      <c r="R33" s="705" t="s">
        <v>14</v>
      </c>
      <c r="S33" s="706" t="e">
        <f t="shared" si="12"/>
        <v>#N/A</v>
      </c>
      <c r="T33" s="705" t="s">
        <v>14</v>
      </c>
      <c r="U33" s="706" t="e">
        <f t="shared" si="13"/>
        <v>#N/A</v>
      </c>
      <c r="V33" s="705" t="s">
        <v>14</v>
      </c>
      <c r="W33" s="706" t="e">
        <f t="shared" si="14"/>
        <v>#N/A</v>
      </c>
      <c r="X33" s="1355"/>
      <c r="Y33" s="373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8"/>
      <c r="Q34" s="1343" t="str">
        <f t="shared" si="11"/>
        <v>物业管理</v>
      </c>
      <c r="R34" s="701" t="s">
        <v>14</v>
      </c>
      <c r="S34" s="702">
        <f t="shared" si="12"/>
        <v>100</v>
      </c>
      <c r="T34" s="701" t="s">
        <v>14</v>
      </c>
      <c r="U34" s="702">
        <f t="shared" si="13"/>
        <v>100</v>
      </c>
      <c r="V34" s="701" t="s">
        <v>14</v>
      </c>
      <c r="W34" s="702">
        <f t="shared" si="14"/>
        <v>100</v>
      </c>
      <c r="X34" s="703"/>
      <c r="Y34" s="373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8" t="s">
        <v>1696</v>
      </c>
      <c r="Q35" s="1352" t="str">
        <f t="shared" si="11"/>
        <v>市政基础设施</v>
      </c>
      <c r="R35" s="705" t="s">
        <v>14</v>
      </c>
      <c r="S35" s="706">
        <f t="shared" si="12"/>
        <v>100</v>
      </c>
      <c r="T35" s="705" t="s">
        <v>14</v>
      </c>
      <c r="U35" s="706">
        <f t="shared" si="13"/>
        <v>100</v>
      </c>
      <c r="V35" s="705" t="s">
        <v>14</v>
      </c>
      <c r="W35" s="706">
        <f t="shared" si="14"/>
        <v>100</v>
      </c>
      <c r="X35" s="1355"/>
      <c r="Y35" s="373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8"/>
      <c r="Q36" s="1352" t="str">
        <f t="shared" si="11"/>
        <v>内部装修</v>
      </c>
      <c r="R36" s="705" t="s">
        <v>14</v>
      </c>
      <c r="S36" s="706">
        <f t="shared" si="12"/>
        <v>100</v>
      </c>
      <c r="T36" s="705" t="s">
        <v>14</v>
      </c>
      <c r="U36" s="706">
        <f t="shared" si="13"/>
        <v>100</v>
      </c>
      <c r="V36" s="705" t="s">
        <v>14</v>
      </c>
      <c r="W36" s="706">
        <f t="shared" si="14"/>
        <v>100</v>
      </c>
      <c r="X36" s="1355"/>
      <c r="Y36" s="373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8"/>
      <c r="Q37" s="1352" t="str">
        <f t="shared" si="11"/>
        <v>内部装修状况</v>
      </c>
      <c r="R37" s="705" t="s">
        <v>14</v>
      </c>
      <c r="S37" s="706">
        <f t="shared" si="12"/>
        <v>100</v>
      </c>
      <c r="T37" s="705" t="s">
        <v>14</v>
      </c>
      <c r="U37" s="706">
        <f t="shared" si="13"/>
        <v>100</v>
      </c>
      <c r="V37" s="705" t="s">
        <v>14</v>
      </c>
      <c r="W37" s="706">
        <f t="shared" si="14"/>
        <v>100</v>
      </c>
      <c r="X37" s="1355"/>
      <c r="Y37" s="373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8"/>
      <c r="Q38" s="707">
        <f t="shared" si="11"/>
        <v>111</v>
      </c>
      <c r="R38" s="708" t="s">
        <v>14</v>
      </c>
      <c r="S38" s="709">
        <f t="shared" si="12"/>
        <v>100</v>
      </c>
      <c r="T38" s="708" t="s">
        <v>14</v>
      </c>
      <c r="U38" s="709">
        <f t="shared" si="13"/>
        <v>100</v>
      </c>
      <c r="V38" s="708" t="s">
        <v>14</v>
      </c>
      <c r="W38" s="709">
        <f t="shared" si="14"/>
        <v>100</v>
      </c>
      <c r="X38" s="710"/>
      <c r="Y38" s="373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8"/>
      <c r="Q39" s="1352">
        <f t="shared" si="11"/>
        <v>111</v>
      </c>
      <c r="R39" s="705" t="s">
        <v>14</v>
      </c>
      <c r="S39" s="706">
        <f t="shared" si="12"/>
        <v>100</v>
      </c>
      <c r="T39" s="705" t="s">
        <v>14</v>
      </c>
      <c r="U39" s="706">
        <f t="shared" si="13"/>
        <v>100</v>
      </c>
      <c r="V39" s="705" t="s">
        <v>14</v>
      </c>
      <c r="W39" s="706">
        <f t="shared" si="14"/>
        <v>100</v>
      </c>
      <c r="X39" s="1355"/>
      <c r="Y39" s="373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9"/>
      <c r="Q40" s="1352">
        <f t="shared" si="11"/>
        <v>111</v>
      </c>
      <c r="R40" s="705" t="s">
        <v>14</v>
      </c>
      <c r="S40" s="706">
        <f t="shared" si="12"/>
        <v>100</v>
      </c>
      <c r="T40" s="705" t="s">
        <v>14</v>
      </c>
      <c r="U40" s="706">
        <f t="shared" si="13"/>
        <v>100</v>
      </c>
      <c r="V40" s="705" t="s">
        <v>14</v>
      </c>
      <c r="W40" s="706">
        <f t="shared" si="14"/>
        <v>100</v>
      </c>
      <c r="X40" s="1355"/>
      <c r="Y40" s="373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4"/>
      <c r="M4" s="2715"/>
      <c r="N4" s="2715"/>
      <c r="O4" s="2715"/>
      <c r="P4" s="3718" t="s">
        <v>1775</v>
      </c>
      <c r="Q4" s="3719"/>
      <c r="R4" s="3699" t="s">
        <v>1771</v>
      </c>
      <c r="S4" s="3700"/>
      <c r="T4" s="3699" t="s">
        <v>1772</v>
      </c>
      <c r="U4" s="3700"/>
      <c r="V4" s="3726" t="s">
        <v>1773</v>
      </c>
      <c r="W4" s="3726"/>
      <c r="X4" s="1355"/>
      <c r="Y4" s="3699" t="s">
        <v>1775</v>
      </c>
      <c r="Z4" s="3700"/>
      <c r="AA4" s="3694" t="s">
        <v>1771</v>
      </c>
      <c r="AB4" s="3695" t="s">
        <v>1772</v>
      </c>
      <c r="AC4" s="3694" t="s">
        <v>1773</v>
      </c>
    </row>
    <row r="5" spans="1:29" ht="15">
      <c r="A5" s="358"/>
      <c r="B5" s="359"/>
      <c r="C5" s="3709" t="s">
        <v>1673</v>
      </c>
      <c r="D5" s="3706"/>
      <c r="E5" s="3703" t="s">
        <v>1674</v>
      </c>
      <c r="F5" s="3704"/>
      <c r="G5" s="3709" t="s">
        <v>1675</v>
      </c>
      <c r="H5" s="3706"/>
      <c r="I5" s="3709" t="s">
        <v>1676</v>
      </c>
      <c r="J5" s="3706"/>
      <c r="K5" s="559"/>
      <c r="L5" s="2714"/>
      <c r="M5" s="2715"/>
      <c r="N5" s="2715"/>
      <c r="O5" s="2715"/>
      <c r="P5" s="3720"/>
      <c r="Q5" s="3721"/>
      <c r="R5" s="3701"/>
      <c r="S5" s="3702"/>
      <c r="T5" s="3701"/>
      <c r="U5" s="3702"/>
      <c r="V5" s="3726"/>
      <c r="W5" s="3726"/>
      <c r="X5" s="1355"/>
      <c r="Y5" s="3701"/>
      <c r="Z5" s="3702"/>
      <c r="AA5" s="3695"/>
      <c r="AB5" s="3695"/>
      <c r="AC5" s="3695"/>
    </row>
    <row r="6" spans="1:29" ht="15.75" thickBot="1">
      <c r="A6" s="360"/>
      <c r="B6" s="361"/>
      <c r="C6" s="3707" t="s">
        <v>1677</v>
      </c>
      <c r="D6" s="3708"/>
      <c r="E6" s="3746" t="s">
        <v>1677</v>
      </c>
      <c r="F6" s="3711"/>
      <c r="G6" s="3707" t="s">
        <v>1677</v>
      </c>
      <c r="H6" s="3708"/>
      <c r="I6" s="3707" t="s">
        <v>1677</v>
      </c>
      <c r="J6" s="3708"/>
      <c r="K6" s="559" t="s">
        <v>1678</v>
      </c>
      <c r="L6" s="2714"/>
      <c r="M6" s="2715"/>
      <c r="N6" s="2715"/>
      <c r="O6" s="2715"/>
      <c r="P6" s="3722"/>
      <c r="Q6" s="3723"/>
      <c r="R6" s="3701"/>
      <c r="S6" s="3702"/>
      <c r="T6" s="3724"/>
      <c r="U6" s="3725"/>
      <c r="V6" s="3726"/>
      <c r="W6" s="3726"/>
      <c r="X6" s="1355"/>
      <c r="Y6" s="3724"/>
      <c r="Z6" s="3725"/>
      <c r="AA6" s="3696"/>
      <c r="AB6" s="3696"/>
      <c r="AC6" s="3696"/>
    </row>
    <row r="7" spans="1:29" s="108" customFormat="1" ht="15.75" thickBot="1">
      <c r="A7" s="362" t="s">
        <v>1679</v>
      </c>
      <c r="B7" s="363"/>
      <c r="C7" s="364">
        <f>'数据-取费表'!B2</f>
        <v>45096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7" t="s">
        <v>1680</v>
      </c>
      <c r="Q7" s="3727"/>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1"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1"/>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34"/>
      <c r="Q15" s="1352"/>
      <c r="R15" s="705"/>
      <c r="S15" s="706"/>
      <c r="T15" s="705"/>
      <c r="U15" s="706"/>
      <c r="V15" s="705"/>
      <c r="W15" s="706"/>
      <c r="X15" s="1355"/>
      <c r="Y15" s="373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34"/>
      <c r="Q17" s="1352"/>
      <c r="R17" s="705"/>
      <c r="S17" s="706"/>
      <c r="T17" s="705"/>
      <c r="U17" s="706"/>
      <c r="V17" s="705"/>
      <c r="W17" s="706"/>
      <c r="X17" s="1355"/>
      <c r="Y17" s="373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34"/>
      <c r="Q19" s="1352"/>
      <c r="R19" s="705"/>
      <c r="S19" s="706"/>
      <c r="T19" s="705"/>
      <c r="U19" s="706"/>
      <c r="V19" s="705"/>
      <c r="W19" s="706"/>
      <c r="X19" s="1355"/>
      <c r="Y19" s="373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34"/>
      <c r="Q21" s="1352"/>
      <c r="R21" s="705"/>
      <c r="S21" s="706"/>
      <c r="T21" s="705"/>
      <c r="U21" s="706"/>
      <c r="V21" s="705"/>
      <c r="W21" s="706"/>
      <c r="X21" s="1355"/>
      <c r="Y21" s="373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4"/>
      <c r="Q24" s="1352">
        <f t="shared" ref="Q24:Q36"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8"/>
      <c r="Q27" s="707" t="str">
        <f t="shared" si="11"/>
        <v>项目停车位配比</v>
      </c>
      <c r="R27" s="708" t="s">
        <v>14</v>
      </c>
      <c r="S27" s="709">
        <f t="shared" si="12"/>
        <v>100</v>
      </c>
      <c r="T27" s="708" t="s">
        <v>14</v>
      </c>
      <c r="U27" s="709">
        <f t="shared" si="13"/>
        <v>100</v>
      </c>
      <c r="V27" s="708" t="s">
        <v>14</v>
      </c>
      <c r="W27" s="709">
        <f t="shared" si="14"/>
        <v>100</v>
      </c>
      <c r="X27" s="710"/>
      <c r="Y27" s="373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8"/>
      <c r="Q28" s="1352" t="str">
        <f t="shared" si="11"/>
        <v>公共部分装修</v>
      </c>
      <c r="R28" s="705" t="s">
        <v>14</v>
      </c>
      <c r="S28" s="706">
        <f t="shared" si="12"/>
        <v>100</v>
      </c>
      <c r="T28" s="705" t="s">
        <v>14</v>
      </c>
      <c r="U28" s="706">
        <f t="shared" si="13"/>
        <v>100</v>
      </c>
      <c r="V28" s="705" t="s">
        <v>14</v>
      </c>
      <c r="W28" s="706">
        <f t="shared" si="14"/>
        <v>100</v>
      </c>
      <c r="X28" s="1355"/>
      <c r="Y28" s="373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8"/>
      <c r="Q29" s="1352" t="str">
        <f t="shared" si="11"/>
        <v>成新率</v>
      </c>
      <c r="R29" s="705" t="s">
        <v>14</v>
      </c>
      <c r="S29" s="706" t="e">
        <f t="shared" si="12"/>
        <v>#N/A</v>
      </c>
      <c r="T29" s="705" t="s">
        <v>14</v>
      </c>
      <c r="U29" s="706" t="e">
        <f t="shared" si="13"/>
        <v>#N/A</v>
      </c>
      <c r="V29" s="705" t="s">
        <v>14</v>
      </c>
      <c r="W29" s="706" t="e">
        <f t="shared" si="14"/>
        <v>#N/A</v>
      </c>
      <c r="X29" s="1355"/>
      <c r="Y29" s="373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8"/>
      <c r="Q30" s="1352" t="str">
        <f t="shared" si="11"/>
        <v>物业等级</v>
      </c>
      <c r="R30" s="705" t="s">
        <v>14</v>
      </c>
      <c r="S30" s="706">
        <f t="shared" si="12"/>
        <v>100</v>
      </c>
      <c r="T30" s="705" t="s">
        <v>14</v>
      </c>
      <c r="U30" s="706">
        <f t="shared" si="13"/>
        <v>100</v>
      </c>
      <c r="V30" s="705" t="s">
        <v>14</v>
      </c>
      <c r="W30" s="706">
        <f t="shared" si="14"/>
        <v>100</v>
      </c>
      <c r="X30" s="1355"/>
      <c r="Y30" s="373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8"/>
      <c r="Q31" s="1343" t="str">
        <f t="shared" si="11"/>
        <v>停车位面积</v>
      </c>
      <c r="R31" s="701" t="s">
        <v>14</v>
      </c>
      <c r="S31" s="702" t="e">
        <f t="shared" si="12"/>
        <v>#N/A</v>
      </c>
      <c r="T31" s="701" t="s">
        <v>14</v>
      </c>
      <c r="U31" s="702" t="e">
        <f t="shared" si="13"/>
        <v>#N/A</v>
      </c>
      <c r="V31" s="701" t="s">
        <v>14</v>
      </c>
      <c r="W31" s="702" t="e">
        <f t="shared" si="14"/>
        <v>#N/A</v>
      </c>
      <c r="X31" s="703"/>
      <c r="Y31" s="373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8" t="s">
        <v>1696</v>
      </c>
      <c r="Q32" s="1352" t="str">
        <f t="shared" si="11"/>
        <v>车位类型</v>
      </c>
      <c r="R32" s="705" t="s">
        <v>14</v>
      </c>
      <c r="S32" s="706">
        <f t="shared" si="12"/>
        <v>100</v>
      </c>
      <c r="T32" s="705" t="s">
        <v>14</v>
      </c>
      <c r="U32" s="706">
        <f t="shared" si="13"/>
        <v>100</v>
      </c>
      <c r="V32" s="705" t="s">
        <v>14</v>
      </c>
      <c r="W32" s="706">
        <f t="shared" si="14"/>
        <v>100</v>
      </c>
      <c r="X32" s="1355"/>
      <c r="Y32" s="373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8"/>
      <c r="Q33" s="1352" t="str">
        <f t="shared" si="11"/>
        <v>是否直接入户</v>
      </c>
      <c r="R33" s="705" t="s">
        <v>14</v>
      </c>
      <c r="S33" s="706">
        <f t="shared" si="12"/>
        <v>100</v>
      </c>
      <c r="T33" s="705" t="s">
        <v>14</v>
      </c>
      <c r="U33" s="706">
        <f t="shared" si="13"/>
        <v>100</v>
      </c>
      <c r="V33" s="705" t="s">
        <v>14</v>
      </c>
      <c r="W33" s="706">
        <f t="shared" si="14"/>
        <v>100</v>
      </c>
      <c r="X33" s="1355"/>
      <c r="Y33" s="373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8"/>
      <c r="Q35" s="707">
        <f t="shared" si="11"/>
        <v>111</v>
      </c>
      <c r="R35" s="708" t="s">
        <v>14</v>
      </c>
      <c r="S35" s="709">
        <f t="shared" si="12"/>
        <v>100</v>
      </c>
      <c r="T35" s="708" t="s">
        <v>14</v>
      </c>
      <c r="U35" s="709">
        <f t="shared" si="13"/>
        <v>100</v>
      </c>
      <c r="V35" s="708" t="s">
        <v>14</v>
      </c>
      <c r="W35" s="709">
        <f t="shared" si="14"/>
        <v>100</v>
      </c>
      <c r="X35" s="710"/>
      <c r="Y35" s="373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8"/>
      <c r="Q36" s="1352">
        <f t="shared" si="11"/>
        <v>111</v>
      </c>
      <c r="R36" s="705" t="s">
        <v>14</v>
      </c>
      <c r="S36" s="706">
        <f t="shared" si="12"/>
        <v>100</v>
      </c>
      <c r="T36" s="705" t="s">
        <v>14</v>
      </c>
      <c r="U36" s="706">
        <f t="shared" si="13"/>
        <v>100</v>
      </c>
      <c r="V36" s="705" t="s">
        <v>14</v>
      </c>
      <c r="W36" s="706">
        <f t="shared" si="14"/>
        <v>100</v>
      </c>
      <c r="X36" s="1355"/>
      <c r="Y36" s="3738"/>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731" t="str">
        <f>A37</f>
        <v>成交单价</v>
      </c>
      <c r="Q37" s="3731"/>
      <c r="R37" s="3732">
        <f>E37</f>
        <v>0</v>
      </c>
      <c r="S37" s="3732"/>
      <c r="T37" s="3732">
        <f>G37</f>
        <v>0</v>
      </c>
      <c r="U37" s="3732"/>
      <c r="V37" s="3732">
        <f>I37</f>
        <v>0</v>
      </c>
      <c r="W37" s="373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8" t="str">
        <f>A39</f>
        <v>估价对象XX用房的比较价值（楼面单价，元/平方米）</v>
      </c>
      <c r="Q39" s="3729"/>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4"/>
      <c r="M4" s="2715"/>
      <c r="N4" s="2715"/>
      <c r="O4" s="2715"/>
      <c r="P4" s="3718" t="s">
        <v>1775</v>
      </c>
      <c r="Q4" s="3719"/>
      <c r="R4" s="3699" t="s">
        <v>1771</v>
      </c>
      <c r="S4" s="3700"/>
      <c r="T4" s="3699" t="s">
        <v>1772</v>
      </c>
      <c r="U4" s="3700"/>
      <c r="V4" s="3726" t="s">
        <v>1773</v>
      </c>
      <c r="W4" s="3726"/>
      <c r="X4" s="1355"/>
      <c r="Y4" s="3699" t="s">
        <v>1775</v>
      </c>
      <c r="Z4" s="3700"/>
      <c r="AA4" s="3694" t="s">
        <v>1771</v>
      </c>
      <c r="AB4" s="3695" t="s">
        <v>1772</v>
      </c>
      <c r="AC4" s="3694" t="s">
        <v>1773</v>
      </c>
    </row>
    <row r="5" spans="1:29" ht="15">
      <c r="A5" s="358"/>
      <c r="B5" s="359"/>
      <c r="C5" s="3709" t="s">
        <v>1673</v>
      </c>
      <c r="D5" s="3706"/>
      <c r="E5" s="3703" t="s">
        <v>1674</v>
      </c>
      <c r="F5" s="3704"/>
      <c r="G5" s="3709" t="s">
        <v>1675</v>
      </c>
      <c r="H5" s="3706"/>
      <c r="I5" s="3709" t="s">
        <v>1676</v>
      </c>
      <c r="J5" s="3706"/>
      <c r="K5" s="559"/>
      <c r="L5" s="2714"/>
      <c r="M5" s="2715"/>
      <c r="N5" s="2715"/>
      <c r="O5" s="2715"/>
      <c r="P5" s="3720"/>
      <c r="Q5" s="3721"/>
      <c r="R5" s="3701"/>
      <c r="S5" s="3702"/>
      <c r="T5" s="3701"/>
      <c r="U5" s="3702"/>
      <c r="V5" s="3726"/>
      <c r="W5" s="3726"/>
      <c r="X5" s="1355"/>
      <c r="Y5" s="3701"/>
      <c r="Z5" s="3702"/>
      <c r="AA5" s="3695"/>
      <c r="AB5" s="3695"/>
      <c r="AC5" s="3695"/>
    </row>
    <row r="6" spans="1:29" ht="15.75" thickBot="1">
      <c r="A6" s="360"/>
      <c r="B6" s="361"/>
      <c r="C6" s="3707" t="s">
        <v>1677</v>
      </c>
      <c r="D6" s="3708"/>
      <c r="E6" s="3746" t="s">
        <v>1677</v>
      </c>
      <c r="F6" s="3711"/>
      <c r="G6" s="3707" t="s">
        <v>1677</v>
      </c>
      <c r="H6" s="3708"/>
      <c r="I6" s="3707" t="s">
        <v>1677</v>
      </c>
      <c r="J6" s="3708"/>
      <c r="K6" s="559" t="s">
        <v>1678</v>
      </c>
      <c r="L6" s="2714"/>
      <c r="M6" s="2715"/>
      <c r="N6" s="2715"/>
      <c r="O6" s="2715"/>
      <c r="P6" s="3722"/>
      <c r="Q6" s="3723"/>
      <c r="R6" s="3701"/>
      <c r="S6" s="3702"/>
      <c r="T6" s="3724"/>
      <c r="U6" s="3725"/>
      <c r="V6" s="3726"/>
      <c r="W6" s="3726"/>
      <c r="X6" s="1355"/>
      <c r="Y6" s="3724"/>
      <c r="Z6" s="3725"/>
      <c r="AA6" s="3696"/>
      <c r="AB6" s="3696"/>
      <c r="AC6" s="3696"/>
    </row>
    <row r="7" spans="1:29" s="108" customFormat="1" ht="15.75" thickBot="1">
      <c r="A7" s="362" t="s">
        <v>1679</v>
      </c>
      <c r="B7" s="363"/>
      <c r="C7" s="364">
        <f>'数据-取费表'!B2</f>
        <v>45096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97" t="s">
        <v>1680</v>
      </c>
      <c r="Q7" s="3727"/>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1"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1"/>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3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34"/>
      <c r="Q15" s="1352"/>
      <c r="R15" s="705"/>
      <c r="S15" s="706"/>
      <c r="T15" s="705"/>
      <c r="U15" s="706"/>
      <c r="V15" s="705"/>
      <c r="W15" s="706"/>
      <c r="X15" s="1355"/>
      <c r="Y15" s="373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34"/>
      <c r="Q17" s="1352"/>
      <c r="R17" s="705"/>
      <c r="S17" s="706"/>
      <c r="T17" s="705"/>
      <c r="U17" s="706"/>
      <c r="V17" s="705"/>
      <c r="W17" s="706"/>
      <c r="X17" s="1355"/>
      <c r="Y17" s="373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34"/>
      <c r="Q19" s="1352"/>
      <c r="R19" s="705"/>
      <c r="S19" s="706"/>
      <c r="T19" s="705"/>
      <c r="U19" s="706"/>
      <c r="V19" s="705"/>
      <c r="W19" s="706"/>
      <c r="X19" s="1355"/>
      <c r="Y19" s="373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34"/>
      <c r="Q21" s="1352"/>
      <c r="R21" s="705"/>
      <c r="S21" s="706"/>
      <c r="T21" s="705"/>
      <c r="U21" s="706"/>
      <c r="V21" s="705"/>
      <c r="W21" s="706"/>
      <c r="X21" s="1355"/>
      <c r="Y21" s="373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4"/>
      <c r="Q24" s="1352">
        <f t="shared" ref="Q24:Q34"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6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8"/>
      <c r="Q27" s="707" t="str">
        <f t="shared" si="11"/>
        <v>成新率</v>
      </c>
      <c r="R27" s="708" t="s">
        <v>14</v>
      </c>
      <c r="S27" s="709" t="e">
        <f t="shared" si="12"/>
        <v>#N/A</v>
      </c>
      <c r="T27" s="708" t="s">
        <v>14</v>
      </c>
      <c r="U27" s="709" t="e">
        <f t="shared" si="13"/>
        <v>#N/A</v>
      </c>
      <c r="V27" s="708" t="s">
        <v>14</v>
      </c>
      <c r="W27" s="709" t="e">
        <f t="shared" si="14"/>
        <v>#N/A</v>
      </c>
      <c r="X27" s="710"/>
      <c r="Y27" s="373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8"/>
      <c r="Q28" s="1352" t="str">
        <f t="shared" si="11"/>
        <v>物业等级</v>
      </c>
      <c r="R28" s="705" t="s">
        <v>14</v>
      </c>
      <c r="S28" s="706">
        <f t="shared" si="12"/>
        <v>100</v>
      </c>
      <c r="T28" s="705" t="s">
        <v>14</v>
      </c>
      <c r="U28" s="706">
        <f t="shared" si="13"/>
        <v>100</v>
      </c>
      <c r="V28" s="705" t="s">
        <v>14</v>
      </c>
      <c r="W28" s="706">
        <f t="shared" si="14"/>
        <v>100</v>
      </c>
      <c r="X28" s="1355"/>
      <c r="Y28" s="373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8"/>
      <c r="Q29" s="1352" t="str">
        <f t="shared" si="11"/>
        <v>有无电梯</v>
      </c>
      <c r="R29" s="705" t="s">
        <v>14</v>
      </c>
      <c r="S29" s="706">
        <f t="shared" si="12"/>
        <v>100</v>
      </c>
      <c r="T29" s="705" t="s">
        <v>14</v>
      </c>
      <c r="U29" s="706">
        <f t="shared" si="13"/>
        <v>100</v>
      </c>
      <c r="V29" s="705" t="s">
        <v>14</v>
      </c>
      <c r="W29" s="706">
        <f t="shared" si="14"/>
        <v>100</v>
      </c>
      <c r="X29" s="1355"/>
      <c r="Y29" s="373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8"/>
      <c r="Q30" s="1352" t="str">
        <f t="shared" si="11"/>
        <v>建筑面积</v>
      </c>
      <c r="R30" s="705" t="s">
        <v>14</v>
      </c>
      <c r="S30" s="706" t="e">
        <f t="shared" si="12"/>
        <v>#N/A</v>
      </c>
      <c r="T30" s="705" t="s">
        <v>14</v>
      </c>
      <c r="U30" s="706" t="e">
        <f t="shared" si="13"/>
        <v>#N/A</v>
      </c>
      <c r="V30" s="705" t="s">
        <v>14</v>
      </c>
      <c r="W30" s="706" t="e">
        <f t="shared" si="14"/>
        <v>#N/A</v>
      </c>
      <c r="X30" s="1355"/>
      <c r="Y30" s="373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8"/>
      <c r="Q31" s="1343" t="str">
        <f t="shared" si="11"/>
        <v>是否封闭</v>
      </c>
      <c r="R31" s="701" t="s">
        <v>14</v>
      </c>
      <c r="S31" s="702">
        <f t="shared" si="12"/>
        <v>100</v>
      </c>
      <c r="T31" s="701" t="s">
        <v>14</v>
      </c>
      <c r="U31" s="702">
        <f t="shared" si="13"/>
        <v>100</v>
      </c>
      <c r="V31" s="701" t="s">
        <v>14</v>
      </c>
      <c r="W31" s="702">
        <f t="shared" si="14"/>
        <v>100</v>
      </c>
      <c r="X31" s="703"/>
      <c r="Y31" s="373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8" t="s">
        <v>1696</v>
      </c>
      <c r="Q32" s="1352">
        <f t="shared" si="11"/>
        <v>111</v>
      </c>
      <c r="R32" s="705" t="s">
        <v>14</v>
      </c>
      <c r="S32" s="706">
        <f t="shared" si="12"/>
        <v>100</v>
      </c>
      <c r="T32" s="705" t="s">
        <v>14</v>
      </c>
      <c r="U32" s="706">
        <f t="shared" si="13"/>
        <v>100</v>
      </c>
      <c r="V32" s="705" t="s">
        <v>14</v>
      </c>
      <c r="W32" s="706">
        <f t="shared" si="14"/>
        <v>100</v>
      </c>
      <c r="X32" s="1355"/>
      <c r="Y32" s="373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8"/>
      <c r="Q33" s="1352">
        <f t="shared" si="11"/>
        <v>111</v>
      </c>
      <c r="R33" s="705" t="s">
        <v>14</v>
      </c>
      <c r="S33" s="706">
        <f t="shared" si="12"/>
        <v>100</v>
      </c>
      <c r="T33" s="705" t="s">
        <v>14</v>
      </c>
      <c r="U33" s="706">
        <f t="shared" si="13"/>
        <v>100</v>
      </c>
      <c r="V33" s="705" t="s">
        <v>14</v>
      </c>
      <c r="W33" s="706">
        <f t="shared" si="14"/>
        <v>100</v>
      </c>
      <c r="X33" s="1355"/>
      <c r="Y33" s="373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8" t="str">
        <f>A37</f>
        <v>估价对象XX用房的比较价值（楼面单价，元/平方米）</v>
      </c>
      <c r="Q37" s="3729"/>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4" t="s">
        <v>1770</v>
      </c>
      <c r="D4" s="3715"/>
      <c r="E4" s="3716" t="s">
        <v>1771</v>
      </c>
      <c r="F4" s="3717"/>
      <c r="G4" s="3714" t="s">
        <v>1772</v>
      </c>
      <c r="H4" s="3715"/>
      <c r="I4" s="3714" t="s">
        <v>1773</v>
      </c>
      <c r="J4" s="3715"/>
      <c r="K4" s="559" t="s">
        <v>1774</v>
      </c>
      <c r="L4" s="2714"/>
      <c r="M4" s="2715"/>
      <c r="N4" s="2715"/>
      <c r="O4" s="2715"/>
      <c r="P4" s="3718" t="s">
        <v>1775</v>
      </c>
      <c r="Q4" s="3719"/>
      <c r="R4" s="3699" t="s">
        <v>1771</v>
      </c>
      <c r="S4" s="3700"/>
      <c r="T4" s="3699" t="s">
        <v>1772</v>
      </c>
      <c r="U4" s="3700"/>
      <c r="V4" s="3726" t="s">
        <v>1773</v>
      </c>
      <c r="W4" s="3726"/>
      <c r="X4" s="1355"/>
      <c r="Y4" s="3699" t="s">
        <v>1775</v>
      </c>
      <c r="Z4" s="3700"/>
      <c r="AA4" s="3694" t="s">
        <v>1771</v>
      </c>
      <c r="AB4" s="3695" t="s">
        <v>1772</v>
      </c>
      <c r="AC4" s="3694" t="s">
        <v>1773</v>
      </c>
    </row>
    <row r="5" spans="1:30" ht="15">
      <c r="A5" s="358"/>
      <c r="B5" s="359"/>
      <c r="C5" s="3709" t="s">
        <v>1673</v>
      </c>
      <c r="D5" s="3706"/>
      <c r="E5" s="3703" t="s">
        <v>1674</v>
      </c>
      <c r="F5" s="3704"/>
      <c r="G5" s="3709" t="s">
        <v>1675</v>
      </c>
      <c r="H5" s="3706"/>
      <c r="I5" s="3709" t="s">
        <v>1676</v>
      </c>
      <c r="J5" s="3706"/>
      <c r="K5" s="559"/>
      <c r="L5" s="2714"/>
      <c r="M5" s="2715"/>
      <c r="N5" s="2715"/>
      <c r="O5" s="2715"/>
      <c r="P5" s="3720"/>
      <c r="Q5" s="3721"/>
      <c r="R5" s="3701"/>
      <c r="S5" s="3702"/>
      <c r="T5" s="3701"/>
      <c r="U5" s="3702"/>
      <c r="V5" s="3726"/>
      <c r="W5" s="3726"/>
      <c r="X5" s="1355"/>
      <c r="Y5" s="3701"/>
      <c r="Z5" s="3702"/>
      <c r="AA5" s="3695"/>
      <c r="AB5" s="3695"/>
      <c r="AC5" s="3695"/>
    </row>
    <row r="6" spans="1:30" ht="15.75" thickBot="1">
      <c r="A6" s="360"/>
      <c r="B6" s="361"/>
      <c r="C6" s="3707" t="s">
        <v>1677</v>
      </c>
      <c r="D6" s="3708"/>
      <c r="E6" s="3746" t="s">
        <v>1677</v>
      </c>
      <c r="F6" s="3711"/>
      <c r="G6" s="3707" t="s">
        <v>1677</v>
      </c>
      <c r="H6" s="3708"/>
      <c r="I6" s="3707" t="s">
        <v>1677</v>
      </c>
      <c r="J6" s="3708"/>
      <c r="K6" s="559" t="s">
        <v>1678</v>
      </c>
      <c r="L6" s="2714"/>
      <c r="M6" s="2715"/>
      <c r="N6" s="2715"/>
      <c r="O6" s="2715"/>
      <c r="P6" s="3722"/>
      <c r="Q6" s="3723"/>
      <c r="R6" s="3701"/>
      <c r="S6" s="3702"/>
      <c r="T6" s="3724"/>
      <c r="U6" s="3725"/>
      <c r="V6" s="3726"/>
      <c r="W6" s="3726"/>
      <c r="X6" s="1355"/>
      <c r="Y6" s="3724"/>
      <c r="Z6" s="3725"/>
      <c r="AA6" s="3696"/>
      <c r="AB6" s="3696"/>
      <c r="AC6" s="3696"/>
    </row>
    <row r="7" spans="1:30" s="108" customFormat="1" ht="15.75" thickBot="1">
      <c r="A7" s="362" t="s">
        <v>1679</v>
      </c>
      <c r="B7" s="363"/>
      <c r="C7" s="364">
        <f>'数据-取费表'!B2</f>
        <v>45096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97" t="s">
        <v>1680</v>
      </c>
      <c r="Q7" s="372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3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31"/>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31"/>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31"/>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1"/>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1"/>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3" t="s">
        <v>1691</v>
      </c>
      <c r="Q15" s="1352" t="str">
        <f t="shared" si="6"/>
        <v>居住社区成熟度</v>
      </c>
      <c r="R15" s="705" t="s">
        <v>14</v>
      </c>
      <c r="S15" s="706">
        <f t="shared" si="0"/>
        <v>100</v>
      </c>
      <c r="T15" s="705" t="s">
        <v>14</v>
      </c>
      <c r="U15" s="706">
        <f t="shared" si="1"/>
        <v>100</v>
      </c>
      <c r="V15" s="705" t="s">
        <v>14</v>
      </c>
      <c r="W15" s="706">
        <f t="shared" si="2"/>
        <v>100</v>
      </c>
      <c r="X15" s="1355"/>
      <c r="Y15" s="373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34"/>
      <c r="Q16" s="1352"/>
      <c r="R16" s="705"/>
      <c r="S16" s="706"/>
      <c r="T16" s="705"/>
      <c r="U16" s="706"/>
      <c r="V16" s="705"/>
      <c r="W16" s="706"/>
      <c r="X16" s="1355"/>
      <c r="Y16" s="373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4"/>
      <c r="Q17" s="1352" t="str">
        <f>B17</f>
        <v>商业繁华度</v>
      </c>
      <c r="R17" s="705" t="s">
        <v>14</v>
      </c>
      <c r="S17" s="706">
        <f>F17</f>
        <v>100</v>
      </c>
      <c r="T17" s="705" t="s">
        <v>14</v>
      </c>
      <c r="U17" s="706">
        <f>H17</f>
        <v>100</v>
      </c>
      <c r="V17" s="705" t="s">
        <v>14</v>
      </c>
      <c r="W17" s="706">
        <f>J17</f>
        <v>100</v>
      </c>
      <c r="X17" s="1355"/>
      <c r="Y17" s="373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34"/>
      <c r="Q18" s="1352"/>
      <c r="R18" s="705"/>
      <c r="S18" s="706"/>
      <c r="T18" s="705"/>
      <c r="U18" s="706"/>
      <c r="V18" s="705"/>
      <c r="W18" s="706"/>
      <c r="X18" s="1355"/>
      <c r="Y18" s="373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4"/>
      <c r="Q19" s="1352" t="str">
        <f>B19</f>
        <v>办公集聚程度</v>
      </c>
      <c r="R19" s="705" t="s">
        <v>14</v>
      </c>
      <c r="S19" s="706">
        <f>F19</f>
        <v>100</v>
      </c>
      <c r="T19" s="705" t="s">
        <v>14</v>
      </c>
      <c r="U19" s="706">
        <f>H19</f>
        <v>100</v>
      </c>
      <c r="V19" s="705" t="s">
        <v>14</v>
      </c>
      <c r="W19" s="706">
        <f>J19</f>
        <v>100</v>
      </c>
      <c r="X19" s="1355"/>
      <c r="Y19" s="373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34"/>
      <c r="Q20" s="1352"/>
      <c r="R20" s="705"/>
      <c r="S20" s="706"/>
      <c r="T20" s="705"/>
      <c r="U20" s="706"/>
      <c r="V20" s="705"/>
      <c r="W20" s="706"/>
      <c r="X20" s="1355"/>
      <c r="Y20" s="373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4"/>
      <c r="Q21" s="1352" t="str">
        <f>B21</f>
        <v>交通便捷度</v>
      </c>
      <c r="R21" s="705" t="s">
        <v>14</v>
      </c>
      <c r="S21" s="706">
        <f>F21</f>
        <v>100</v>
      </c>
      <c r="T21" s="705" t="s">
        <v>14</v>
      </c>
      <c r="U21" s="706">
        <f>H21</f>
        <v>100</v>
      </c>
      <c r="V21" s="705" t="s">
        <v>14</v>
      </c>
      <c r="W21" s="706">
        <f>J21</f>
        <v>100</v>
      </c>
      <c r="X21" s="1355"/>
      <c r="Y21" s="373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34"/>
      <c r="Q22" s="1352"/>
      <c r="R22" s="705"/>
      <c r="S22" s="706"/>
      <c r="T22" s="705"/>
      <c r="U22" s="706"/>
      <c r="V22" s="705"/>
      <c r="W22" s="706"/>
      <c r="X22" s="1355"/>
      <c r="Y22" s="373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4"/>
      <c r="Q23" s="1352" t="str">
        <f t="shared" ref="Q23:Q37" si="8">B23</f>
        <v>区域土地利用方向</v>
      </c>
      <c r="R23" s="705" t="s">
        <v>14</v>
      </c>
      <c r="S23" s="706">
        <f>F23</f>
        <v>100</v>
      </c>
      <c r="T23" s="705" t="s">
        <v>14</v>
      </c>
      <c r="U23" s="706">
        <f>H23</f>
        <v>100</v>
      </c>
      <c r="V23" s="705" t="s">
        <v>14</v>
      </c>
      <c r="W23" s="706">
        <f>J23</f>
        <v>100</v>
      </c>
      <c r="X23" s="1355"/>
      <c r="Y23" s="373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34"/>
      <c r="Q24" s="1352"/>
      <c r="R24" s="705"/>
      <c r="S24" s="706"/>
      <c r="T24" s="705"/>
      <c r="U24" s="706"/>
      <c r="V24" s="705"/>
      <c r="W24" s="706"/>
      <c r="X24" s="1355"/>
      <c r="Y24" s="373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4"/>
      <c r="Q25" s="1352" t="str">
        <f t="shared" si="8"/>
        <v>自然及人文环境状况</v>
      </c>
      <c r="R25" s="705" t="s">
        <v>14</v>
      </c>
      <c r="S25" s="706">
        <f>F25</f>
        <v>100</v>
      </c>
      <c r="T25" s="705" t="s">
        <v>14</v>
      </c>
      <c r="U25" s="706">
        <f>H25</f>
        <v>100</v>
      </c>
      <c r="V25" s="705" t="s">
        <v>14</v>
      </c>
      <c r="W25" s="706">
        <f>J25</f>
        <v>100</v>
      </c>
      <c r="X25" s="1355"/>
      <c r="Y25" s="373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34"/>
      <c r="Q26" s="1352"/>
      <c r="R26" s="705"/>
      <c r="S26" s="706"/>
      <c r="T26" s="705"/>
      <c r="U26" s="706"/>
      <c r="V26" s="705"/>
      <c r="W26" s="706"/>
      <c r="X26" s="1355"/>
      <c r="Y26" s="373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4"/>
      <c r="Q27" s="1343" t="str">
        <f t="shared" si="8"/>
        <v>公共配套设施</v>
      </c>
      <c r="R27" s="701" t="s">
        <v>14</v>
      </c>
      <c r="S27" s="702">
        <f>F27</f>
        <v>100</v>
      </c>
      <c r="T27" s="701" t="s">
        <v>14</v>
      </c>
      <c r="U27" s="702">
        <f>H27</f>
        <v>100</v>
      </c>
      <c r="V27" s="701" t="s">
        <v>14</v>
      </c>
      <c r="W27" s="702">
        <f>J27</f>
        <v>100</v>
      </c>
      <c r="X27" s="703"/>
      <c r="Y27" s="373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34"/>
      <c r="Q28" s="1343"/>
      <c r="R28" s="701"/>
      <c r="S28" s="702"/>
      <c r="T28" s="701"/>
      <c r="U28" s="702"/>
      <c r="V28" s="701"/>
      <c r="W28" s="702"/>
      <c r="X28" s="703"/>
      <c r="Y28" s="373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4"/>
      <c r="Q29" s="1343" t="str">
        <f t="shared" ref="Q29" si="9">B29</f>
        <v>基础设施水平</v>
      </c>
      <c r="R29" s="701" t="s">
        <v>14</v>
      </c>
      <c r="S29" s="702">
        <f>F29</f>
        <v>100</v>
      </c>
      <c r="T29" s="701" t="s">
        <v>14</v>
      </c>
      <c r="U29" s="702">
        <f>H29</f>
        <v>100</v>
      </c>
      <c r="V29" s="701" t="s">
        <v>14</v>
      </c>
      <c r="W29" s="702">
        <f>J29</f>
        <v>100</v>
      </c>
      <c r="X29" s="703"/>
      <c r="Y29" s="373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34"/>
      <c r="Q30" s="1343"/>
      <c r="R30" s="701"/>
      <c r="S30" s="702"/>
      <c r="T30" s="701"/>
      <c r="U30" s="702"/>
      <c r="V30" s="701"/>
      <c r="W30" s="702"/>
      <c r="X30" s="703"/>
      <c r="Y30" s="373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4"/>
      <c r="Q32" s="1352" t="str">
        <f t="shared" si="8"/>
        <v>毗邻道路的类型与等级</v>
      </c>
      <c r="R32" s="705" t="s">
        <v>14</v>
      </c>
      <c r="S32" s="706">
        <f t="shared" si="10"/>
        <v>100</v>
      </c>
      <c r="T32" s="705" t="s">
        <v>14</v>
      </c>
      <c r="U32" s="706">
        <f t="shared" si="11"/>
        <v>100</v>
      </c>
      <c r="V32" s="705" t="s">
        <v>14</v>
      </c>
      <c r="W32" s="706">
        <f t="shared" si="12"/>
        <v>100</v>
      </c>
      <c r="X32" s="1355"/>
      <c r="Y32" s="373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34"/>
      <c r="Q33" s="1352"/>
      <c r="R33" s="705"/>
      <c r="S33" s="706"/>
      <c r="T33" s="705"/>
      <c r="U33" s="706"/>
      <c r="V33" s="705"/>
      <c r="W33" s="706"/>
      <c r="X33" s="1355"/>
      <c r="Y33" s="373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4"/>
      <c r="Q34" s="1352" t="str">
        <f t="shared" si="8"/>
        <v>土地级别</v>
      </c>
      <c r="R34" s="705" t="s">
        <v>14</v>
      </c>
      <c r="S34" s="706">
        <f t="shared" si="10"/>
        <v>100</v>
      </c>
      <c r="T34" s="705" t="s">
        <v>14</v>
      </c>
      <c r="U34" s="706">
        <f t="shared" si="11"/>
        <v>100</v>
      </c>
      <c r="V34" s="705" t="s">
        <v>14</v>
      </c>
      <c r="W34" s="706">
        <f t="shared" si="12"/>
        <v>100</v>
      </c>
      <c r="X34" s="1355"/>
      <c r="Y34" s="373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4"/>
      <c r="Q35" s="1352">
        <f t="shared" si="8"/>
        <v>111</v>
      </c>
      <c r="R35" s="705" t="s">
        <v>14</v>
      </c>
      <c r="S35" s="706">
        <f t="shared" si="10"/>
        <v>100</v>
      </c>
      <c r="T35" s="705" t="s">
        <v>14</v>
      </c>
      <c r="U35" s="706">
        <f t="shared" si="11"/>
        <v>100</v>
      </c>
      <c r="V35" s="705" t="s">
        <v>14</v>
      </c>
      <c r="W35" s="706">
        <f t="shared" si="12"/>
        <v>100</v>
      </c>
      <c r="X35" s="1355"/>
      <c r="Y35" s="373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2" t="s">
        <v>1696</v>
      </c>
      <c r="Q36" s="1352">
        <f t="shared" si="8"/>
        <v>111</v>
      </c>
      <c r="R36" s="705" t="s">
        <v>14</v>
      </c>
      <c r="S36" s="706">
        <f t="shared" si="10"/>
        <v>100</v>
      </c>
      <c r="T36" s="705" t="s">
        <v>14</v>
      </c>
      <c r="U36" s="706">
        <f t="shared" si="11"/>
        <v>100</v>
      </c>
      <c r="V36" s="705" t="s">
        <v>14</v>
      </c>
      <c r="W36" s="706">
        <f t="shared" si="12"/>
        <v>100</v>
      </c>
      <c r="X36" s="1355"/>
      <c r="Y36" s="373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8"/>
      <c r="Q37" s="1352">
        <f t="shared" si="8"/>
        <v>111</v>
      </c>
      <c r="R37" s="708" t="s">
        <v>14</v>
      </c>
      <c r="S37" s="709">
        <f t="shared" si="10"/>
        <v>100</v>
      </c>
      <c r="T37" s="708" t="s">
        <v>14</v>
      </c>
      <c r="U37" s="709">
        <f t="shared" si="11"/>
        <v>100</v>
      </c>
      <c r="V37" s="708" t="s">
        <v>14</v>
      </c>
      <c r="W37" s="709">
        <f t="shared" si="12"/>
        <v>100</v>
      </c>
      <c r="X37" s="710"/>
      <c r="Y37" s="373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8"/>
      <c r="Q38" s="1352" t="str">
        <f>B38</f>
        <v>宗地面积</v>
      </c>
      <c r="R38" s="705" t="s">
        <v>14</v>
      </c>
      <c r="S38" s="706" t="e">
        <f t="shared" si="10"/>
        <v>#N/A</v>
      </c>
      <c r="T38" s="705" t="s">
        <v>14</v>
      </c>
      <c r="U38" s="706" t="e">
        <f t="shared" si="11"/>
        <v>#N/A</v>
      </c>
      <c r="V38" s="705" t="s">
        <v>14</v>
      </c>
      <c r="W38" s="706" t="e">
        <f t="shared" si="12"/>
        <v>#N/A</v>
      </c>
      <c r="X38" s="1355"/>
      <c r="Y38" s="373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38"/>
      <c r="Q39" s="1352" t="str">
        <f t="shared" ref="Q39:Q45" si="14">B39</f>
        <v>宗地形状</v>
      </c>
      <c r="R39" s="705" t="s">
        <v>14</v>
      </c>
      <c r="S39" s="706">
        <f t="shared" si="10"/>
        <v>100</v>
      </c>
      <c r="T39" s="705" t="s">
        <v>14</v>
      </c>
      <c r="U39" s="706">
        <f t="shared" si="11"/>
        <v>100</v>
      </c>
      <c r="V39" s="705" t="s">
        <v>14</v>
      </c>
      <c r="W39" s="706">
        <f t="shared" si="12"/>
        <v>100</v>
      </c>
      <c r="X39" s="1355"/>
      <c r="Y39" s="373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38"/>
      <c r="Q40" s="1352" t="str">
        <f t="shared" si="14"/>
        <v>临街宽度及深度</v>
      </c>
      <c r="R40" s="705" t="s">
        <v>14</v>
      </c>
      <c r="S40" s="706">
        <f t="shared" si="10"/>
        <v>100</v>
      </c>
      <c r="T40" s="705" t="s">
        <v>14</v>
      </c>
      <c r="U40" s="706">
        <f t="shared" si="11"/>
        <v>100</v>
      </c>
      <c r="V40" s="705" t="s">
        <v>14</v>
      </c>
      <c r="W40" s="706">
        <f t="shared" si="12"/>
        <v>100</v>
      </c>
      <c r="X40" s="1355"/>
      <c r="Y40" s="373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38"/>
      <c r="Q41" s="1352" t="str">
        <f t="shared" si="14"/>
        <v>宗地开发程度</v>
      </c>
      <c r="R41" s="701" t="s">
        <v>14</v>
      </c>
      <c r="S41" s="702">
        <f t="shared" si="10"/>
        <v>100</v>
      </c>
      <c r="T41" s="701" t="s">
        <v>14</v>
      </c>
      <c r="U41" s="702">
        <f t="shared" si="11"/>
        <v>100</v>
      </c>
      <c r="V41" s="701" t="s">
        <v>14</v>
      </c>
      <c r="W41" s="702">
        <f t="shared" si="12"/>
        <v>100</v>
      </c>
      <c r="X41" s="703"/>
      <c r="Y41" s="373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38" t="s">
        <v>1696</v>
      </c>
      <c r="Q42" s="1352" t="str">
        <f t="shared" si="14"/>
        <v>工程地质条件</v>
      </c>
      <c r="R42" s="705" t="s">
        <v>14</v>
      </c>
      <c r="S42" s="706">
        <f t="shared" si="10"/>
        <v>100</v>
      </c>
      <c r="T42" s="705" t="s">
        <v>14</v>
      </c>
      <c r="U42" s="706">
        <f t="shared" si="11"/>
        <v>100</v>
      </c>
      <c r="V42" s="705" t="s">
        <v>14</v>
      </c>
      <c r="W42" s="706">
        <f t="shared" si="12"/>
        <v>100</v>
      </c>
      <c r="X42" s="1355"/>
      <c r="Y42" s="373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8"/>
      <c r="Q43" s="1352">
        <f t="shared" si="14"/>
        <v>111</v>
      </c>
      <c r="R43" s="705" t="s">
        <v>14</v>
      </c>
      <c r="S43" s="706">
        <f t="shared" si="10"/>
        <v>100</v>
      </c>
      <c r="T43" s="705" t="s">
        <v>14</v>
      </c>
      <c r="U43" s="706">
        <f t="shared" si="11"/>
        <v>100</v>
      </c>
      <c r="V43" s="705" t="s">
        <v>14</v>
      </c>
      <c r="W43" s="706">
        <f t="shared" si="12"/>
        <v>100</v>
      </c>
      <c r="X43" s="1355"/>
      <c r="Y43" s="373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8"/>
      <c r="Q44" s="1352">
        <f t="shared" si="14"/>
        <v>111</v>
      </c>
      <c r="R44" s="705" t="s">
        <v>14</v>
      </c>
      <c r="S44" s="706">
        <f t="shared" si="10"/>
        <v>100</v>
      </c>
      <c r="T44" s="705" t="s">
        <v>14</v>
      </c>
      <c r="U44" s="706">
        <f t="shared" si="11"/>
        <v>100</v>
      </c>
      <c r="V44" s="705" t="s">
        <v>14</v>
      </c>
      <c r="W44" s="706">
        <f t="shared" si="12"/>
        <v>100</v>
      </c>
      <c r="X44" s="1355"/>
      <c r="Y44" s="373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8"/>
      <c r="Q45" s="1352">
        <f t="shared" si="14"/>
        <v>111</v>
      </c>
      <c r="R45" s="708" t="s">
        <v>14</v>
      </c>
      <c r="S45" s="709">
        <f t="shared" si="10"/>
        <v>100</v>
      </c>
      <c r="T45" s="708" t="s">
        <v>14</v>
      </c>
      <c r="U45" s="709">
        <f t="shared" si="11"/>
        <v>100</v>
      </c>
      <c r="V45" s="708" t="s">
        <v>14</v>
      </c>
      <c r="W45" s="709">
        <f t="shared" si="12"/>
        <v>100</v>
      </c>
      <c r="X45" s="710"/>
      <c r="Y45" s="373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31" t="str">
        <f>A46</f>
        <v>成交单价</v>
      </c>
      <c r="Q46" s="3731"/>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31" t="str">
        <f>A47</f>
        <v>比较价值（元/平方米）</v>
      </c>
      <c r="Q47" s="3731"/>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8" t="str">
        <f>A48</f>
        <v>估价对象XX用房的比较价值（楼面单价，元/平方米）</v>
      </c>
      <c r="Q48" s="3729"/>
      <c r="R48" s="3765" t="e">
        <f>ROUND(IF(D47="简单平均",AVERAGE(R47:W47),R47*F47+T47*H47+V47*J47),0)</f>
        <v>#DIV/0!</v>
      </c>
      <c r="S48" s="3765"/>
      <c r="T48" s="3765"/>
      <c r="U48" s="3765"/>
      <c r="V48" s="3765"/>
      <c r="W48" s="376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4" t="s">
        <v>1887</v>
      </c>
      <c r="H55" s="376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76.930000000000007</v>
      </c>
      <c r="F56" s="886" t="e">
        <f t="shared" ref="F56:F64" si="15">ROUND(B56*E56/10000,0)</f>
        <v>#DIV/0!</v>
      </c>
      <c r="G56" s="3713"/>
      <c r="H56" s="373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76.930000000000007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4"/>
      <c r="M4" s="2715"/>
      <c r="N4" s="2715"/>
      <c r="O4" s="2715"/>
      <c r="P4" s="3718" t="s">
        <v>1775</v>
      </c>
      <c r="Q4" s="3719"/>
      <c r="R4" s="3699" t="s">
        <v>1771</v>
      </c>
      <c r="S4" s="3700"/>
      <c r="T4" s="3699" t="s">
        <v>1772</v>
      </c>
      <c r="U4" s="3700"/>
      <c r="V4" s="3726" t="s">
        <v>1773</v>
      </c>
      <c r="W4" s="3726"/>
      <c r="X4" s="1355"/>
      <c r="Y4" s="3699" t="s">
        <v>1775</v>
      </c>
      <c r="Z4" s="3700"/>
      <c r="AA4" s="3694" t="s">
        <v>1771</v>
      </c>
      <c r="AB4" s="3695" t="s">
        <v>1772</v>
      </c>
      <c r="AC4" s="3694" t="s">
        <v>1773</v>
      </c>
    </row>
    <row r="5" spans="1:29" ht="15">
      <c r="A5" s="358"/>
      <c r="B5" s="359"/>
      <c r="C5" s="3709" t="s">
        <v>1673</v>
      </c>
      <c r="D5" s="3706"/>
      <c r="E5" s="3703" t="s">
        <v>1674</v>
      </c>
      <c r="F5" s="3704"/>
      <c r="G5" s="3709" t="s">
        <v>1675</v>
      </c>
      <c r="H5" s="3706"/>
      <c r="I5" s="3709" t="s">
        <v>1676</v>
      </c>
      <c r="J5" s="3706"/>
      <c r="K5" s="559"/>
      <c r="L5" s="2714"/>
      <c r="M5" s="2715"/>
      <c r="N5" s="2715"/>
      <c r="O5" s="2715"/>
      <c r="P5" s="3720"/>
      <c r="Q5" s="3721"/>
      <c r="R5" s="3701"/>
      <c r="S5" s="3702"/>
      <c r="T5" s="3701"/>
      <c r="U5" s="3702"/>
      <c r="V5" s="3726"/>
      <c r="W5" s="3726"/>
      <c r="X5" s="1355"/>
      <c r="Y5" s="3701"/>
      <c r="Z5" s="3702"/>
      <c r="AA5" s="3695"/>
      <c r="AB5" s="3695"/>
      <c r="AC5" s="3695"/>
    </row>
    <row r="6" spans="1:29" ht="15.75" thickBot="1">
      <c r="A6" s="360"/>
      <c r="B6" s="361"/>
      <c r="C6" s="3767" t="s">
        <v>1919</v>
      </c>
      <c r="D6" s="3768"/>
      <c r="E6" s="3769" t="s">
        <v>1919</v>
      </c>
      <c r="F6" s="3770"/>
      <c r="G6" s="3767" t="s">
        <v>1919</v>
      </c>
      <c r="H6" s="3768"/>
      <c r="I6" s="3767" t="s">
        <v>1919</v>
      </c>
      <c r="J6" s="3768"/>
      <c r="K6" s="559" t="s">
        <v>1678</v>
      </c>
      <c r="L6" s="2714"/>
      <c r="M6" s="2715"/>
      <c r="N6" s="2715"/>
      <c r="O6" s="2715"/>
      <c r="P6" s="3722"/>
      <c r="Q6" s="3723"/>
      <c r="R6" s="3701"/>
      <c r="S6" s="3702"/>
      <c r="T6" s="3724"/>
      <c r="U6" s="3725"/>
      <c r="V6" s="3726"/>
      <c r="W6" s="3726"/>
      <c r="X6" s="1355"/>
      <c r="Y6" s="3724"/>
      <c r="Z6" s="3725"/>
      <c r="AA6" s="3696"/>
      <c r="AB6" s="3696"/>
      <c r="AC6" s="3696"/>
    </row>
    <row r="7" spans="1:29" s="108" customFormat="1" ht="15.75" thickBot="1">
      <c r="A7" s="362" t="s">
        <v>1679</v>
      </c>
      <c r="B7" s="363"/>
      <c r="C7" s="364">
        <f>'数据-取费表'!B2</f>
        <v>45096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97" t="s">
        <v>1680</v>
      </c>
      <c r="Q7" s="372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3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31"/>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31"/>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34"/>
      <c r="Q16" s="1352"/>
      <c r="R16" s="705"/>
      <c r="S16" s="706"/>
      <c r="T16" s="705"/>
      <c r="U16" s="706"/>
      <c r="V16" s="705"/>
      <c r="W16" s="706"/>
      <c r="X16" s="1355"/>
      <c r="Y16" s="373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34"/>
      <c r="Q18" s="1352"/>
      <c r="R18" s="705"/>
      <c r="S18" s="706"/>
      <c r="T18" s="705"/>
      <c r="U18" s="706"/>
      <c r="V18" s="705"/>
      <c r="W18" s="706"/>
      <c r="X18" s="1355"/>
      <c r="Y18" s="373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4"/>
      <c r="Q19" s="1352" t="str">
        <f t="shared" ref="Q19:Q33" si="8">B19</f>
        <v>区域土地利用方向</v>
      </c>
      <c r="R19" s="705" t="s">
        <v>14</v>
      </c>
      <c r="S19" s="706">
        <f>F19</f>
        <v>100</v>
      </c>
      <c r="T19" s="705" t="s">
        <v>14</v>
      </c>
      <c r="U19" s="706">
        <f>H19</f>
        <v>100</v>
      </c>
      <c r="V19" s="705" t="s">
        <v>14</v>
      </c>
      <c r="W19" s="706">
        <f>J19</f>
        <v>100</v>
      </c>
      <c r="X19" s="1355"/>
      <c r="Y19" s="373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34"/>
      <c r="Q20" s="1352"/>
      <c r="R20" s="705"/>
      <c r="S20" s="706"/>
      <c r="T20" s="705"/>
      <c r="U20" s="706"/>
      <c r="V20" s="705"/>
      <c r="W20" s="706"/>
      <c r="X20" s="1355"/>
      <c r="Y20" s="373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4"/>
      <c r="Q21" s="1352" t="str">
        <f t="shared" si="8"/>
        <v>环境状况</v>
      </c>
      <c r="R21" s="705" t="s">
        <v>14</v>
      </c>
      <c r="S21" s="706">
        <f>F21</f>
        <v>100</v>
      </c>
      <c r="T21" s="705" t="s">
        <v>14</v>
      </c>
      <c r="U21" s="706">
        <f>H21</f>
        <v>100</v>
      </c>
      <c r="V21" s="705" t="s">
        <v>14</v>
      </c>
      <c r="W21" s="706">
        <f>J21</f>
        <v>100</v>
      </c>
      <c r="X21" s="1355"/>
      <c r="Y21" s="373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34"/>
      <c r="Q22" s="1352"/>
      <c r="R22" s="705"/>
      <c r="S22" s="706"/>
      <c r="T22" s="705"/>
      <c r="U22" s="706"/>
      <c r="V22" s="705"/>
      <c r="W22" s="706"/>
      <c r="X22" s="1355"/>
      <c r="Y22" s="373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4"/>
      <c r="Q23" s="1343" t="str">
        <f t="shared" si="8"/>
        <v>公共配套设施</v>
      </c>
      <c r="R23" s="701" t="s">
        <v>14</v>
      </c>
      <c r="S23" s="702">
        <f>F23</f>
        <v>100</v>
      </c>
      <c r="T23" s="701" t="s">
        <v>14</v>
      </c>
      <c r="U23" s="702">
        <f>H23</f>
        <v>100</v>
      </c>
      <c r="V23" s="701" t="s">
        <v>14</v>
      </c>
      <c r="W23" s="702">
        <f>J23</f>
        <v>100</v>
      </c>
      <c r="X23" s="703"/>
      <c r="Y23" s="373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34"/>
      <c r="Q24" s="1343"/>
      <c r="R24" s="701"/>
      <c r="S24" s="702"/>
      <c r="T24" s="701"/>
      <c r="U24" s="702"/>
      <c r="V24" s="701"/>
      <c r="W24" s="702"/>
      <c r="X24" s="703"/>
      <c r="Y24" s="373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4"/>
      <c r="Q25" s="1343" t="str">
        <f t="shared" ref="Q25" si="9">B25</f>
        <v>基础设施水平</v>
      </c>
      <c r="R25" s="701" t="s">
        <v>14</v>
      </c>
      <c r="S25" s="702">
        <f>F25</f>
        <v>100</v>
      </c>
      <c r="T25" s="701" t="s">
        <v>14</v>
      </c>
      <c r="U25" s="702">
        <f>H25</f>
        <v>100</v>
      </c>
      <c r="V25" s="701" t="s">
        <v>14</v>
      </c>
      <c r="W25" s="702">
        <f>J25</f>
        <v>100</v>
      </c>
      <c r="X25" s="703"/>
      <c r="Y25" s="373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34"/>
      <c r="Q26" s="1343"/>
      <c r="R26" s="701"/>
      <c r="S26" s="702"/>
      <c r="T26" s="701"/>
      <c r="U26" s="702"/>
      <c r="V26" s="701"/>
      <c r="W26" s="702"/>
      <c r="X26" s="703"/>
      <c r="Y26" s="373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4"/>
      <c r="Q28" s="1352" t="str">
        <f t="shared" si="8"/>
        <v>毗邻道路的类型与等级</v>
      </c>
      <c r="R28" s="705" t="s">
        <v>14</v>
      </c>
      <c r="S28" s="706">
        <f t="shared" si="10"/>
        <v>100</v>
      </c>
      <c r="T28" s="705" t="s">
        <v>14</v>
      </c>
      <c r="U28" s="706">
        <f t="shared" si="11"/>
        <v>100</v>
      </c>
      <c r="V28" s="705" t="s">
        <v>14</v>
      </c>
      <c r="W28" s="706">
        <f t="shared" si="12"/>
        <v>100</v>
      </c>
      <c r="X28" s="1355"/>
      <c r="Y28" s="373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34"/>
      <c r="Q29" s="1352"/>
      <c r="R29" s="705"/>
      <c r="S29" s="706"/>
      <c r="T29" s="705"/>
      <c r="U29" s="706"/>
      <c r="V29" s="705"/>
      <c r="W29" s="706"/>
      <c r="X29" s="1355"/>
      <c r="Y29" s="373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4"/>
      <c r="Q30" s="1352" t="str">
        <f t="shared" si="8"/>
        <v>土地级别</v>
      </c>
      <c r="R30" s="705" t="s">
        <v>14</v>
      </c>
      <c r="S30" s="706">
        <f t="shared" si="10"/>
        <v>100</v>
      </c>
      <c r="T30" s="705" t="s">
        <v>14</v>
      </c>
      <c r="U30" s="706">
        <f t="shared" si="11"/>
        <v>100</v>
      </c>
      <c r="V30" s="705" t="s">
        <v>14</v>
      </c>
      <c r="W30" s="706">
        <f t="shared" si="12"/>
        <v>100</v>
      </c>
      <c r="X30" s="1355"/>
      <c r="Y30" s="373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4"/>
      <c r="Q31" s="1352">
        <f t="shared" si="8"/>
        <v>111</v>
      </c>
      <c r="R31" s="705" t="s">
        <v>14</v>
      </c>
      <c r="S31" s="706">
        <f t="shared" si="10"/>
        <v>100</v>
      </c>
      <c r="T31" s="705" t="s">
        <v>14</v>
      </c>
      <c r="U31" s="706">
        <f t="shared" si="11"/>
        <v>100</v>
      </c>
      <c r="V31" s="705" t="s">
        <v>14</v>
      </c>
      <c r="W31" s="706">
        <f t="shared" si="12"/>
        <v>100</v>
      </c>
      <c r="X31" s="1355"/>
      <c r="Y31" s="373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2" t="s">
        <v>1696</v>
      </c>
      <c r="Q32" s="1352">
        <f t="shared" si="8"/>
        <v>111</v>
      </c>
      <c r="R32" s="705" t="s">
        <v>14</v>
      </c>
      <c r="S32" s="706">
        <f t="shared" si="10"/>
        <v>100</v>
      </c>
      <c r="T32" s="705" t="s">
        <v>14</v>
      </c>
      <c r="U32" s="706">
        <f t="shared" si="11"/>
        <v>100</v>
      </c>
      <c r="V32" s="705" t="s">
        <v>14</v>
      </c>
      <c r="W32" s="706">
        <f t="shared" si="12"/>
        <v>100</v>
      </c>
      <c r="X32" s="1355"/>
      <c r="Y32" s="373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8"/>
      <c r="Q33" s="1352">
        <f t="shared" si="8"/>
        <v>111</v>
      </c>
      <c r="R33" s="708" t="s">
        <v>14</v>
      </c>
      <c r="S33" s="709">
        <f t="shared" si="10"/>
        <v>100</v>
      </c>
      <c r="T33" s="708" t="s">
        <v>14</v>
      </c>
      <c r="U33" s="709">
        <f t="shared" si="11"/>
        <v>100</v>
      </c>
      <c r="V33" s="708" t="s">
        <v>14</v>
      </c>
      <c r="W33" s="709">
        <f t="shared" si="12"/>
        <v>100</v>
      </c>
      <c r="X33" s="710"/>
      <c r="Y33" s="373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8"/>
      <c r="Q34" s="1352" t="str">
        <f>B34</f>
        <v>宗地面积</v>
      </c>
      <c r="R34" s="705" t="s">
        <v>14</v>
      </c>
      <c r="S34" s="706" t="e">
        <f t="shared" si="10"/>
        <v>#N/A</v>
      </c>
      <c r="T34" s="705" t="s">
        <v>14</v>
      </c>
      <c r="U34" s="706" t="e">
        <f t="shared" si="11"/>
        <v>#N/A</v>
      </c>
      <c r="V34" s="705" t="s">
        <v>14</v>
      </c>
      <c r="W34" s="706" t="e">
        <f t="shared" si="12"/>
        <v>#N/A</v>
      </c>
      <c r="X34" s="1355"/>
      <c r="Y34" s="373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38"/>
      <c r="Q35" s="1352" t="str">
        <f t="shared" ref="Q35:Q40" si="14">B35</f>
        <v>宗地形状</v>
      </c>
      <c r="R35" s="705" t="s">
        <v>14</v>
      </c>
      <c r="S35" s="706">
        <f t="shared" si="10"/>
        <v>100</v>
      </c>
      <c r="T35" s="705" t="s">
        <v>14</v>
      </c>
      <c r="U35" s="706">
        <f t="shared" si="11"/>
        <v>100</v>
      </c>
      <c r="V35" s="705" t="s">
        <v>14</v>
      </c>
      <c r="W35" s="706">
        <f t="shared" si="12"/>
        <v>100</v>
      </c>
      <c r="X35" s="1355"/>
      <c r="Y35" s="373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38"/>
      <c r="Q36" s="1352" t="str">
        <f t="shared" si="14"/>
        <v>宗地开发程度</v>
      </c>
      <c r="R36" s="701" t="s">
        <v>14</v>
      </c>
      <c r="S36" s="702">
        <f t="shared" si="10"/>
        <v>100</v>
      </c>
      <c r="T36" s="701" t="s">
        <v>14</v>
      </c>
      <c r="U36" s="702">
        <f t="shared" si="11"/>
        <v>100</v>
      </c>
      <c r="V36" s="701" t="s">
        <v>14</v>
      </c>
      <c r="W36" s="702">
        <f t="shared" si="12"/>
        <v>100</v>
      </c>
      <c r="X36" s="703"/>
      <c r="Y36" s="373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38" t="s">
        <v>1696</v>
      </c>
      <c r="Q37" s="1352" t="str">
        <f t="shared" si="14"/>
        <v>工程地质条件</v>
      </c>
      <c r="R37" s="705" t="s">
        <v>14</v>
      </c>
      <c r="S37" s="706">
        <f t="shared" si="10"/>
        <v>100</v>
      </c>
      <c r="T37" s="705" t="s">
        <v>14</v>
      </c>
      <c r="U37" s="706">
        <f t="shared" si="11"/>
        <v>100</v>
      </c>
      <c r="V37" s="705" t="s">
        <v>14</v>
      </c>
      <c r="W37" s="706">
        <f t="shared" si="12"/>
        <v>100</v>
      </c>
      <c r="X37" s="1355"/>
      <c r="Y37" s="373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8"/>
      <c r="Q38" s="1352">
        <f t="shared" si="14"/>
        <v>111</v>
      </c>
      <c r="R38" s="705" t="s">
        <v>14</v>
      </c>
      <c r="S38" s="706">
        <f t="shared" si="10"/>
        <v>100</v>
      </c>
      <c r="T38" s="705" t="s">
        <v>14</v>
      </c>
      <c r="U38" s="706">
        <f t="shared" si="11"/>
        <v>100</v>
      </c>
      <c r="V38" s="705" t="s">
        <v>14</v>
      </c>
      <c r="W38" s="706">
        <f t="shared" si="12"/>
        <v>100</v>
      </c>
      <c r="X38" s="1355"/>
      <c r="Y38" s="373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8"/>
      <c r="Q39" s="1352">
        <f t="shared" si="14"/>
        <v>111</v>
      </c>
      <c r="R39" s="705" t="s">
        <v>14</v>
      </c>
      <c r="S39" s="706">
        <f t="shared" si="10"/>
        <v>100</v>
      </c>
      <c r="T39" s="705" t="s">
        <v>14</v>
      </c>
      <c r="U39" s="706">
        <f t="shared" si="11"/>
        <v>100</v>
      </c>
      <c r="V39" s="705" t="s">
        <v>14</v>
      </c>
      <c r="W39" s="706">
        <f t="shared" si="12"/>
        <v>100</v>
      </c>
      <c r="X39" s="1355"/>
      <c r="Y39" s="373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8"/>
      <c r="Q40" s="1352">
        <f t="shared" si="14"/>
        <v>111</v>
      </c>
      <c r="R40" s="708" t="s">
        <v>14</v>
      </c>
      <c r="S40" s="709">
        <f t="shared" si="10"/>
        <v>100</v>
      </c>
      <c r="T40" s="708" t="s">
        <v>14</v>
      </c>
      <c r="U40" s="709">
        <f t="shared" si="11"/>
        <v>100</v>
      </c>
      <c r="V40" s="708" t="s">
        <v>14</v>
      </c>
      <c r="W40" s="709">
        <f t="shared" si="12"/>
        <v>100</v>
      </c>
      <c r="X40" s="710"/>
      <c r="Y40" s="373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31" t="str">
        <f>A41</f>
        <v>成交单价</v>
      </c>
      <c r="Q41" s="3731"/>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31" t="str">
        <f>A42</f>
        <v>比较价值（元/平方米）</v>
      </c>
      <c r="Q42" s="3731"/>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8" t="str">
        <f>A43</f>
        <v>估价对象XX用房的比较价值（楼面单价，元/平方米）</v>
      </c>
      <c r="Q43" s="3729"/>
      <c r="R43" s="3765" t="e">
        <f>ROUND(IF(D42="简单平均",AVERAGE(R42:W42),R42*F42+T42*H42+V42*J42),0)</f>
        <v>#DIV/0!</v>
      </c>
      <c r="S43" s="3765"/>
      <c r="T43" s="3765"/>
      <c r="U43" s="3765"/>
      <c r="V43" s="3765"/>
      <c r="W43" s="376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4" t="s">
        <v>1887</v>
      </c>
      <c r="H50" s="376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76.930000000000007</v>
      </c>
      <c r="F51" s="639" t="e">
        <f t="shared" ref="F51:F60" si="15">ROUND(B51*E51/10000,0)</f>
        <v>#DIV/0!</v>
      </c>
      <c r="G51" s="3713"/>
      <c r="H51" s="373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4" t="s">
        <v>2084</v>
      </c>
      <c r="D1" s="3775"/>
      <c r="E1" s="3775"/>
      <c r="F1" s="3775"/>
      <c r="G1" s="3775"/>
      <c r="H1" s="3775"/>
      <c r="I1" s="3775"/>
      <c r="J1" s="3775"/>
      <c r="K1" s="3775"/>
      <c r="L1" s="3775"/>
      <c r="M1" s="3775"/>
      <c r="N1" s="3775"/>
      <c r="O1" s="3775"/>
      <c r="P1" s="3775"/>
      <c r="Q1" s="3775"/>
      <c r="R1" s="3775"/>
      <c r="S1" s="377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1" t="s">
        <v>27</v>
      </c>
      <c r="D22" s="3772"/>
      <c r="E22" s="3772"/>
      <c r="F22" s="3772"/>
      <c r="G22" s="3772"/>
      <c r="H22" s="3772"/>
      <c r="I22" s="3772"/>
      <c r="J22" s="3772"/>
      <c r="K22" s="3772"/>
      <c r="L22" s="3772"/>
      <c r="M22" s="3772"/>
      <c r="N22" s="3772"/>
      <c r="O22" s="3772"/>
      <c r="P22" s="3772"/>
      <c r="Q22" s="377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84"/>
      <c r="B4" s="3785"/>
      <c r="C4" s="3785"/>
      <c r="D4" s="3786"/>
      <c r="E4" s="3786"/>
      <c r="F4" s="3786"/>
      <c r="G4" s="3786"/>
      <c r="H4" s="3786"/>
      <c r="I4" s="3786"/>
      <c r="J4" s="378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81" t="s">
        <v>1960</v>
      </c>
      <c r="X8" s="378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83"/>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8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88" t="s">
        <v>3259</v>
      </c>
      <c r="B20" s="167" t="s">
        <v>1994</v>
      </c>
      <c r="C20" s="3324" t="e">
        <f>ROUND(IF(F21="与级别开发程度一致",0,(G21-E21)/C21),0)</f>
        <v>#DIV/0!</v>
      </c>
      <c r="D20" s="3340" t="s">
        <v>1998</v>
      </c>
      <c r="E20" s="3341"/>
      <c r="F20" s="3794" t="s">
        <v>1995</v>
      </c>
      <c r="G20" s="379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8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45096</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93"/>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90" t="s">
        <v>3299</v>
      </c>
      <c r="B103" s="3790"/>
      <c r="C103" s="3790"/>
      <c r="D103" s="3790"/>
      <c r="E103" s="3790"/>
      <c r="F103" s="3790"/>
      <c r="G103" s="3790"/>
      <c r="H103" s="3790"/>
      <c r="I103" s="3790"/>
      <c r="J103" s="3790"/>
      <c r="K103" s="3389"/>
      <c r="L103" s="3389"/>
      <c r="M103" s="3389"/>
      <c r="N103" s="3389"/>
    </row>
    <row r="104" spans="1:14">
      <c r="A104" s="3791" t="s">
        <v>3300</v>
      </c>
      <c r="B104" s="3791" t="s">
        <v>3301</v>
      </c>
      <c r="C104" s="3390" t="s">
        <v>3302</v>
      </c>
      <c r="D104" s="3391"/>
      <c r="E104" s="3391"/>
      <c r="F104" s="3391"/>
      <c r="G104" s="3391"/>
      <c r="H104" s="3391"/>
      <c r="I104" s="3391"/>
      <c r="J104" s="3392"/>
      <c r="K104" s="3393"/>
      <c r="L104" s="3393"/>
      <c r="M104" s="3393"/>
      <c r="N104" s="3393"/>
    </row>
    <row r="105" spans="1:14">
      <c r="A105" s="3791"/>
      <c r="B105" s="3791"/>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77"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8"/>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80" t="s">
        <v>3316</v>
      </c>
      <c r="B113" s="3780"/>
      <c r="C113" s="3780"/>
      <c r="D113" s="3780"/>
      <c r="E113" s="3780"/>
      <c r="F113" s="3780"/>
      <c r="G113" s="3780"/>
      <c r="H113" s="3780"/>
      <c r="I113" s="3780"/>
      <c r="J113" s="378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03" t="s">
        <v>2610</v>
      </c>
      <c r="B20" s="3796" t="s">
        <v>2631</v>
      </c>
      <c r="C20" s="3102" t="s">
        <v>2442</v>
      </c>
      <c r="D20" s="3103"/>
      <c r="E20" s="3104">
        <v>1</v>
      </c>
      <c r="F20" s="3105" t="s">
        <v>2443</v>
      </c>
      <c r="G20" s="3105"/>
    </row>
    <row r="21" spans="1:13" ht="19.5" customHeight="1">
      <c r="A21" s="3804"/>
      <c r="B21" s="3797"/>
      <c r="C21" s="3106" t="s">
        <v>2444</v>
      </c>
      <c r="D21" s="3107"/>
      <c r="E21" s="3108">
        <v>1</v>
      </c>
      <c r="F21" s="3105" t="s">
        <v>2445</v>
      </c>
      <c r="G21" s="3105"/>
    </row>
    <row r="22" spans="1:13" ht="19.5" customHeight="1">
      <c r="A22" s="3804"/>
      <c r="B22" s="3797"/>
      <c r="C22" s="3106" t="s">
        <v>2446</v>
      </c>
      <c r="D22" s="3107"/>
      <c r="E22" s="3108">
        <v>0.9</v>
      </c>
      <c r="F22" s="3105" t="s">
        <v>2447</v>
      </c>
      <c r="G22" s="3105"/>
    </row>
    <row r="23" spans="1:13" ht="19.5" customHeight="1">
      <c r="A23" s="3804"/>
      <c r="B23" s="3797"/>
      <c r="C23" s="3106" t="s">
        <v>2448</v>
      </c>
      <c r="D23" s="3107"/>
      <c r="E23" s="3108">
        <v>0.9</v>
      </c>
      <c r="F23" s="3105" t="s">
        <v>2449</v>
      </c>
      <c r="G23" s="3105"/>
    </row>
    <row r="24" spans="1:13" ht="19.5" customHeight="1">
      <c r="A24" s="3804"/>
      <c r="B24" s="3797"/>
      <c r="C24" s="3106" t="s">
        <v>2450</v>
      </c>
      <c r="D24" s="3107"/>
      <c r="E24" s="3108">
        <v>0.8</v>
      </c>
      <c r="F24" s="3105" t="s">
        <v>2451</v>
      </c>
      <c r="G24" s="3105"/>
    </row>
    <row r="25" spans="1:13" ht="19.5" customHeight="1" thickBot="1">
      <c r="A25" s="3805"/>
      <c r="B25" s="3798"/>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99" t="s">
        <v>2634</v>
      </c>
      <c r="B27" s="3796" t="s">
        <v>2615</v>
      </c>
      <c r="C27" s="3102" t="s">
        <v>2455</v>
      </c>
      <c r="D27" s="3103"/>
      <c r="E27" s="3104">
        <v>1</v>
      </c>
      <c r="F27" s="3105" t="s">
        <v>2456</v>
      </c>
      <c r="G27" s="3105"/>
    </row>
    <row r="28" spans="1:13" ht="19.5" customHeight="1">
      <c r="A28" s="3800"/>
      <c r="B28" s="3797"/>
      <c r="C28" s="3106" t="s">
        <v>2457</v>
      </c>
      <c r="D28" s="3107"/>
      <c r="E28" s="3108">
        <v>1</v>
      </c>
      <c r="F28" s="3105" t="s">
        <v>2458</v>
      </c>
      <c r="G28" s="3105"/>
    </row>
    <row r="29" spans="1:13" ht="19.5" customHeight="1">
      <c r="A29" s="3800"/>
      <c r="B29" s="3797"/>
      <c r="C29" s="3106" t="s">
        <v>2459</v>
      </c>
      <c r="D29" s="3107"/>
      <c r="E29" s="3108">
        <v>0.8</v>
      </c>
      <c r="F29" s="3105" t="s">
        <v>2460</v>
      </c>
      <c r="G29" s="3105"/>
    </row>
    <row r="30" spans="1:13" ht="19.5" customHeight="1">
      <c r="A30" s="3800"/>
      <c r="B30" s="3797"/>
      <c r="C30" s="3106" t="s">
        <v>2461</v>
      </c>
      <c r="D30" s="3107"/>
      <c r="E30" s="3108">
        <v>0.8</v>
      </c>
      <c r="F30" s="3105" t="s">
        <v>2462</v>
      </c>
      <c r="G30" s="3105"/>
    </row>
    <row r="31" spans="1:13" ht="19.5" customHeight="1">
      <c r="A31" s="3800"/>
      <c r="B31" s="3797"/>
      <c r="C31" s="3106" t="s">
        <v>2463</v>
      </c>
      <c r="D31" s="3107"/>
      <c r="E31" s="3108">
        <v>0.8</v>
      </c>
      <c r="F31" s="3105" t="s">
        <v>2464</v>
      </c>
      <c r="G31" s="3105"/>
    </row>
    <row r="32" spans="1:13" ht="19.5" customHeight="1">
      <c r="A32" s="3800"/>
      <c r="B32" s="3797"/>
      <c r="C32" s="3106" t="s">
        <v>2465</v>
      </c>
      <c r="D32" s="3107"/>
      <c r="E32" s="3108">
        <v>0.7</v>
      </c>
      <c r="F32" s="3105" t="s">
        <v>2466</v>
      </c>
      <c r="G32" s="3105"/>
    </row>
    <row r="33" spans="1:7" ht="19.5" customHeight="1">
      <c r="A33" s="3800"/>
      <c r="B33" s="3797"/>
      <c r="C33" s="3106" t="s">
        <v>2467</v>
      </c>
      <c r="D33" s="3107"/>
      <c r="E33" s="3108">
        <v>0.8</v>
      </c>
      <c r="F33" s="3105" t="s">
        <v>2468</v>
      </c>
      <c r="G33" s="3105"/>
    </row>
    <row r="34" spans="1:7" ht="19.5" customHeight="1">
      <c r="A34" s="3800"/>
      <c r="B34" s="3797"/>
      <c r="C34" s="3106" t="s">
        <v>2469</v>
      </c>
      <c r="D34" s="3107"/>
      <c r="E34" s="3108">
        <v>0.6</v>
      </c>
      <c r="F34" s="3105" t="s">
        <v>2470</v>
      </c>
      <c r="G34" s="3105"/>
    </row>
    <row r="35" spans="1:7" ht="19.5" customHeight="1">
      <c r="A35" s="3800"/>
      <c r="B35" s="3797"/>
      <c r="C35" s="3106" t="s">
        <v>2471</v>
      </c>
      <c r="D35" s="3107"/>
      <c r="E35" s="3108">
        <v>0.2</v>
      </c>
      <c r="F35" s="3105" t="s">
        <v>2472</v>
      </c>
      <c r="G35" s="3105"/>
    </row>
    <row r="36" spans="1:7" ht="19.5" customHeight="1">
      <c r="A36" s="3800"/>
      <c r="B36" s="3797"/>
      <c r="C36" s="3106" t="s">
        <v>2473</v>
      </c>
      <c r="D36" s="3107"/>
      <c r="E36" s="3108">
        <v>0.2</v>
      </c>
      <c r="F36" s="3105" t="s">
        <v>2474</v>
      </c>
      <c r="G36" s="3105"/>
    </row>
    <row r="37" spans="1:7" ht="19.5" customHeight="1">
      <c r="A37" s="3800"/>
      <c r="B37" s="3802" t="s">
        <v>2635</v>
      </c>
      <c r="C37" s="3106" t="s">
        <v>2475</v>
      </c>
      <c r="D37" s="3107"/>
      <c r="E37" s="3108">
        <v>0.6</v>
      </c>
      <c r="F37" s="3105" t="s">
        <v>2476</v>
      </c>
      <c r="G37" s="3105"/>
    </row>
    <row r="38" spans="1:7" ht="19.5" customHeight="1">
      <c r="A38" s="3800"/>
      <c r="B38" s="3797"/>
      <c r="C38" s="3106" t="s">
        <v>2477</v>
      </c>
      <c r="D38" s="3107"/>
      <c r="E38" s="3108">
        <v>0.6</v>
      </c>
      <c r="F38" s="3105" t="s">
        <v>2478</v>
      </c>
      <c r="G38" s="3105"/>
    </row>
    <row r="39" spans="1:7" ht="19.5" customHeight="1" thickBot="1">
      <c r="A39" s="3801"/>
      <c r="B39" s="3798"/>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03" t="s">
        <v>2613</v>
      </c>
      <c r="B41" s="3796" t="s">
        <v>2637</v>
      </c>
      <c r="C41" s="3102" t="s">
        <v>2482</v>
      </c>
      <c r="D41" s="3103"/>
      <c r="E41" s="3104">
        <v>1</v>
      </c>
      <c r="F41" s="3105" t="s">
        <v>2483</v>
      </c>
      <c r="G41" s="3105"/>
    </row>
    <row r="42" spans="1:7" ht="19.5" customHeight="1">
      <c r="A42" s="3804"/>
      <c r="B42" s="3797"/>
      <c r="C42" s="3106" t="s">
        <v>2484</v>
      </c>
      <c r="D42" s="3107"/>
      <c r="E42" s="3108">
        <v>1</v>
      </c>
      <c r="F42" s="3105" t="s">
        <v>2485</v>
      </c>
      <c r="G42" s="3105"/>
    </row>
    <row r="43" spans="1:7" ht="19.5" customHeight="1">
      <c r="A43" s="3804"/>
      <c r="B43" s="3806"/>
      <c r="C43" s="3106" t="s">
        <v>2486</v>
      </c>
      <c r="D43" s="3107"/>
      <c r="E43" s="3108">
        <v>1.5</v>
      </c>
      <c r="F43" s="3105" t="s">
        <v>2487</v>
      </c>
      <c r="G43" s="3105"/>
    </row>
    <row r="44" spans="1:7" ht="19.5" customHeight="1">
      <c r="A44" s="3804"/>
      <c r="B44" s="3117" t="s">
        <v>2638</v>
      </c>
      <c r="C44" s="3106" t="s">
        <v>2639</v>
      </c>
      <c r="D44" s="3107"/>
      <c r="E44" s="3108">
        <v>2</v>
      </c>
      <c r="F44" s="3105" t="s">
        <v>2488</v>
      </c>
      <c r="G44" s="3105"/>
    </row>
    <row r="45" spans="1:7" ht="19.5" customHeight="1">
      <c r="A45" s="3804"/>
      <c r="B45" s="3802" t="s">
        <v>2640</v>
      </c>
      <c r="C45" s="3106" t="s">
        <v>2489</v>
      </c>
      <c r="D45" s="3107"/>
      <c r="E45" s="3108">
        <v>1</v>
      </c>
      <c r="F45" s="3105" t="s">
        <v>2490</v>
      </c>
      <c r="G45" s="3105"/>
    </row>
    <row r="46" spans="1:7" ht="19.5" customHeight="1">
      <c r="A46" s="3804"/>
      <c r="B46" s="3797"/>
      <c r="C46" s="3106" t="s">
        <v>2491</v>
      </c>
      <c r="D46" s="3107"/>
      <c r="E46" s="3108">
        <v>1</v>
      </c>
      <c r="F46" s="3105" t="s">
        <v>2492</v>
      </c>
      <c r="G46" s="3105"/>
    </row>
    <row r="47" spans="1:7" ht="19.5" customHeight="1">
      <c r="A47" s="3804"/>
      <c r="B47" s="3797"/>
      <c r="C47" s="3106" t="s">
        <v>2493</v>
      </c>
      <c r="D47" s="3107"/>
      <c r="E47" s="3108">
        <v>1</v>
      </c>
      <c r="F47" s="3105" t="s">
        <v>2494</v>
      </c>
      <c r="G47" s="3105"/>
    </row>
    <row r="48" spans="1:7" ht="19.5" customHeight="1">
      <c r="A48" s="3804"/>
      <c r="B48" s="3797"/>
      <c r="C48" s="3106" t="s">
        <v>2495</v>
      </c>
      <c r="D48" s="3107"/>
      <c r="E48" s="3108">
        <v>1</v>
      </c>
      <c r="F48" s="3105" t="s">
        <v>2496</v>
      </c>
      <c r="G48" s="3105"/>
    </row>
    <row r="49" spans="1:7" ht="19.5" customHeight="1">
      <c r="A49" s="3804"/>
      <c r="B49" s="3797"/>
      <c r="C49" s="3106" t="s">
        <v>2497</v>
      </c>
      <c r="D49" s="3107"/>
      <c r="E49" s="3108">
        <v>1</v>
      </c>
      <c r="F49" s="3105" t="s">
        <v>2498</v>
      </c>
      <c r="G49" s="3105"/>
    </row>
    <row r="50" spans="1:7" ht="19.5" customHeight="1">
      <c r="A50" s="3804"/>
      <c r="B50" s="3797"/>
      <c r="C50" s="3106" t="s">
        <v>2499</v>
      </c>
      <c r="D50" s="3107"/>
      <c r="E50" s="3108">
        <v>1</v>
      </c>
      <c r="F50" s="3105" t="s">
        <v>2500</v>
      </c>
      <c r="G50" s="3105"/>
    </row>
    <row r="51" spans="1:7" ht="19.5" customHeight="1" thickBot="1">
      <c r="A51" s="3805"/>
      <c r="B51" s="3798"/>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02" t="s">
        <v>2654</v>
      </c>
      <c r="C73" s="3091" t="s">
        <v>2655</v>
      </c>
      <c r="D73" s="3091" t="s">
        <v>2656</v>
      </c>
      <c r="E73" s="3117">
        <v>0.2</v>
      </c>
      <c r="F73" s="3117">
        <v>25</v>
      </c>
    </row>
    <row r="74" spans="1:7" ht="24">
      <c r="A74" s="3117">
        <v>2</v>
      </c>
      <c r="B74" s="3797"/>
      <c r="C74" s="3091" t="s">
        <v>2657</v>
      </c>
      <c r="D74" s="3091" t="s">
        <v>2658</v>
      </c>
      <c r="E74" s="3117">
        <v>0.2</v>
      </c>
      <c r="F74" s="3117">
        <v>25</v>
      </c>
    </row>
    <row r="75" spans="1:7" ht="24">
      <c r="A75" s="3117">
        <v>3</v>
      </c>
      <c r="B75" s="3797"/>
      <c r="C75" s="3091" t="s">
        <v>2659</v>
      </c>
      <c r="D75" s="3091" t="s">
        <v>2660</v>
      </c>
      <c r="E75" s="3117">
        <v>0.2</v>
      </c>
      <c r="F75" s="3117">
        <v>25</v>
      </c>
    </row>
    <row r="76" spans="1:7" ht="13.5">
      <c r="A76" s="3117">
        <v>4</v>
      </c>
      <c r="B76" s="3797"/>
      <c r="C76" s="3091" t="s">
        <v>2661</v>
      </c>
      <c r="D76" s="3091" t="s">
        <v>2662</v>
      </c>
      <c r="E76" s="3117">
        <v>0.15</v>
      </c>
      <c r="F76" s="3117">
        <v>20</v>
      </c>
    </row>
    <row r="77" spans="1:7" ht="24">
      <c r="A77" s="3117">
        <v>5</v>
      </c>
      <c r="B77" s="3797"/>
      <c r="C77" s="3091" t="s">
        <v>2663</v>
      </c>
      <c r="D77" s="3091" t="s">
        <v>2664</v>
      </c>
      <c r="E77" s="3117">
        <v>0.15</v>
      </c>
      <c r="F77" s="3117">
        <v>20</v>
      </c>
    </row>
    <row r="78" spans="1:7" ht="24">
      <c r="A78" s="3117">
        <v>6</v>
      </c>
      <c r="B78" s="3797"/>
      <c r="C78" s="3091" t="s">
        <v>2665</v>
      </c>
      <c r="D78" s="3091" t="s">
        <v>2666</v>
      </c>
      <c r="E78" s="3117">
        <v>0.15</v>
      </c>
      <c r="F78" s="3117">
        <v>20</v>
      </c>
    </row>
    <row r="79" spans="1:7" ht="24">
      <c r="A79" s="3117">
        <v>7</v>
      </c>
      <c r="B79" s="3797"/>
      <c r="C79" s="3091" t="s">
        <v>2667</v>
      </c>
      <c r="D79" s="3091" t="s">
        <v>2668</v>
      </c>
      <c r="E79" s="3117">
        <v>0.15</v>
      </c>
      <c r="F79" s="3117">
        <v>20</v>
      </c>
    </row>
    <row r="80" spans="1:7" ht="24">
      <c r="A80" s="3117">
        <v>8</v>
      </c>
      <c r="B80" s="3797"/>
      <c r="C80" s="3091" t="s">
        <v>2669</v>
      </c>
      <c r="D80" s="3091" t="s">
        <v>2670</v>
      </c>
      <c r="E80" s="3117">
        <v>0.1</v>
      </c>
      <c r="F80" s="3117">
        <v>15</v>
      </c>
    </row>
    <row r="81" spans="1:6" ht="24">
      <c r="A81" s="3117">
        <v>9</v>
      </c>
      <c r="B81" s="3797"/>
      <c r="C81" s="3091" t="s">
        <v>2671</v>
      </c>
      <c r="D81" s="3091" t="s">
        <v>2672</v>
      </c>
      <c r="E81" s="3117">
        <v>0.1</v>
      </c>
      <c r="F81" s="3117">
        <v>15</v>
      </c>
    </row>
    <row r="82" spans="1:6" ht="24">
      <c r="A82" s="3117">
        <v>10</v>
      </c>
      <c r="B82" s="3797"/>
      <c r="C82" s="3091" t="s">
        <v>2673</v>
      </c>
      <c r="D82" s="3091" t="s">
        <v>2674</v>
      </c>
      <c r="E82" s="3117">
        <v>0.1</v>
      </c>
      <c r="F82" s="3117">
        <v>15</v>
      </c>
    </row>
    <row r="83" spans="1:6" ht="24">
      <c r="A83" s="3117">
        <v>11</v>
      </c>
      <c r="B83" s="3797"/>
      <c r="C83" s="3091" t="s">
        <v>2675</v>
      </c>
      <c r="D83" s="3091" t="s">
        <v>2676</v>
      </c>
      <c r="E83" s="3117">
        <v>0.1</v>
      </c>
      <c r="F83" s="3117">
        <v>15</v>
      </c>
    </row>
    <row r="84" spans="1:6" ht="24">
      <c r="A84" s="3117">
        <v>12</v>
      </c>
      <c r="B84" s="3797"/>
      <c r="C84" s="3091" t="s">
        <v>2677</v>
      </c>
      <c r="D84" s="3091" t="s">
        <v>2678</v>
      </c>
      <c r="E84" s="3117">
        <v>0.1</v>
      </c>
      <c r="F84" s="3117">
        <v>15</v>
      </c>
    </row>
    <row r="85" spans="1:6" ht="13.5">
      <c r="A85" s="3117">
        <v>13</v>
      </c>
      <c r="B85" s="3797"/>
      <c r="C85" s="3091" t="s">
        <v>2679</v>
      </c>
      <c r="D85" s="3091" t="s">
        <v>2680</v>
      </c>
      <c r="E85" s="3117">
        <v>0.1</v>
      </c>
      <c r="F85" s="3117">
        <v>15</v>
      </c>
    </row>
    <row r="86" spans="1:6" ht="13.5">
      <c r="A86" s="3117">
        <v>14</v>
      </c>
      <c r="B86" s="3797"/>
      <c r="C86" s="3091" t="s">
        <v>2681</v>
      </c>
      <c r="D86" s="3091" t="s">
        <v>2682</v>
      </c>
      <c r="E86" s="3117">
        <v>0.1</v>
      </c>
      <c r="F86" s="3117">
        <v>15</v>
      </c>
    </row>
    <row r="87" spans="1:6" ht="13.5">
      <c r="A87" s="3117">
        <v>15</v>
      </c>
      <c r="B87" s="3797"/>
      <c r="C87" s="3091" t="s">
        <v>2683</v>
      </c>
      <c r="D87" s="3091" t="s">
        <v>2684</v>
      </c>
      <c r="E87" s="3117">
        <v>0.1</v>
      </c>
      <c r="F87" s="3117">
        <v>15</v>
      </c>
    </row>
    <row r="88" spans="1:6" ht="24">
      <c r="A88" s="3117">
        <v>16</v>
      </c>
      <c r="B88" s="3797"/>
      <c r="C88" s="3091" t="s">
        <v>2685</v>
      </c>
      <c r="D88" s="3091" t="s">
        <v>2686</v>
      </c>
      <c r="E88" s="3117">
        <v>0.1</v>
      </c>
      <c r="F88" s="3117">
        <v>15</v>
      </c>
    </row>
    <row r="89" spans="1:6" ht="24">
      <c r="A89" s="3117">
        <v>17</v>
      </c>
      <c r="B89" s="3806"/>
      <c r="C89" s="3091" t="s">
        <v>2687</v>
      </c>
      <c r="D89" s="3091" t="s">
        <v>2688</v>
      </c>
      <c r="E89" s="3117">
        <v>0.1</v>
      </c>
      <c r="F89" s="3117">
        <v>15</v>
      </c>
    </row>
    <row r="90" spans="1:6" ht="13.5">
      <c r="A90" s="3117">
        <v>18</v>
      </c>
      <c r="B90" s="3802" t="s">
        <v>2689</v>
      </c>
      <c r="C90" s="3091" t="s">
        <v>2690</v>
      </c>
      <c r="D90" s="3091" t="s">
        <v>2691</v>
      </c>
      <c r="E90" s="3117">
        <v>0.2</v>
      </c>
      <c r="F90" s="3117">
        <v>25</v>
      </c>
    </row>
    <row r="91" spans="1:6" ht="24">
      <c r="A91" s="3117">
        <v>19</v>
      </c>
      <c r="B91" s="3797"/>
      <c r="C91" s="3091" t="s">
        <v>2692</v>
      </c>
      <c r="D91" s="3091" t="s">
        <v>2693</v>
      </c>
      <c r="E91" s="3117">
        <v>0.2</v>
      </c>
      <c r="F91" s="3117">
        <v>25</v>
      </c>
    </row>
    <row r="92" spans="1:6" ht="13.5">
      <c r="A92" s="3117">
        <v>20</v>
      </c>
      <c r="B92" s="3797"/>
      <c r="C92" s="3091" t="s">
        <v>2694</v>
      </c>
      <c r="D92" s="3091" t="s">
        <v>2695</v>
      </c>
      <c r="E92" s="3117">
        <v>0.15</v>
      </c>
      <c r="F92" s="3117">
        <v>20</v>
      </c>
    </row>
    <row r="93" spans="1:6" ht="13.5">
      <c r="A93" s="3117">
        <v>21</v>
      </c>
      <c r="B93" s="3797"/>
      <c r="C93" s="3091" t="s">
        <v>2696</v>
      </c>
      <c r="D93" s="3091" t="s">
        <v>2697</v>
      </c>
      <c r="E93" s="3117">
        <v>0.15</v>
      </c>
      <c r="F93" s="3117">
        <v>20</v>
      </c>
    </row>
    <row r="94" spans="1:6" ht="13.5">
      <c r="A94" s="3117">
        <v>22</v>
      </c>
      <c r="B94" s="3797"/>
      <c r="C94" s="3091" t="s">
        <v>2698</v>
      </c>
      <c r="D94" s="3091" t="s">
        <v>2699</v>
      </c>
      <c r="E94" s="3117">
        <v>0.15</v>
      </c>
      <c r="F94" s="3117">
        <v>20</v>
      </c>
    </row>
    <row r="95" spans="1:6" ht="36">
      <c r="A95" s="3117">
        <v>23</v>
      </c>
      <c r="B95" s="3797"/>
      <c r="C95" s="3091" t="s">
        <v>2700</v>
      </c>
      <c r="D95" s="3091" t="s">
        <v>2701</v>
      </c>
      <c r="E95" s="3117">
        <v>0.15</v>
      </c>
      <c r="F95" s="3117">
        <v>20</v>
      </c>
    </row>
    <row r="96" spans="1:6" ht="13.5">
      <c r="A96" s="3117">
        <v>24</v>
      </c>
      <c r="B96" s="3797"/>
      <c r="C96" s="3091" t="s">
        <v>2702</v>
      </c>
      <c r="D96" s="3091" t="s">
        <v>2703</v>
      </c>
      <c r="E96" s="3117">
        <v>0.1</v>
      </c>
      <c r="F96" s="3117">
        <v>15</v>
      </c>
    </row>
    <row r="97" spans="1:6" ht="13.5">
      <c r="A97" s="3117">
        <v>25</v>
      </c>
      <c r="B97" s="3797"/>
      <c r="C97" s="3091" t="s">
        <v>2704</v>
      </c>
      <c r="D97" s="3091" t="s">
        <v>2705</v>
      </c>
      <c r="E97" s="3117">
        <v>0.1</v>
      </c>
      <c r="F97" s="3117">
        <v>15</v>
      </c>
    </row>
    <row r="98" spans="1:6" ht="24">
      <c r="A98" s="3117">
        <v>26</v>
      </c>
      <c r="B98" s="3797"/>
      <c r="C98" s="3091" t="s">
        <v>2706</v>
      </c>
      <c r="D98" s="3091" t="s">
        <v>2707</v>
      </c>
      <c r="E98" s="3117">
        <v>0.1</v>
      </c>
      <c r="F98" s="3117">
        <v>15</v>
      </c>
    </row>
    <row r="99" spans="1:6" ht="24">
      <c r="A99" s="3117">
        <v>27</v>
      </c>
      <c r="B99" s="3797"/>
      <c r="C99" s="3091" t="s">
        <v>2708</v>
      </c>
      <c r="D99" s="3091" t="s">
        <v>2709</v>
      </c>
      <c r="E99" s="3117">
        <v>0.1</v>
      </c>
      <c r="F99" s="3117">
        <v>15</v>
      </c>
    </row>
    <row r="100" spans="1:6" ht="13.5">
      <c r="A100" s="3117">
        <v>28</v>
      </c>
      <c r="B100" s="3797"/>
      <c r="C100" s="3091" t="s">
        <v>2710</v>
      </c>
      <c r="D100" s="3091" t="s">
        <v>2711</v>
      </c>
      <c r="E100" s="3117">
        <v>0.1</v>
      </c>
      <c r="F100" s="3117">
        <v>15</v>
      </c>
    </row>
    <row r="101" spans="1:6" ht="13.5">
      <c r="A101" s="3117">
        <v>29</v>
      </c>
      <c r="B101" s="3797"/>
      <c r="C101" s="3091" t="s">
        <v>2712</v>
      </c>
      <c r="D101" s="3091" t="s">
        <v>2713</v>
      </c>
      <c r="E101" s="3117">
        <v>0.1</v>
      </c>
      <c r="F101" s="3117">
        <v>15</v>
      </c>
    </row>
    <row r="102" spans="1:6" ht="13.5">
      <c r="A102" s="3117">
        <v>30</v>
      </c>
      <c r="B102" s="3797"/>
      <c r="C102" s="3091" t="s">
        <v>2714</v>
      </c>
      <c r="D102" s="3091" t="s">
        <v>2715</v>
      </c>
      <c r="E102" s="3117">
        <v>0.1</v>
      </c>
      <c r="F102" s="3117">
        <v>15</v>
      </c>
    </row>
    <row r="103" spans="1:6" ht="24">
      <c r="A103" s="3117">
        <v>31</v>
      </c>
      <c r="B103" s="3797"/>
      <c r="C103" s="3091" t="s">
        <v>2716</v>
      </c>
      <c r="D103" s="3091" t="s">
        <v>2717</v>
      </c>
      <c r="E103" s="3117">
        <v>0.1</v>
      </c>
      <c r="F103" s="3117">
        <v>15</v>
      </c>
    </row>
    <row r="104" spans="1:6" ht="24">
      <c r="A104" s="3117">
        <v>32</v>
      </c>
      <c r="B104" s="3797"/>
      <c r="C104" s="3091" t="s">
        <v>2718</v>
      </c>
      <c r="D104" s="3091" t="s">
        <v>2719</v>
      </c>
      <c r="E104" s="3117">
        <v>0.1</v>
      </c>
      <c r="F104" s="3117">
        <v>15</v>
      </c>
    </row>
    <row r="105" spans="1:6" ht="24">
      <c r="A105" s="3117">
        <v>33</v>
      </c>
      <c r="B105" s="3797"/>
      <c r="C105" s="3091" t="s">
        <v>2720</v>
      </c>
      <c r="D105" s="3091" t="s">
        <v>2721</v>
      </c>
      <c r="E105" s="3117">
        <v>0.1</v>
      </c>
      <c r="F105" s="3117">
        <v>15</v>
      </c>
    </row>
    <row r="106" spans="1:6" ht="24">
      <c r="A106" s="3117">
        <v>34</v>
      </c>
      <c r="B106" s="3806"/>
      <c r="C106" s="3091" t="s">
        <v>2722</v>
      </c>
      <c r="D106" s="3091" t="s">
        <v>2723</v>
      </c>
      <c r="E106" s="3117">
        <v>0.1</v>
      </c>
      <c r="F106" s="3117">
        <v>15</v>
      </c>
    </row>
    <row r="107" spans="1:6" ht="24">
      <c r="A107" s="3117">
        <v>35</v>
      </c>
      <c r="B107" s="3802" t="s">
        <v>2724</v>
      </c>
      <c r="C107" s="3117" t="s">
        <v>2725</v>
      </c>
      <c r="D107" s="3091" t="s">
        <v>2726</v>
      </c>
      <c r="E107" s="3117">
        <v>0.15</v>
      </c>
      <c r="F107" s="3117">
        <v>20</v>
      </c>
    </row>
    <row r="108" spans="1:6" ht="13.5">
      <c r="A108" s="3117">
        <v>36</v>
      </c>
      <c r="B108" s="3797"/>
      <c r="C108" s="3117" t="s">
        <v>2727</v>
      </c>
      <c r="D108" s="3091" t="s">
        <v>2728</v>
      </c>
      <c r="E108" s="3117">
        <v>0.15</v>
      </c>
      <c r="F108" s="3117">
        <v>20</v>
      </c>
    </row>
    <row r="109" spans="1:6" ht="13.5">
      <c r="A109" s="3117">
        <v>37</v>
      </c>
      <c r="B109" s="3797"/>
      <c r="C109" s="3117" t="s">
        <v>2729</v>
      </c>
      <c r="D109" s="3091" t="s">
        <v>2730</v>
      </c>
      <c r="E109" s="3117">
        <v>0.15</v>
      </c>
      <c r="F109" s="3117">
        <v>20</v>
      </c>
    </row>
    <row r="110" spans="1:6" ht="13.5">
      <c r="A110" s="3117">
        <v>38</v>
      </c>
      <c r="B110" s="3797"/>
      <c r="C110" s="3117" t="s">
        <v>2731</v>
      </c>
      <c r="D110" s="3091" t="s">
        <v>2732</v>
      </c>
      <c r="E110" s="3117">
        <v>0.1</v>
      </c>
      <c r="F110" s="3117">
        <v>15</v>
      </c>
    </row>
    <row r="111" spans="1:6" ht="24">
      <c r="A111" s="3117">
        <v>39</v>
      </c>
      <c r="B111" s="3797"/>
      <c r="C111" s="3117" t="s">
        <v>2733</v>
      </c>
      <c r="D111" s="3091" t="s">
        <v>2734</v>
      </c>
      <c r="E111" s="3117">
        <v>0.1</v>
      </c>
      <c r="F111" s="3117">
        <v>15</v>
      </c>
    </row>
    <row r="112" spans="1:6" ht="24">
      <c r="A112" s="3117">
        <v>40</v>
      </c>
      <c r="B112" s="3806"/>
      <c r="C112" s="3117" t="s">
        <v>2735</v>
      </c>
      <c r="D112" s="3091" t="s">
        <v>2736</v>
      </c>
      <c r="E112" s="3117">
        <v>0.1</v>
      </c>
      <c r="F112" s="3117">
        <v>15</v>
      </c>
    </row>
    <row r="113" spans="1:6" ht="13.5">
      <c r="A113" s="3117">
        <v>41</v>
      </c>
      <c r="B113" s="3807" t="s">
        <v>2737</v>
      </c>
      <c r="C113" s="3117" t="s">
        <v>2738</v>
      </c>
      <c r="D113" s="3091" t="s">
        <v>2739</v>
      </c>
      <c r="E113" s="3117">
        <v>0.1</v>
      </c>
      <c r="F113" s="3117">
        <v>15</v>
      </c>
    </row>
    <row r="114" spans="1:6" ht="13.5">
      <c r="A114" s="3117">
        <v>42</v>
      </c>
      <c r="B114" s="3807"/>
      <c r="C114" s="3117" t="s">
        <v>2740</v>
      </c>
      <c r="D114" s="3091" t="s">
        <v>2741</v>
      </c>
      <c r="E114" s="3117">
        <v>0.1</v>
      </c>
      <c r="F114" s="3117">
        <v>15</v>
      </c>
    </row>
    <row r="115" spans="1:6" ht="24">
      <c r="A115" s="3117">
        <v>43</v>
      </c>
      <c r="B115" s="3807"/>
      <c r="C115" s="3117" t="s">
        <v>2742</v>
      </c>
      <c r="D115" s="3091" t="s">
        <v>2743</v>
      </c>
      <c r="E115" s="3117">
        <v>0.1</v>
      </c>
      <c r="F115" s="3117">
        <v>15</v>
      </c>
    </row>
    <row r="116" spans="1:6" ht="13.5">
      <c r="A116" s="3117">
        <v>44</v>
      </c>
      <c r="B116" s="3802" t="s">
        <v>2744</v>
      </c>
      <c r="C116" s="3117" t="s">
        <v>2745</v>
      </c>
      <c r="D116" s="3091" t="s">
        <v>2746</v>
      </c>
      <c r="E116" s="3117">
        <v>0.1</v>
      </c>
      <c r="F116" s="3117">
        <v>15</v>
      </c>
    </row>
    <row r="117" spans="1:6" ht="24">
      <c r="A117" s="3117">
        <v>45</v>
      </c>
      <c r="B117" s="3806"/>
      <c r="C117" s="3091" t="s">
        <v>2747</v>
      </c>
      <c r="D117" s="3091" t="s">
        <v>2748</v>
      </c>
      <c r="E117" s="3117">
        <v>0.1</v>
      </c>
      <c r="F117" s="3117">
        <v>15</v>
      </c>
    </row>
    <row r="118" spans="1:6" ht="24">
      <c r="A118" s="3117">
        <v>46</v>
      </c>
      <c r="B118" s="3802" t="s">
        <v>2749</v>
      </c>
      <c r="C118" s="3117" t="s">
        <v>2750</v>
      </c>
      <c r="D118" s="3091" t="s">
        <v>2751</v>
      </c>
      <c r="E118" s="3117">
        <v>0.1</v>
      </c>
      <c r="F118" s="3117">
        <v>15</v>
      </c>
    </row>
    <row r="119" spans="1:6" ht="24">
      <c r="A119" s="3117">
        <v>47</v>
      </c>
      <c r="B119" s="3806"/>
      <c r="C119" s="3117" t="s">
        <v>2752</v>
      </c>
      <c r="D119" s="3091" t="s">
        <v>2753</v>
      </c>
      <c r="E119" s="3117">
        <v>0.1</v>
      </c>
      <c r="F119" s="3117">
        <v>15</v>
      </c>
    </row>
    <row r="120" spans="1:6" ht="13.5">
      <c r="A120" s="3117">
        <v>48</v>
      </c>
      <c r="B120" s="3802" t="s">
        <v>2754</v>
      </c>
      <c r="C120" s="3117" t="s">
        <v>2755</v>
      </c>
      <c r="D120" s="3091" t="s">
        <v>2756</v>
      </c>
      <c r="E120" s="3117">
        <v>0.1</v>
      </c>
      <c r="F120" s="3117">
        <v>15</v>
      </c>
    </row>
    <row r="121" spans="1:6" ht="13.5">
      <c r="A121" s="3117">
        <v>49</v>
      </c>
      <c r="B121" s="3806"/>
      <c r="C121" s="3117" t="s">
        <v>2757</v>
      </c>
      <c r="D121" s="3091" t="s">
        <v>2758</v>
      </c>
      <c r="E121" s="3117">
        <v>0.1</v>
      </c>
      <c r="F121" s="3117">
        <v>15</v>
      </c>
    </row>
    <row r="122" spans="1:6" ht="24">
      <c r="A122" s="3117">
        <v>50</v>
      </c>
      <c r="B122" s="3807" t="s">
        <v>2759</v>
      </c>
      <c r="C122" s="3117" t="s">
        <v>2760</v>
      </c>
      <c r="D122" s="3091" t="s">
        <v>2761</v>
      </c>
      <c r="E122" s="3117">
        <v>0.1</v>
      </c>
      <c r="F122" s="3117">
        <v>15</v>
      </c>
    </row>
    <row r="123" spans="1:6" ht="24">
      <c r="A123" s="3117">
        <v>51</v>
      </c>
      <c r="B123" s="3807"/>
      <c r="C123" s="3117" t="s">
        <v>2762</v>
      </c>
      <c r="D123" s="3091" t="s">
        <v>2763</v>
      </c>
      <c r="E123" s="3117">
        <v>0.1</v>
      </c>
      <c r="F123" s="3117">
        <v>15</v>
      </c>
    </row>
    <row r="124" spans="1:6" ht="24">
      <c r="A124" s="3117">
        <v>52</v>
      </c>
      <c r="B124" s="3807" t="s">
        <v>2764</v>
      </c>
      <c r="C124" s="3117" t="s">
        <v>2765</v>
      </c>
      <c r="D124" s="3091" t="s">
        <v>2766</v>
      </c>
      <c r="E124" s="3117">
        <v>0.1</v>
      </c>
      <c r="F124" s="3117">
        <v>15</v>
      </c>
    </row>
    <row r="125" spans="1:6" ht="24">
      <c r="A125" s="3117">
        <v>53</v>
      </c>
      <c r="B125" s="380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07" t="s">
        <v>2772</v>
      </c>
      <c r="C127" s="3117" t="s">
        <v>2773</v>
      </c>
      <c r="D127" s="3091" t="s">
        <v>2774</v>
      </c>
      <c r="E127" s="3117">
        <v>0.1</v>
      </c>
      <c r="F127" s="3117">
        <v>15</v>
      </c>
    </row>
    <row r="128" spans="1:6" ht="13.5">
      <c r="A128" s="3117">
        <v>56</v>
      </c>
      <c r="B128" s="3807"/>
      <c r="C128" s="3117" t="s">
        <v>2775</v>
      </c>
      <c r="D128" s="3091" t="s">
        <v>2776</v>
      </c>
      <c r="E128" s="3117">
        <v>0.1</v>
      </c>
      <c r="F128" s="3117">
        <v>15</v>
      </c>
    </row>
    <row r="129" spans="1:6" ht="24">
      <c r="A129" s="3117">
        <v>57</v>
      </c>
      <c r="B129" s="3807"/>
      <c r="C129" s="3117" t="s">
        <v>2777</v>
      </c>
      <c r="D129" s="3091" t="s">
        <v>2778</v>
      </c>
      <c r="E129" s="3117">
        <v>0.1</v>
      </c>
      <c r="F129" s="3117">
        <v>15</v>
      </c>
    </row>
    <row r="130" spans="1:6" ht="24">
      <c r="A130" s="3117">
        <v>58</v>
      </c>
      <c r="B130" s="3807" t="s">
        <v>2779</v>
      </c>
      <c r="C130" s="3117" t="s">
        <v>2780</v>
      </c>
      <c r="D130" s="3091" t="s">
        <v>2781</v>
      </c>
      <c r="E130" s="3117">
        <v>0.1</v>
      </c>
      <c r="F130" s="3117">
        <v>15</v>
      </c>
    </row>
    <row r="131" spans="1:6" ht="13.5">
      <c r="A131" s="3117">
        <v>59</v>
      </c>
      <c r="B131" s="3807"/>
      <c r="C131" s="3117" t="s">
        <v>2782</v>
      </c>
      <c r="D131" s="3091" t="s">
        <v>2783</v>
      </c>
      <c r="E131" s="3117">
        <v>0.1</v>
      </c>
      <c r="F131" s="3117">
        <v>15</v>
      </c>
    </row>
    <row r="132" spans="1:6" ht="13.5">
      <c r="A132" s="3117">
        <v>60</v>
      </c>
      <c r="B132" s="3802" t="s">
        <v>2784</v>
      </c>
      <c r="C132" s="3117" t="s">
        <v>2785</v>
      </c>
      <c r="D132" s="3091" t="s">
        <v>2786</v>
      </c>
      <c r="E132" s="3117">
        <v>0.1</v>
      </c>
      <c r="F132" s="3117">
        <v>15</v>
      </c>
    </row>
    <row r="133" spans="1:6" ht="13.5">
      <c r="A133" s="3117">
        <v>61</v>
      </c>
      <c r="B133" s="3806"/>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07" t="s">
        <v>2792</v>
      </c>
      <c r="C135" s="3117" t="s">
        <v>2793</v>
      </c>
      <c r="D135" s="3091" t="s">
        <v>2794</v>
      </c>
      <c r="E135" s="3117">
        <v>0.1</v>
      </c>
      <c r="F135" s="3117">
        <v>15</v>
      </c>
    </row>
    <row r="136" spans="1:6" ht="13.5">
      <c r="A136" s="3117">
        <v>64</v>
      </c>
      <c r="B136" s="380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估价结果一览表（市场价值不需“结果表-1”）</v>
      </c>
      <c r="B3" s="3488"/>
      <c r="C3" s="3488"/>
      <c r="D3" s="3488"/>
      <c r="E3" s="3488"/>
    </row>
    <row r="4" spans="1:5" ht="19.5" thickBot="1">
      <c r="A4" s="1493"/>
      <c r="B4" s="3486" t="s">
        <v>917</v>
      </c>
      <c r="C4" s="3486"/>
      <c r="D4" s="3486"/>
      <c r="E4" s="1493"/>
    </row>
    <row r="5" spans="1:5" ht="16.5" thickTop="1">
      <c r="A5" s="1491"/>
      <c r="B5" s="3484" t="s">
        <v>909</v>
      </c>
      <c r="C5" s="1494" t="s">
        <v>910</v>
      </c>
      <c r="D5" s="850" t="e">
        <f ca="1">结果表!H101</f>
        <v>#REF!</v>
      </c>
      <c r="E5" s="1491"/>
    </row>
    <row r="6" spans="1:5" ht="15.75">
      <c r="A6" s="1491"/>
      <c r="B6" s="3484"/>
      <c r="C6" s="1494" t="s">
        <v>911</v>
      </c>
      <c r="D6" s="850" t="e">
        <f ca="1">NUMBERSTRING(INT(D5*10000),2)&amp;"元整"</f>
        <v>#REF!</v>
      </c>
      <c r="E6" s="1491"/>
    </row>
    <row r="7" spans="1:5" ht="15.75">
      <c r="A7" s="1491"/>
      <c r="B7" s="3489"/>
      <c r="C7" s="1495" t="s">
        <v>912</v>
      </c>
      <c r="D7" s="851" t="e">
        <f ca="1">结果表!H102</f>
        <v>#REF!</v>
      </c>
      <c r="E7" s="1491"/>
    </row>
    <row r="8" spans="1:5" ht="15.75">
      <c r="A8" s="1491"/>
      <c r="B8" s="3490" t="str">
        <f>结果表!E103</f>
        <v>2.估价师知悉的法定优先受偿款</v>
      </c>
      <c r="C8" s="1496" t="s">
        <v>913</v>
      </c>
      <c r="D8" s="851">
        <f>结果表!H103</f>
        <v>0</v>
      </c>
      <c r="E8" s="1491"/>
    </row>
    <row r="9" spans="1:5" ht="15.75">
      <c r="A9" s="1491"/>
      <c r="B9" s="349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3" t="str">
        <f>结果表!E107</f>
        <v>3.房地产抵押价值</v>
      </c>
      <c r="C13" s="1499" t="s">
        <v>910</v>
      </c>
      <c r="D13" s="853" t="e">
        <f ca="1">结果表!H107</f>
        <v>#REF!</v>
      </c>
      <c r="E13" s="1491"/>
    </row>
    <row r="14" spans="1:5" ht="15.75">
      <c r="A14" s="1491"/>
      <c r="B14" s="3484"/>
      <c r="C14" s="1494" t="s">
        <v>911</v>
      </c>
      <c r="D14" s="850" t="e">
        <f ca="1">NUMBERSTRING(INT(D13*10000),2)&amp;"元整"</f>
        <v>#REF!</v>
      </c>
      <c r="E14" s="1491"/>
    </row>
    <row r="15" spans="1:5" ht="15">
      <c r="A15" s="1491"/>
      <c r="B15" s="3489"/>
      <c r="C15" s="1495" t="s">
        <v>921</v>
      </c>
      <c r="D15" s="859" t="e">
        <f ca="1">结果表!H108</f>
        <v>#REF!</v>
      </c>
      <c r="E15" s="1491"/>
    </row>
    <row r="16" spans="1:5" ht="15">
      <c r="A16" s="1491"/>
      <c r="B16" s="3490" t="str">
        <f>结果表!E109</f>
        <v>——</v>
      </c>
      <c r="C16" s="1499" t="s">
        <v>922</v>
      </c>
      <c r="D16" s="1500" t="str">
        <f>结果表!H109</f>
        <v>——</v>
      </c>
      <c r="E16" s="1491"/>
    </row>
    <row r="17" spans="1:5" ht="15.75">
      <c r="A17" s="1491"/>
      <c r="B17" s="3491"/>
      <c r="C17" s="1494" t="s">
        <v>923</v>
      </c>
      <c r="D17" s="850" t="e">
        <f>NUMBERSTRING(INT(D16*10000),2)&amp;"元整"</f>
        <v>#VALUE!</v>
      </c>
      <c r="E17" s="1491"/>
    </row>
    <row r="18" spans="1:5" ht="15">
      <c r="A18" s="1491"/>
      <c r="B18" s="3492"/>
      <c r="C18" s="1495" t="s">
        <v>912</v>
      </c>
      <c r="D18" s="859" t="str">
        <f>结果表!H110</f>
        <v>——</v>
      </c>
      <c r="E18" s="1491"/>
    </row>
    <row r="19" spans="1:5" ht="15.75">
      <c r="A19" s="1491"/>
      <c r="B19" s="3483" t="str">
        <f>结果表!E111</f>
        <v>——</v>
      </c>
      <c r="C19" s="1499" t="s">
        <v>910</v>
      </c>
      <c r="D19" s="851" t="str">
        <f>结果表!H111</f>
        <v>——</v>
      </c>
      <c r="E19" s="1491"/>
    </row>
    <row r="20" spans="1:5" ht="15.75">
      <c r="A20" s="1491"/>
      <c r="B20" s="3484"/>
      <c r="C20" s="1494" t="s">
        <v>923</v>
      </c>
      <c r="D20" s="850" t="e">
        <f>NUMBERSTRING(INT(D19*10000),2)&amp;"元整"</f>
        <v>#VALUE!</v>
      </c>
      <c r="E20" s="1491"/>
    </row>
    <row r="21" spans="1:5" ht="15.75" thickBot="1">
      <c r="A21" s="1491"/>
      <c r="B21" s="348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30786</v>
      </c>
      <c r="C2" s="2" t="s">
        <v>106</v>
      </c>
      <c r="D2" s="199"/>
      <c r="E2" s="199"/>
      <c r="F2" s="199"/>
      <c r="G2" s="199"/>
    </row>
    <row r="3" spans="1:7" s="200" customFormat="1" ht="18" customHeight="1" thickBot="1">
      <c r="A3" s="203" t="s">
        <v>58</v>
      </c>
      <c r="B3" s="204">
        <f ca="1">ROUND(B2*10000/'数据-汇总表'!E3,0)</f>
        <v>4001820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76.930000000000007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76.930000000000007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0.1</v>
      </c>
      <c r="G36" s="260" t="s">
        <v>35</v>
      </c>
    </row>
    <row r="37" spans="1:7" s="258" customFormat="1" ht="13.5" customHeight="1">
      <c r="A37" s="780" t="s">
        <v>353</v>
      </c>
      <c r="B37" s="215" t="s">
        <v>91</v>
      </c>
      <c r="C37" s="249">
        <f>ROUND(E37*D37*F34/10000,0)</f>
        <v>2</v>
      </c>
      <c r="D37" s="217">
        <f>'数据-汇总表'!E3</f>
        <v>76.930000000000007</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65" t="s">
        <v>94</v>
      </c>
    </row>
    <row r="43" spans="1:7" ht="13.5" customHeight="1">
      <c r="A43" s="780" t="s">
        <v>347</v>
      </c>
      <c r="B43" s="215" t="s">
        <v>426</v>
      </c>
      <c r="C43" s="238">
        <f ca="1">ROUND(IF('数据-取费表'!B22&lt;=1,C39*F22*'数据-取费表'!B21/2,C39*(POWER((1+F22),'数据-取费表'!B21/2)-1)),0)</f>
        <v>0</v>
      </c>
      <c r="D43" s="238"/>
      <c r="E43" s="238"/>
      <c r="F43" s="239"/>
      <c r="G43" s="3666"/>
    </row>
    <row r="44" spans="1:7" ht="13.5" customHeight="1">
      <c r="A44" s="780" t="s">
        <v>348</v>
      </c>
      <c r="B44" s="215" t="s">
        <v>428</v>
      </c>
      <c r="C44" s="238">
        <f ca="1">ROUND(IF('数据-取费表'!B22&lt;=1,C40*F22*'数据-取费表'!B21/2,C40*(POWER((1+F22),'数据-取费表'!B21/2)-1)),4)</f>
        <v>1E-3</v>
      </c>
      <c r="D44" s="238"/>
      <c r="E44" s="238"/>
      <c r="F44" s="239"/>
      <c r="G44" s="3667"/>
    </row>
    <row r="45" spans="1:7" s="214" customFormat="1" ht="13.5" customHeight="1">
      <c r="A45" s="777" t="s">
        <v>341</v>
      </c>
      <c r="B45" s="244" t="s">
        <v>85</v>
      </c>
      <c r="C45" s="245">
        <f>C46</f>
        <v>11</v>
      </c>
      <c r="D45" s="235">
        <f>C47</f>
        <v>5.0000000000000001E-3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43</v>
      </c>
      <c r="D51" s="232"/>
      <c r="E51" s="232"/>
      <c r="F51" s="264"/>
      <c r="G51" s="234" t="s">
        <v>37</v>
      </c>
    </row>
    <row r="52" spans="1:7" s="208" customFormat="1" ht="16.5" thickBot="1">
      <c r="A52" s="265" t="s">
        <v>38</v>
      </c>
      <c r="B52" s="266"/>
      <c r="C52" s="267">
        <f ca="1">C31+C51</f>
        <v>30786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Q80" sqref="Q80"/>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0" t="s">
        <v>2844</v>
      </c>
      <c r="B1" s="3810"/>
      <c r="C1" s="3810"/>
      <c r="D1" s="3810"/>
      <c r="E1" s="3810"/>
      <c r="F1" s="3810"/>
      <c r="G1" s="3811"/>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08"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09"/>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2" t="s">
        <v>3186</v>
      </c>
      <c r="B1" s="3812"/>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9"/>
  </cols>
  <sheetData>
    <row r="1" spans="1:6">
      <c r="A1" s="3813" t="s">
        <v>3237</v>
      </c>
      <c r="B1" s="3813"/>
      <c r="C1" s="3813"/>
      <c r="D1" s="3813"/>
      <c r="E1" s="3813"/>
      <c r="F1" s="3814"/>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3220">
        <f>基准地价修正!G23</f>
        <v>45096</v>
      </c>
      <c r="B1" s="3209" t="s">
        <v>2843</v>
      </c>
      <c r="C1" s="3210"/>
      <c r="D1" s="3210"/>
      <c r="E1" s="3210"/>
      <c r="F1" s="3210"/>
      <c r="G1" s="3210"/>
      <c r="H1" s="3210"/>
      <c r="I1" s="3210"/>
      <c r="J1" s="3164"/>
      <c r="K1" s="3210" t="s">
        <v>454</v>
      </c>
      <c r="L1" s="3210"/>
      <c r="M1" s="3210"/>
      <c r="N1" s="3210"/>
      <c r="O1" s="3210"/>
      <c r="P1" s="3210"/>
      <c r="Q1" s="3164"/>
      <c r="R1" s="3815" t="s">
        <v>456</v>
      </c>
      <c r="S1" s="3816"/>
      <c r="T1" s="3816"/>
      <c r="U1" s="3816"/>
      <c r="V1" s="3816"/>
      <c r="W1" s="3816"/>
      <c r="X1" s="3164"/>
      <c r="Y1" s="3815" t="s">
        <v>457</v>
      </c>
      <c r="Z1" s="3816"/>
      <c r="AA1" s="3816"/>
      <c r="AB1" s="3816"/>
      <c r="AC1" s="3816"/>
      <c r="AD1" s="3816"/>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15" t="s">
        <v>2831</v>
      </c>
      <c r="S21" s="3816"/>
      <c r="T21" s="3816"/>
      <c r="U21" s="3816"/>
      <c r="V21" s="3816"/>
      <c r="W21" s="3816"/>
      <c r="X21" s="3164"/>
      <c r="Y21" s="3815" t="s">
        <v>2832</v>
      </c>
      <c r="Z21" s="3816"/>
      <c r="AA21" s="3816"/>
      <c r="AB21" s="3816"/>
      <c r="AC21" s="3816"/>
      <c r="AD21" s="3816"/>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45096</v>
      </c>
      <c r="D1" s="1302" t="s">
        <v>603</v>
      </c>
      <c r="E1" s="1297">
        <f>'数据-取费表'!B22</f>
        <v>2</v>
      </c>
      <c r="F1" s="1302" t="s">
        <v>604</v>
      </c>
      <c r="G1" s="1298">
        <f ca="1">INDIRECT("d"&amp;$K$1)/100</f>
        <v>3.6499999999999998E-2</v>
      </c>
      <c r="H1" s="1302" t="s">
        <v>634</v>
      </c>
      <c r="I1" s="1298">
        <f ca="1">F4/100</f>
        <v>1.4999999999999999E-2</v>
      </c>
      <c r="J1" s="1303">
        <f>IF(C1&gt;C13,0,MATCH(C1,C$13:C$110,-1))+IF(SUMIF(C13:C110,C1,D13:D110)=0,13,12)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3" t="str">
        <f>IF(项目基本情况!B9="房地产市场价值","估价结果一览表","结果表-2")</f>
        <v>估价结果一览表</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房地产市场价值</v>
      </c>
      <c r="I2" s="3494"/>
    </row>
    <row r="3" spans="1:9" ht="15">
      <c r="A3" s="3495"/>
      <c r="B3" s="3495"/>
      <c r="C3" s="3495"/>
      <c r="D3" s="854" t="s">
        <v>925</v>
      </c>
      <c r="E3" s="854" t="s">
        <v>931</v>
      </c>
      <c r="F3" s="854" t="s">
        <v>925</v>
      </c>
      <c r="G3" s="854" t="s">
        <v>926</v>
      </c>
      <c r="H3" s="854" t="s">
        <v>925</v>
      </c>
      <c r="I3" s="854" t="s">
        <v>926</v>
      </c>
    </row>
    <row r="4" spans="1:9" ht="30">
      <c r="A4" s="1505" t="str">
        <f>项目基本情况!S2</f>
        <v>北京市朝阳区南郎家园18号楼19层2113房地产</v>
      </c>
      <c r="B4" s="854">
        <f>项目基本情况!C17</f>
        <v>76.930000000000007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75">
      <c r="A6" s="3496" t="str">
        <f>结果表!A120</f>
        <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75">
      <c r="A8" s="3496" t="str">
        <f>结果表!A122</f>
        <v/>
      </c>
      <c r="B8" s="3496"/>
      <c r="C8" s="3496"/>
      <c r="D8" s="3496" t="e">
        <f ca="1">结果表!D122</f>
        <v>#REF!</v>
      </c>
      <c r="E8" s="3496"/>
      <c r="F8" s="3496"/>
      <c r="G8" s="3496"/>
      <c r="H8" s="3496"/>
      <c r="I8" s="3496"/>
    </row>
    <row r="9" spans="1:9" ht="15">
      <c r="A9" s="3495" t="s">
        <v>927</v>
      </c>
      <c r="B9" s="3495"/>
      <c r="C9" s="3495"/>
      <c r="D9" s="3495" t="e">
        <f ca="1">结果表!D123</f>
        <v>#REF!</v>
      </c>
      <c r="E9" s="3495"/>
      <c r="F9" s="3495"/>
      <c r="G9" s="3495"/>
      <c r="H9" s="3495"/>
      <c r="I9" s="3495"/>
    </row>
    <row r="10" spans="1:9" ht="15.75">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75">
      <c r="A12" s="3496" t="str">
        <f>结果表!A126</f>
        <v/>
      </c>
      <c r="B12" s="3496"/>
      <c r="C12" s="3496"/>
      <c r="D12" s="3496" t="str">
        <f>结果表!D126</f>
        <v>——</v>
      </c>
      <c r="E12" s="3496"/>
      <c r="F12" s="3496"/>
      <c r="G12" s="3496"/>
      <c r="H12" s="3496"/>
      <c r="I12" s="3496"/>
    </row>
    <row r="13" spans="1:9" ht="15.75" thickBot="1">
      <c r="A13" s="3500" t="s">
        <v>927</v>
      </c>
      <c r="B13" s="3500"/>
      <c r="C13" s="3500"/>
      <c r="D13" s="3500" t="e">
        <f>结果表!D127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2" t="s">
        <v>949</v>
      </c>
      <c r="B1" s="3502"/>
      <c r="C1" s="3502"/>
      <c r="D1" s="3502"/>
    </row>
    <row r="2" spans="1:4" ht="18">
      <c r="A2" s="3503" t="s">
        <v>933</v>
      </c>
      <c r="B2" s="3503"/>
      <c r="C2" s="3503"/>
      <c r="D2" s="350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3" t="s">
        <v>939</v>
      </c>
      <c r="B6" s="3503"/>
      <c r="C6" s="3503"/>
      <c r="D6" s="350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4"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5" t="str">
        <f>IF(项目基本情况!B8="抵押","3.抵押双方在办理抵押登记手续时，应使用本公司出具的正式《房地产评估报告》，特提醒报告使用者注意。","——")</f>
        <v>——</v>
      </c>
      <c r="B13" s="3506"/>
      <c r="C13" s="3506"/>
      <c r="D13" s="3506"/>
    </row>
    <row r="14" spans="1:4" ht="15.75" customHeight="1">
      <c r="A14" s="3505" t="str">
        <f>IF(项目基本情况!B8="抵押","4.本次评估估价师所知悉的法定优先受偿款情况说明如下：","——")</f>
        <v>——</v>
      </c>
      <c r="B14" s="3506"/>
      <c r="C14" s="3506"/>
      <c r="D14" s="3506"/>
    </row>
    <row r="15" spans="1:4" ht="42" customHeight="1">
      <c r="A15" s="3505" t="str">
        <f>IF(项目基本情况!B8="抵押","（1）"&amp;CONCATENATE(项目基本情况!L20,项目基本情况!L21,项目基本情况!L22),"——")</f>
        <v>——</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6" t="s">
        <v>956</v>
      </c>
      <c r="B15" s="3511" t="s">
        <v>109</v>
      </c>
      <c r="C15" s="3512"/>
    </row>
    <row r="16" spans="1:7" ht="13.5">
      <c r="A16" s="3517"/>
      <c r="B16" s="3511" t="s">
        <v>42</v>
      </c>
      <c r="C16" s="3512"/>
    </row>
    <row r="17" spans="1:3" ht="13.5">
      <c r="A17" s="3517"/>
      <c r="B17" s="3514" t="s">
        <v>957</v>
      </c>
      <c r="C17" s="1532" t="s">
        <v>956</v>
      </c>
    </row>
    <row r="18" spans="1:3" ht="13.5">
      <c r="A18" s="3517"/>
      <c r="B18" s="3514"/>
      <c r="C18" s="1532" t="s">
        <v>958</v>
      </c>
    </row>
    <row r="19" spans="1:3" ht="13.5">
      <c r="A19" s="3517"/>
      <c r="B19" s="3514"/>
      <c r="C19" s="1532" t="s">
        <v>959</v>
      </c>
    </row>
    <row r="20" spans="1:3" ht="13.5">
      <c r="A20" s="3518"/>
      <c r="B20" s="3513" t="s">
        <v>960</v>
      </c>
      <c r="C20" s="3512"/>
    </row>
    <row r="21" spans="1:3" ht="13.5">
      <c r="A21" s="1533" t="s">
        <v>961</v>
      </c>
      <c r="B21" s="1534"/>
      <c r="C21" s="1535"/>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2" t="s">
        <v>967</v>
      </c>
    </row>
    <row r="26" spans="1:3" ht="13.5">
      <c r="A26" s="3515"/>
      <c r="B26" s="3514"/>
      <c r="C26" s="1532" t="s">
        <v>968</v>
      </c>
    </row>
    <row r="27" spans="1:3" ht="13.5">
      <c r="A27" s="3515"/>
      <c r="B27" s="3514"/>
      <c r="C27" s="1532" t="s">
        <v>969</v>
      </c>
    </row>
    <row r="28" spans="1:3" ht="13.5">
      <c r="A28" s="3515"/>
      <c r="B28" s="3514"/>
      <c r="C28" s="1532" t="s">
        <v>970</v>
      </c>
    </row>
    <row r="29" spans="1:3" ht="13.5">
      <c r="A29" s="3515"/>
      <c r="B29" s="3514"/>
      <c r="C29" s="1532" t="s">
        <v>971</v>
      </c>
    </row>
    <row r="30" spans="1:3" ht="13.5">
      <c r="A30" s="3515"/>
      <c r="B30" s="3514"/>
      <c r="C30" s="1532" t="s">
        <v>972</v>
      </c>
    </row>
    <row r="31" spans="1:3" ht="13.5">
      <c r="A31" s="3515"/>
      <c r="B31" s="3514"/>
      <c r="C31" s="1532" t="s">
        <v>973</v>
      </c>
    </row>
    <row r="32" spans="1:3" ht="13.5">
      <c r="A32" s="3515"/>
      <c r="B32" s="3514"/>
      <c r="C32" s="1532" t="s">
        <v>974</v>
      </c>
    </row>
    <row r="33" spans="1:3" ht="13.5">
      <c r="A33" s="3515"/>
      <c r="B33" s="351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3"/>
      <c r="E18" s="3521" t="s">
        <v>2162</v>
      </c>
      <c r="F18" s="3520"/>
      <c r="G18" s="352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2023-06-28T05:57:42Z</dcterms:modified>
</cp:coreProperties>
</file>