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10" windowHeight="1041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N6" i="1" l="1"/>
  <c r="G84" i="43"/>
  <c r="G85" i="43"/>
  <c r="G86" i="43"/>
  <c r="G87" i="43"/>
  <c r="G88" i="43"/>
  <c r="G89" i="43"/>
  <c r="G90" i="43"/>
  <c r="G83" i="43"/>
  <c r="J52" i="15"/>
  <c r="D33" i="43"/>
  <c r="Y6" i="1"/>
  <c r="F19" i="6"/>
  <c r="B3" i="4"/>
  <c r="E7" i="1" l="1"/>
  <c r="E8" i="1"/>
  <c r="E9" i="1"/>
  <c r="E10" i="1"/>
  <c r="E11" i="1"/>
  <c r="E12" i="1"/>
  <c r="E13" i="1"/>
  <c r="P26" i="79" l="1"/>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5" i="73"/>
  <c r="F15" i="73"/>
  <c r="E15" i="73"/>
  <c r="G16" i="73" l="1"/>
  <c r="F16" i="73"/>
  <c r="E16" i="73"/>
  <c r="G17" i="73" l="1"/>
  <c r="F17" i="73"/>
  <c r="E17"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10" i="3" s="1"/>
  <c r="BA13" i="3"/>
  <c r="BA5" i="3" s="1"/>
  <c r="BL17" i="3"/>
  <c r="AZ17" i="3"/>
  <c r="BL13" i="3"/>
  <c r="BL5" i="3" s="1"/>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28" i="67"/>
  <c r="F52" i="9"/>
  <c r="F32" i="67"/>
  <c r="F60" i="67" s="1"/>
  <c r="F32" i="15"/>
  <c r="F60" i="15" s="1"/>
  <c r="F28" i="15"/>
  <c r="AA39" i="40"/>
  <c r="S39" i="40"/>
  <c r="S12" i="33"/>
  <c r="AA12" i="33"/>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D16" i="53"/>
  <c r="B34" i="72" s="1"/>
  <c r="H112" i="9"/>
  <c r="D21" i="53"/>
  <c r="B39" i="72" s="1"/>
  <c r="H111" i="9"/>
  <c r="D126" i="9" s="1"/>
  <c r="D19" i="53"/>
  <c r="B38" i="72" s="1"/>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5" i="73"/>
  <c r="F20" i="31"/>
  <c r="E8" i="76"/>
  <c r="E9" i="76"/>
  <c r="M22" i="67"/>
  <c r="D4" i="73"/>
  <c r="M28" i="15"/>
  <c r="F5" i="73"/>
  <c r="F37" i="67"/>
  <c r="F38" i="67"/>
  <c r="B11" i="76"/>
  <c r="B7" i="76"/>
  <c r="F42" i="67"/>
  <c r="F37" i="15"/>
  <c r="F13" i="15"/>
  <c r="M8" i="15"/>
  <c r="M24" i="67"/>
  <c r="B8" i="76"/>
  <c r="M6" i="67"/>
  <c r="F43" i="67"/>
  <c r="F3" i="73"/>
  <c r="F7" i="73"/>
  <c r="M6" i="15"/>
  <c r="E7" i="76"/>
  <c r="F6" i="15"/>
  <c r="F26" i="15"/>
  <c r="M8" i="67"/>
  <c r="M26" i="67"/>
  <c r="E12" i="76"/>
  <c r="F6" i="73"/>
  <c r="J15" i="15"/>
  <c r="L48" i="15"/>
  <c r="F40" i="67"/>
  <c r="M9" i="67"/>
  <c r="F36" i="15"/>
  <c r="E2" i="68"/>
  <c r="F7" i="67"/>
  <c r="L47" i="67"/>
  <c r="F43" i="15"/>
  <c r="F13" i="67"/>
  <c r="M23" i="67"/>
  <c r="B9" i="76"/>
  <c r="F6" i="67"/>
  <c r="D34" i="9"/>
  <c r="F40" i="15"/>
  <c r="M23" i="15"/>
  <c r="B10" i="76"/>
  <c r="M9" i="15"/>
  <c r="F36" i="67"/>
  <c r="B12" i="76"/>
  <c r="C76" i="15"/>
  <c r="F8" i="67"/>
  <c r="M29" i="67"/>
  <c r="F16" i="15"/>
  <c r="D3" i="73"/>
  <c r="D6" i="73"/>
  <c r="E13" i="76"/>
  <c r="F4" i="73"/>
  <c r="M22" i="15"/>
  <c r="L48" i="67"/>
  <c r="F42" i="15"/>
  <c r="D35" i="9"/>
  <c r="E2" i="69"/>
  <c r="M29" i="15"/>
  <c r="F8" i="15"/>
  <c r="F26" i="67"/>
  <c r="F38" i="15"/>
  <c r="M26" i="15"/>
  <c r="J15" i="67"/>
  <c r="L47" i="15"/>
  <c r="M24" i="15"/>
  <c r="C76" i="67"/>
  <c r="F16" i="67"/>
  <c r="E10" i="76"/>
  <c r="F9" i="67"/>
  <c r="AO13" i="1"/>
  <c r="F7" i="15"/>
  <c r="D7" i="73"/>
  <c r="E11" i="76"/>
  <c r="F9" i="15"/>
  <c r="M28" i="67"/>
  <c r="B13" i="76"/>
  <c r="D68" i="9" l="1"/>
  <c r="M18" i="15"/>
  <c r="F30" i="69"/>
  <c r="F48" i="69" s="1"/>
  <c r="M18" i="67"/>
  <c r="F31" i="12"/>
  <c r="F30" i="11"/>
  <c r="C48" i="11" s="1"/>
  <c r="C28" i="67"/>
  <c r="G28" i="6"/>
  <c r="F29" i="6"/>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F26" i="43"/>
  <c r="G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G1" i="73"/>
  <c r="C16" i="67"/>
  <c r="E26" i="43" l="1"/>
  <c r="J26" i="43"/>
  <c r="C48" i="69"/>
  <c r="C30" i="69"/>
  <c r="D18" i="53"/>
  <c r="B35" i="72" s="1"/>
  <c r="C7" i="74"/>
  <c r="F7" i="36"/>
  <c r="J7" i="37"/>
  <c r="H7" i="36"/>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F41" i="67"/>
  <c r="AE6" i="1"/>
  <c r="L37" i="43" l="1"/>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15"/>
  <c r="M27" i="67"/>
  <c r="D116" i="43" l="1"/>
  <c r="P37" i="43"/>
  <c r="M37" i="43"/>
  <c r="Q37" i="43"/>
  <c r="O37" i="43"/>
  <c r="N37" i="43"/>
  <c r="M21" i="6"/>
  <c r="I21" i="6" s="1"/>
  <c r="S21" i="6" s="1"/>
  <c r="E6" i="70"/>
  <c r="C34" i="43"/>
  <c r="E34" i="43" s="1"/>
  <c r="F69" i="15"/>
  <c r="E33" i="43"/>
  <c r="C6" i="68" s="1"/>
  <c r="C7" i="68" s="1"/>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67"/>
  <c r="C17" i="15"/>
  <c r="C14" i="67"/>
  <c r="C18" i="67" l="1"/>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C5" i="68" s="1"/>
  <c r="C23" i="68" s="1"/>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C18" i="12" l="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21" i="12" l="1"/>
  <c r="C22" i="12" s="1"/>
  <c r="J7" i="2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27" i="12" l="1"/>
  <c r="C25" i="12" s="1"/>
  <c r="C30" i="12"/>
  <c r="C28" i="12"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M21" i="15"/>
  <c r="F35" i="15"/>
  <c r="M21" i="67"/>
  <c r="C32" i="12" l="1"/>
  <c r="B2" i="12" s="1"/>
  <c r="B3" i="12"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C103" i="9" l="1"/>
  <c r="C80" i="67"/>
  <c r="C79" i="67" s="1"/>
  <c r="C40" i="67"/>
  <c r="C45" i="67" s="1"/>
  <c r="C56" i="11"/>
  <c r="C57" i="11" s="1"/>
  <c r="B2" i="21"/>
  <c r="B3" i="21" s="1"/>
  <c r="J16" i="15"/>
  <c r="J25" i="15" s="1"/>
  <c r="J26" i="15" s="1"/>
  <c r="J29" i="15" s="1"/>
  <c r="C58" i="15"/>
  <c r="C67" i="15" s="1"/>
  <c r="C68" i="15" s="1"/>
  <c r="C71" i="15" s="1"/>
  <c r="C30" i="15"/>
  <c r="H35" i="15" s="1"/>
  <c r="O67" i="39"/>
  <c r="O69" i="39" s="1"/>
  <c r="N69" i="39"/>
  <c r="F7" i="39"/>
  <c r="C39" i="35"/>
  <c r="C38" i="35"/>
  <c r="N63" i="40"/>
  <c r="M65" i="40"/>
  <c r="E43" i="35"/>
  <c r="F43" i="35" s="1"/>
  <c r="E42" i="35"/>
  <c r="F42" i="35" s="1"/>
  <c r="I43" i="35"/>
  <c r="J43" i="35" s="1"/>
  <c r="D2" i="33"/>
  <c r="L51" i="67"/>
  <c r="C39" i="15" l="1"/>
  <c r="Q69" i="15" s="1"/>
  <c r="Q68" i="15" s="1"/>
  <c r="L57" i="67"/>
  <c r="L60" i="67" s="1"/>
  <c r="L46" i="67" s="1"/>
  <c r="D2" i="67" s="1"/>
  <c r="B2" i="67" s="1"/>
  <c r="Q67" i="67"/>
  <c r="Q65" i="67"/>
  <c r="B2" i="33"/>
  <c r="B3" i="33" s="1"/>
  <c r="C83" i="67"/>
  <c r="C82" i="67" s="1"/>
  <c r="Q47" i="67"/>
  <c r="Q53" i="67" s="1"/>
  <c r="C46" i="67"/>
  <c r="Q56" i="67"/>
  <c r="C43" i="67"/>
  <c r="H7" i="39"/>
  <c r="J7" i="39"/>
  <c r="S7" i="39"/>
  <c r="AA7" i="39"/>
  <c r="R47" i="39" s="1"/>
  <c r="O63" i="40"/>
  <c r="O65" i="40" s="1"/>
  <c r="N65" i="40"/>
  <c r="D2" i="36"/>
  <c r="D2" i="34"/>
  <c r="D2" i="35"/>
  <c r="L51" i="15"/>
  <c r="D2" i="37"/>
  <c r="C40" i="15" l="1"/>
  <c r="C46" i="15" s="1"/>
  <c r="C80" i="15"/>
  <c r="C79" i="15" s="1"/>
  <c r="Q57" i="67"/>
  <c r="Q62" i="67" s="1"/>
  <c r="Q66" i="67"/>
  <c r="Q75" i="67" s="1"/>
  <c r="B3" i="67"/>
  <c r="L57" i="15"/>
  <c r="L60" i="15" s="1"/>
  <c r="Q57" i="15" s="1"/>
  <c r="Q67" i="15"/>
  <c r="B2" i="36"/>
  <c r="B3" i="36" s="1"/>
  <c r="B2" i="35"/>
  <c r="B3" i="35" s="1"/>
  <c r="M3" i="35"/>
  <c r="B2" i="37"/>
  <c r="B3" i="37" s="1"/>
  <c r="B2" i="34"/>
  <c r="B3" i="34" s="1"/>
  <c r="W7" i="39"/>
  <c r="AC7" i="39"/>
  <c r="V47" i="39" s="1"/>
  <c r="I47" i="39" s="1"/>
  <c r="E47" i="39"/>
  <c r="R48" i="39"/>
  <c r="U7" i="39"/>
  <c r="AB7" i="39"/>
  <c r="T47" i="39" s="1"/>
  <c r="G47" i="39" s="1"/>
  <c r="J7" i="40"/>
  <c r="F7" i="40"/>
  <c r="H7" i="40"/>
  <c r="AO8" i="1"/>
  <c r="AO7" i="1"/>
  <c r="AO10" i="1"/>
  <c r="AO12" i="1"/>
  <c r="AO11" i="1"/>
  <c r="AO9" i="1"/>
  <c r="C83" i="15" l="1"/>
  <c r="C82" i="15" s="1"/>
  <c r="C43" i="15"/>
  <c r="Q56" i="15"/>
  <c r="Q62" i="15" s="1"/>
  <c r="Q65" i="15"/>
  <c r="Q47" i="15"/>
  <c r="Q53" i="15" s="1"/>
  <c r="L46" i="15"/>
  <c r="B2" i="15" s="1"/>
  <c r="Q66"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D22" i="9"/>
  <c r="G19" i="9"/>
  <c r="B3" i="15"/>
  <c r="Q75"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14" i="74"/>
  <c r="D103" i="9"/>
  <c r="G20" i="9"/>
  <c r="C32" i="9" s="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C73" i="9"/>
  <c r="C105" i="9"/>
  <c r="I4" i="52"/>
  <c r="N61" i="9"/>
  <c r="N60" i="9"/>
  <c r="P57" i="9"/>
  <c r="N59" i="9"/>
  <c r="N58" i="9"/>
  <c r="C104" i="9"/>
  <c r="H4" i="52"/>
  <c r="C78" i="9"/>
  <c r="D53" i="9"/>
  <c r="D52" i="9"/>
  <c r="D9" i="52"/>
  <c r="M48" i="9"/>
  <c r="D123" i="9"/>
  <c r="D8" i="52"/>
  <c r="C6" i="74"/>
  <c r="B30" i="72"/>
  <c r="B53" i="72"/>
  <c r="C81" i="9"/>
  <c r="D122" i="9"/>
  <c r="N57" i="9"/>
  <c r="B20" i="72"/>
  <c r="H108" i="9"/>
  <c r="D15" i="53"/>
  <c r="B31" i="72"/>
  <c r="B21" i="72"/>
  <c r="H119" i="9"/>
  <c r="H5" i="52"/>
  <c r="B49" i="72"/>
  <c r="C93" i="9"/>
  <c r="C86" i="9"/>
  <c r="E97" i="9"/>
  <c r="E4" i="52"/>
  <c r="B48" i="72"/>
  <c r="F119" i="9"/>
  <c r="F5" i="52"/>
  <c r="C96" i="9"/>
  <c r="E96" i="9"/>
  <c r="G4" i="52"/>
  <c r="B52" i="72"/>
  <c r="D4" i="52"/>
  <c r="B47" i="72"/>
  <c r="C5" i="74"/>
  <c r="H102" i="9"/>
  <c r="D7" i="53"/>
  <c r="D56" i="9"/>
  <c r="M54" i="9"/>
  <c r="G118" i="9"/>
  <c r="F118" i="9"/>
  <c r="F4" i="52"/>
  <c r="B51" i="72"/>
  <c r="C68" i="9"/>
  <c r="D54" i="9"/>
  <c r="D55" i="9"/>
  <c r="M53" i="9"/>
  <c r="C67" i="9"/>
  <c r="D59" i="9"/>
  <c r="M55" i="9"/>
  <c r="E81" i="9"/>
  <c r="C85" i="9"/>
  <c r="C95" i="9"/>
  <c r="C97" i="9"/>
  <c r="D58" i="9"/>
  <c r="H107" i="9"/>
  <c r="D13" i="53"/>
  <c r="D14" i="53"/>
  <c r="B32" i="72"/>
  <c r="E118" i="9"/>
  <c r="D118" i="9"/>
  <c r="D119" i="9"/>
  <c r="D5" i="52"/>
  <c r="C64" i="9"/>
  <c r="C63" i="9"/>
  <c r="D5" i="53"/>
  <c r="D6" i="53"/>
  <c r="B22" i="72"/>
  <c r="I118" i="9"/>
  <c r="H118" i="9"/>
  <c r="H101" i="9"/>
  <c r="D45" i="9"/>
  <c r="C72" i="9"/>
  <c r="C79" i="9"/>
  <c r="C80" i="9"/>
  <c r="E8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<sst xmlns="http://schemas.openxmlformats.org/spreadsheetml/2006/main" count="7803" uniqueCount="3407">
  <si>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</si>
  <si>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</si>
  <si>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</si>
  <si>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</si>
  <si>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</si>
  <si>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</si>
  <si>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</si>
  <si>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</si>
  <si>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</si>
  <si>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</si>
  <si>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</si>
  <si>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</si>
  <si>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</si>
  <si>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</si>
  <si>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</si>
  <si>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</si>
  <si>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</si>
  <si>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</si>
  <si>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</si>
  <si>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</si>
  <si>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</si>
  <si>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</si>
  <si>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</si>
  <si>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</si>
  <si>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</si>
  <si>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</si>
  <si>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</si>
  <si>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</si>
  <si>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</si>
  <si>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</si>
  <si>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</si>
  <si>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</si>
  <si>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</si>
  <si>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</si>
  <si>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</si>
  <si>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</si>
  <si>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</si>
  <si>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</si>
  <si>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</si>
  <si>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</si>
  <si>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</si>
  <si>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</si>
  <si>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</si>
  <si>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</si>
  <si>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</si>
  <si>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</si>
  <si>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</si>
  <si>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</si>
  <si>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</si>
  <si>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</si>
  <si>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</si>
  <si>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</si>
  <si>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</si>
  <si>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</si>
  <si>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</si>
  <si>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</si>
  <si>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</si>
  <si>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</si>
  <si>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</si>
  <si>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</si>
  <si>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</si>
  <si>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</si>
  <si>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</si>
  <si>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</si>
  <si>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</si>
  <si>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</si>
  <si>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</si>
  <si>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</si>
  <si>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</si>
  <si>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</si>
  <si>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</si>
  <si>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</si>
  <si>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</si>
  <si>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</si>
  <si>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</si>
  <si>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</si>
  <si>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</si>
  <si>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</si>
  <si>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</si>
  <si>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</si>
  <si>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</si>
  <si>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</si>
  <si>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</si>
  <si>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</si>
  <si>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</si>
  <si>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</si>
  <si>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</si>
  <si>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</si>
  <si>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</si>
  <si>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</si>
  <si>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</si>
  <si>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</si>
  <si>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</si>
  <si>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</si>
  <si>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</si>
  <si>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</si>
  <si>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</si>
  <si>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</si>
  <si>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</si>
  <si>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</si>
  <si>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</si>
  <si>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</si>
  <si>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</si>
  <si>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</si>
  <si>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</si>
  <si>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</si>
  <si>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</si>
  <si>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</si>
  <si>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</si>
  <si>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</si>
  <si>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</si>
  <si>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</si>
  <si>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</si>
  <si>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</si>
  <si>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</si>
  <si>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</si>
  <si>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</si>
  <si>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</si>
  <si>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</si>
  <si>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</si>
  <si>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</si>
  <si>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</si>
  <si>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</si>
  <si>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</si>
  <si>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</si>
  <si>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</si>
  <si>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</si>
  <si>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</si>
  <si>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</si>
  <si>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</si>
  <si>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</si>
  <si>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</si>
  <si>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</si>
  <si>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</si>
  <si>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</si>
  <si>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</si>
  <si>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</si>
  <si>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</si>
  <si>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</si>
  <si>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</si>
  <si>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</si>
  <si>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</si>
  <si>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</si>
  <si>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</si>
  <si>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</si>
  <si>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</si>
  <si>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</si>
  <si>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</si>
  <si>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</si>
  <si>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</si>
  <si>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</si>
  <si>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</si>
  <si>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</si>
  <si>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</si>
  <si>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</si>
  <si>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</si>
  <si>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</si>
  <si>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</si>
  <si>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</si>
  <si>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</si>
  <si>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</si>
  <si>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</si>
  <si>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</si>
  <si>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</si>
  <si>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</si>
  <si>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</si>
  <si>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</si>
  <si>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</si>
  <si>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</si>
  <si>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</si>
  <si>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</si>
  <si>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</si>
  <si>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</si>
  <si>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</si>
  <si>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</si>
  <si>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</si>
  <si>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</si>
  <si>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</si>
  <si>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</si>
  <si>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</si>
  <si>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</si>
  <si>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</si>
  <si>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</si>
  <si>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</si>
  <si>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</si>
  <si>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</si>
  <si>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</si>
  <si>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</si>
  <si>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</si>
  <si>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</si>
  <si>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</si>
  <si>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</si>
  <si>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</si>
  <si>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</si>
  <si>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</si>
  <si>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</si>
  <si>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</si>
  <si>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</si>
  <si>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</si>
  <si>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</si>
  <si>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</si>
  <si>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</si>
  <si>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</si>
  <si>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</si>
  <si>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</si>
  <si>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</si>
  <si>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</si>
  <si>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</si>
  <si>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</si>
  <si>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</si>
  <si>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</si>
  <si>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</si>
  <si>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</si>
  <si>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</si>
  <si>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</si>
  <si>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</si>
  <si>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</si>
  <si>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</si>
  <si>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</si>
  <si>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</si>
  <si>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</si>
  <si>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</si>
  <si>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</si>
  <si>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</si>
  <si>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</si>
  <si>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</si>
  <si>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</si>
  <si>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</si>
  <si>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</si>
  <si>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</si>
  <si>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</si>
  <si>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</si>
  <si>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</si>
  <si>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</si>
  <si>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</si>
  <si>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</si>
  <si>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</si>
  <si>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</si>
  <si>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</si>
  <si>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</si>
  <si>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</si>
  <si>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</si>
  <si>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</si>
  <si>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</si>
  <si>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</si>
  <si>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</si>
  <si>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</si>
  <si>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</si>
  <si>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</si>
  <si>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</si>
  <si>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</si>
  <si>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</si>
  <si>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</si>
  <si>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</si>
  <si>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</si>
  <si>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</si>
  <si>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</si>
  <si>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</si>
  <si>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</si>
  <si>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</si>
  <si>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</si>
  <si>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</si>
  <si>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</si>
  <si>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</si>
  <si>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</si>
  <si>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</si>
  <si>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</si>
  <si>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</si>
  <si>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</si>
  <si>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</si>
  <si>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</si>
  <si>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</si>
  <si>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</si>
  <si>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</si>
  <si>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</si>
  <si>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</si>
  <si>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</si>
  <si>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</si>
  <si>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</si>
  <si>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</si>
  <si>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</si>
  <si>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</si>
  <si>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</si>
  <si>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</si>
  <si>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</si>
  <si>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</si>
  <si>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</si>
  <si>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</si>
  <si>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</si>
  <si>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</si>
  <si>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</si>
  <si>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</si>
  <si>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</si>
  <si>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</si>
  <si>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</si>
  <si>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</si>
  <si>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</si>
  <si>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</si>
  <si>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</si>
  <si>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</si>
  <si>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</si>
  <si>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</si>
  <si>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</si>
  <si>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</si>
  <si>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</si>
  <si>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</si>
  <si>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</si>
  <si>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</si>
  <si>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</si>
  <si>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</si>
  <si>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</si>
  <si>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</si>
  <si>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</si>
  <si>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</si>
  <si>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</si>
  <si>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</si>
  <si>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</si>
  <si>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</si>
  <si>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</si>
  <si>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</si>
  <si>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</si>
  <si>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</si>
  <si>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</si>
  <si>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</si>
  <si>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</si>
  <si>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</si>
  <si>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</si>
  <si>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</si>
  <si>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</si>
  <si>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</si>
  <si>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</si>
  <si>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</si>
  <si>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</si>
  <si>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</si>
  <si>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</si>
  <si>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</si>
  <si>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</si>
  <si>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</si>
  <si>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</si>
  <si>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</si>
  <si>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</si>
  <si>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</si>
  <si>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</si>
  <si>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</si>
  <si>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</si>
  <si>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</si>
  <si>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</si>
  <si>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</si>
  <si>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</si>
  <si>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</si>
  <si>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</si>
  <si>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</si>
  <si>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</si>
  <si>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</si>
  <si>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</si>
  <si>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</si>
  <si>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</si>
  <si>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</si>
  <si>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</si>
  <si>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</si>
  <si>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</si>
  <si>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</si>
  <si>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</si>
  <si>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</si>
  <si>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</si>
  <si>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</si>
  <si>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</si>
  <si>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</si>
  <si>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</si>
  <si>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</si>
  <si>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</si>
  <si>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</si>
  <si>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</si>
  <si>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</si>
  <si>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</si>
  <si>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</si>
  <si>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</si>
  <si>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</si>
  <si>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</si>
  <si>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</si>
  <si>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</si>
  <si>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</si>
  <si>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</si>
  <si>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</si>
  <si>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</si>
  <si>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</si>
  <si>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</si>
  <si>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</si>
  <si>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</si>
  <si>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</si>
  <si>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</si>
  <si>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</si>
  <si>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</si>
  <si>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</si>
  <si>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</si>
  <si>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</si>
  <si>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</si>
  <si>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</si>
  <si>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</si>
  <si>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</si>
  <si>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</si>
  <si>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</si>
  <si>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</si>
  <si>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</si>
  <si>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</si>
  <si>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</si>
  <si>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</si>
  <si>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</si>
  <si>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</si>
  <si>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</si>
  <si>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</si>
  <si>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</si>
  <si>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</si>
  <si>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</si>
  <si>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</si>
  <si>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</si>
  <si>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</si>
  <si>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</si>
  <si>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</si>
  <si>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</si>
  <si>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</si>
  <si>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</si>
  <si>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</si>
  <si>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</si>
  <si>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</si>
  <si>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</si>
  <si>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</si>
  <si>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</si>
  <si>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</si>
  <si>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</si>
  <si>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</si>
  <si>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</si>
  <si>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</si>
  <si>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</si>
  <si>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</si>
  <si>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</si>
  <si>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</si>
  <si>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</si>
  <si>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</si>
  <si>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</si>
  <si>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</si>
  <si>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</si>
  <si>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</si>
  <si>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</si>
  <si>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</si>
  <si>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</si>
  <si>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</si>
  <si>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</si>
  <si>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</si>
  <si>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</si>
  <si>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</si>
  <si>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</si>
  <si>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</si>
  <si>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</si>
  <si>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</si>
  <si>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</si>
  <si>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</si>
  <si>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</si>
  <si>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</si>
  <si>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</si>
  <si>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</si>
  <si>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</si>
  <si>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</si>
  <si>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</si>
  <si>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</si>
  <si>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</si>
  <si>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</si>
  <si>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</si>
  <si>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</si>
  <si>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</si>
  <si>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</si>
  <si>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</si>
  <si>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</si>
  <si>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</si>
  <si>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</si>
  <si>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</si>
  <si>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</si>
  <si>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</si>
  <si>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</si>
  <si>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</si>
  <si>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</si>
  <si>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</si>
  <si>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</si>
  <si>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</si>
  <si>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</si>
  <si>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</si>
  <si>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</si>
  <si>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</si>
  <si>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</si>
  <si>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</si>
  <si>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</si>
  <si>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</si>
  <si>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</si>
  <si>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</si>
  <si>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</si>
  <si>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</si>
  <si>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</si>
  <si>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</si>
  <si>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</si>
  <si>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</si>
  <si>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</si>
  <si>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</si>
  <si>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</si>
  <si>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</si>
  <si>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</si>
  <si>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</si>
  <si>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</si>
  <si>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</si>
  <si>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</si>
  <si>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</si>
  <si>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</si>
  <si>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</si>
  <si>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</si>
  <si>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</si>
  <si>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</si>
  <si>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</si>
  <si>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</si>
  <si>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</si>
  <si>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</si>
  <si>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</si>
  <si>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</si>
  <si>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</si>
  <si>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</si>
  <si>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</si>
  <si>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</si>
  <si>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</si>
  <si>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</si>
  <si>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</si>
  <si>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</si>
  <si>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</si>
  <si>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</si>
  <si>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</si>
  <si>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</si>
  <si>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</si>
  <si>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</si>
  <si>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</si>
  <si>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</si>
  <si>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</si>
  <si>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</si>
  <si>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</si>
  <si>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</si>
  <si>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</si>
  <si>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</si>
  <si>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</si>
  <si>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</si>
  <si>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</si>
  <si>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</si>
  <si>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</si>
  <si>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</si>
  <si>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</si>
  <si>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</si>
  <si>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</si>
  <si>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</si>
  <si>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</si>
  <si>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</si>
  <si>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</si>
  <si>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</si>
  <si>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</si>
  <si>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</si>
  <si>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</si>
  <si>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</si>
  <si>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</si>
  <si>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</si>
  <si>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</si>
  <si>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</si>
  <si>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</si>
  <si>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</si>
  <si>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</si>
  <si>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</si>
  <si>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</si>
  <si>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</si>
  <si>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</si>
  <si>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</si>
  <si>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</si>
  <si>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</si>
  <si>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</si>
  <si>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</si>
  <si>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</si>
  <si>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</si>
  <si>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</si>
  <si>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</si>
  <si>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</si>
  <si>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</si>
  <si>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</si>
  <si>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</si>
  <si>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</si>
  <si>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</si>
  <si>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</si>
  <si>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</si>
  <si>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</si>
  <si>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</si>
  <si>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</si>
  <si>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</si>
  <si>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</si>
  <si>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</si>
  <si>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</si>
  <si>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</si>
  <si>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</si>
  <si>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</si>
  <si>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</si>
  <si>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</si>
  <si>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</si>
  <si>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</si>
  <si>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</si>
  <si>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</si>
  <si>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</si>
  <si>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</si>
  <si>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</si>
  <si>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</si>
  <si>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</si>
  <si>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</si>
  <si>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</si>
  <si>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</si>
  <si>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</si>
  <si>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</si>
  <si>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</si>
  <si>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</si>
  <si>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</si>
  <si>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</si>
  <si>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</si>
  <si>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</si>
  <si>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</si>
  <si>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</si>
  <si>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</si>
  <si>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</si>
  <si>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</si>
  <si>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</si>
  <si>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</si>
  <si>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</si>
  <si>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</si>
  <si>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</si>
  <si>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</si>
  <si>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</si>
  <si>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</si>
  <si>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</si>
  <si>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</si>
  <si>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</si>
  <si>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</si>
  <si>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</si>
  <si>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</si>
  <si>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</si>
  <si>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</si>
  <si>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</si>
  <si>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</si>
  <si>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</si>
  <si>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</si>
  <si>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</si>
  <si>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</si>
  <si>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</si>
  <si>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</si>
  <si>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</si>
  <si>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</si>
  <si>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</si>
  <si>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</si>
  <si>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</si>
  <si>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</si>
  <si>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</si>
  <si>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</si>
  <si>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</si>
  <si>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</si>
  <si>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</si>
  <si>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</si>
  <si>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</si>
  <si>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</si>
  <si>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</si>
  <si>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</si>
  <si>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</si>
  <si>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</si>
  <si>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</si>
  <si>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</si>
  <si>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</si>
  <si>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</si>
  <si>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</si>
  <si>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</si>
  <si>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</si>
  <si>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</si>
  <si>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</si>
  <si>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</si>
  <si>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</si>
  <si>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</si>
  <si>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</si>
  <si>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</si>
  <si>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</si>
  <si>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</si>
  <si>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</si>
  <si>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</si>
  <si>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</si>
  <si>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</si>
  <si>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</si>
  <si>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</si>
  <si>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</si>
  <si>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</si>
  <si>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</si>
  <si>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</si>
  <si>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</si>
  <si>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</si>
  <si>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</si>
  <si>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</si>
  <si>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</si>
  <si>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</si>
  <si>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</si>
  <si>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</si>
  <si>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</si>
  <si>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</si>
  <si>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</si>
  <si>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</si>
  <si>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</si>
  <si>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</si>
  <si>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</si>
  <si>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</si>
  <si>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</si>
  <si>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</si>
  <si>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</si>
  <si>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</si>
  <si>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</si>
  <si>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</si>
  <si>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</si>
  <si>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</si>
  <si>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</si>
  <si>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</si>
  <si>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</si>
  <si>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</si>
  <si>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</si>
  <si>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</si>
  <si>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</si>
  <si>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</si>
  <si>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</si>
  <si>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</si>
  <si>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</si>
  <si>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</si>
  <si>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</si>
  <si>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</si>
  <si>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</si>
  <si>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</si>
  <si>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</si>
  <si>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</si>
  <si>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</si>
  <si>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</si>
  <si>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</si>
  <si>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</si>
  <si>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</si>
  <si>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</si>
  <si>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</si>
  <si>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</si>
  <si>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</si>
  <si>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</si>
  <si>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</si>
  <si>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</si>
  <si>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</si>
  <si>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</si>
  <si>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</si>
  <si>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</si>
  <si>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</si>
  <si>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</si>
  <si>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</si>
  <si>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</si>
  <si>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</si>
  <si>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</si>
  <si>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</si>
  <si>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</si>
  <si>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</si>
  <si>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</si>
  <si>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</si>
  <si>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</si>
  <si>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</si>
  <si>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</si>
  <si>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</si>
  <si>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</si>
  <si>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</si>
  <si>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</si>
  <si>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</si>
  <si>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</si>
  <si>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</si>
  <si>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</si>
  <si>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</si>
  <si>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</si>
  <si>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</si>
  <si>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</si>
  <si>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</si>
  <si>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</si>
  <si>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</si>
  <si>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</si>
  <si>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</si>
  <si>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</si>
  <si>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</si>
  <si>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</si>
  <si>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</si>
  <si>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</si>
  <si>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</si>
  <si>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</si>
  <si>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</si>
  <si>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</si>
  <si>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</si>
  <si>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</si>
  <si>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</si>
  <si>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</si>
  <si>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</si>
  <si>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</si>
  <si>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</si>
  <si>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</si>
  <si>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</si>
  <si>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</si>
  <si>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</si>
  <si>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</si>
  <si>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</si>
  <si>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</si>
  <si>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</si>
  <si>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</si>
  <si>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</si>
  <si>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</si>
  <si>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</si>
  <si>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</si>
  <si>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</si>
  <si>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</si>
  <si>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</si>
  <si>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</si>
  <si>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</si>
  <si>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</si>
  <si>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</si>
  <si>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</si>
  <si>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</si>
  <si>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</si>
  <si>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</si>
  <si>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</si>
  <si>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</si>
  <si>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</si>
  <si>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</si>
  <si>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</si>
  <si>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</si>
  <si>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</si>
  <si>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</si>
  <si>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</si>
  <si>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</si>
  <si>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</si>
  <si>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</si>
  <si>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</si>
  <si>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</si>
  <si>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</si>
  <si>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</si>
  <si>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</si>
  <si>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</si>
  <si>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</si>
  <si>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</si>
  <si>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</si>
  <si>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</si>
  <si>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</si>
  <si>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</si>
  <si>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</si>
  <si>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</si>
  <si>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</si>
  <si>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</si>
  <si>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</si>
  <si>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</si>
  <si>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</si>
  <si>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</si>
  <si>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</si>
  <si>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</si>
  <si>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</si>
  <si>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</si>
  <si>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</si>
  <si>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</si>
  <si>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</si>
  <si>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</si>
  <si>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</si>
  <si>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</si>
  <si>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</si>
  <si>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</si>
  <si>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</si>
  <si>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</si>
  <si>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</si>
  <si>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</si>
  <si>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</si>
  <si>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</si>
  <si>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</si>
  <si>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</si>
  <si>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</si>
  <si>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</si>
  <si>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</si>
  <si>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</si>
  <si>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</si>
  <si>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</si>
  <si>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</si>
  <si>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</si>
  <si>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</si>
  <si>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</si>
  <si>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</si>
  <si>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</si>
  <si>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</si>
  <si>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</si>
  <si>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</si>
  <si>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</si>
  <si>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</si>
  <si>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</si>
  <si>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</si>
  <si>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</si>
  <si>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</si>
  <si>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</si>
  <si>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</si>
  <si>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</si>
  <si>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</si>
  <si>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</si>
  <si>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</si>
  <si>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</si>
  <si>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</si>
  <si>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</si>
  <si>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</si>
  <si>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</si>
  <si>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</si>
  <si>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</si>
  <si>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</si>
  <si>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</si>
  <si>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</si>
  <si>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</si>
  <si>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</si>
  <si>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</si>
  <si>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</si>
  <si>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</si>
  <si>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</si>
  <si>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</si>
  <si>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</si>
  <si>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</si>
  <si>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</si>
  <si>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</si>
  <si>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</si>
  <si>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</si>
  <si>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</si>
  <si>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</si>
  <si>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</si>
  <si>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</si>
  <si>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</si>
  <si>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</si>
  <si>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</si>
  <si>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</si>
  <si>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</si>
  <si>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</si>
  <si>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</si>
  <si>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</si>
  <si>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</si>
  <si>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</si>
  <si>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</si>
  <si>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</si>
  <si>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</si>
  <si>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</si>
  <si>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</si>
  <si>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</si>
  <si>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</si>
  <si>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</si>
  <si>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</si>
  <si>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</si>
  <si>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</si>
  <si>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</si>
  <si>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</si>
  <si>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</si>
  <si>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</si>
  <si>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</si>
  <si>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</si>
  <si>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</si>
  <si>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</si>
  <si>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</si>
  <si>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</si>
  <si>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</si>
  <si>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</si>
  <si>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</si>
  <si>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</si>
  <si>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</si>
  <si>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</si>
  <si>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</si>
  <si>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</si>
  <si>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</si>
  <si>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</si>
  <si>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</si>
  <si>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</si>
  <si>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</si>
  <si>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</si>
  <si>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</si>
  <si>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</si>
  <si>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</si>
  <si>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</si>
  <si>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</si>
  <si>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</si>
  <si>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</si>
  <si>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</si>
  <si>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</si>
  <si>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</si>
  <si>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</si>
  <si>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</si>
  <si>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</si>
  <si>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</si>
  <si>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</si>
  <si>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</si>
  <si>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</si>
  <si>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</si>
  <si>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</si>
  <si>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</si>
  <si>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</si>
  <si>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</si>
  <si>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</si>
  <si>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</si>
  <si>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</si>
  <si>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</si>
  <si>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</si>
  <si>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</si>
  <si>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</si>
  <si>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</si>
  <si>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</si>
  <si>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</si>
  <si>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</si>
  <si>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</si>
  <si>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</si>
  <si>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</si>
  <si>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</si>
  <si>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</si>
  <si>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</si>
  <si>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</si>
  <si>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</si>
  <si>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</si>
  <si>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</si>
  <si>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</si>
  <si>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</si>
  <si>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</si>
  <si>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</si>
  <si>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</si>
  <si>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</si>
  <si>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</si>
  <si>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</si>
  <si>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</si>
  <si>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</si>
  <si>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</si>
  <si>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</si>
  <si>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</si>
  <si>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</si>
  <si>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</si>
  <si>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</si>
  <si>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</si>
  <si>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</si>
  <si>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</si>
  <si>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</si>
  <si>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</si>
  <si>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</si>
  <si>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</si>
  <si>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</si>
  <si>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</si>
  <si>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</si>
  <si>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</si>
  <si>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</si>
  <si>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</si>
  <si>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</si>
  <si>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</si>
  <si>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</si>
  <si>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</si>
  <si>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</si>
  <si>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</si>
  <si>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</si>
  <si>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</si>
  <si>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</si>
  <si>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</si>
  <si>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</si>
  <si>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</si>
  <si>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</si>
  <si>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</si>
  <si>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</si>
  <si>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</si>
  <si>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</si>
  <si>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</si>
  <si>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</si>
  <si>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</si>
  <si>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</si>
  <si>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</si>
  <si>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</si>
  <si>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</si>
  <si>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</si>
  <si>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</si>
  <si>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</si>
  <si>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</si>
  <si>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</si>
  <si>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</si>
  <si>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</si>
  <si>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</si>
  <si>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</si>
  <si>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</si>
  <si>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</si>
  <si>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</si>
  <si>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</si>
  <si>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</si>
  <si>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</si>
  <si>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</si>
  <si>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</si>
  <si>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</si>
  <si>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</si>
  <si>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</si>
  <si>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</si>
  <si>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</si>
  <si>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</si>
  <si>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</si>
  <si>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</si>
  <si>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</si>
  <si>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</si>
  <si>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</si>
  <si>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</si>
  <si>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</si>
  <si>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</si>
  <si>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</si>
  <si>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</si>
  <si>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</si>
  <si>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</si>
  <si>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</si>
  <si>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</si>
  <si>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</si>
  <si>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</si>
  <si>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</si>
  <si>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</si>
  <si>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</si>
  <si>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</si>
  <si>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</si>
  <si>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</si>
  <si>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</si>
  <si>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</si>
  <si>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</si>
  <si>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</si>
  <si>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</si>
  <si>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</si>
  <si>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</si>
  <si>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</si>
  <si>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</si>
  <si>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</si>
  <si>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</si>
  <si>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</si>
  <si>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</si>
  <si>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</si>
  <si>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</si>
  <si>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</si>
  <si>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</si>
  <si>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</si>
  <si>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</si>
  <si>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</si>
  <si>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</si>
  <si>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</si>
  <si>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</si>
  <si>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</si>
  <si>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</si>
  <si>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</si>
  <si>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</si>
  <si>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</si>
  <si>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</si>
  <si>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</si>
  <si>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</si>
  <si>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</si>
  <si>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</si>
  <si>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</si>
  <si>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</si>
  <si>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</si>
  <si>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</si>
  <si>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</si>
  <si>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</si>
  <si>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</si>
  <si>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</si>
  <si>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</si>
  <si>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</si>
  <si>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</si>
  <si>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</si>
  <si>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</si>
  <si>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</si>
  <si>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</si>
  <si>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</si>
  <si>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</si>
  <si>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</si>
  <si>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</si>
  <si>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</si>
  <si>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</si>
  <si>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</si>
  <si>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</si>
  <si>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</si>
  <si>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</si>
  <si>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</si>
  <si>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</si>
  <si>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</si>
  <si>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</si>
  <si>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</si>
  <si>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</si>
  <si>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</si>
  <si>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</si>
  <si>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</si>
  <si>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</si>
  <si>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</si>
  <si>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</si>
  <si>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</si>
  <si>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</si>
  <si>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</si>
  <si>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</si>
  <si>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</si>
  <si>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</si>
  <si>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</si>
  <si>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</si>
  <si>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</si>
  <si>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</si>
  <si>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</si>
  <si>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</si>
  <si>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</si>
  <si>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</si>
  <si>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</si>
  <si>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</si>
  <si>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</si>
  <si>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</si>
  <si>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</si>
  <si>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</si>
  <si>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</si>
  <si>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</si>
  <si>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</si>
  <si>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</si>
  <si>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</si>
  <si>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</si>
  <si>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</si>
  <si>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</si>
  <si>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</si>
  <si>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</si>
  <si>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</si>
  <si>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</si>
  <si>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</si>
  <si>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</si>
  <si>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</si>
  <si>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</si>
  <si>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</si>
  <si>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</si>
  <si>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</si>
  <si>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</si>
  <si>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</si>
  <si>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</si>
  <si>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</si>
  <si>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</si>
  <si>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</si>
  <si>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</si>
  <si>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</si>
  <si>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</si>
  <si>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</si>
  <si>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</si>
  <si>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</si>
  <si>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</si>
  <si>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</si>
  <si>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</si>
  <si>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</si>
  <si>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</si>
  <si>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</si>
  <si>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</si>
  <si>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</si>
  <si>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</si>
  <si>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</si>
  <si>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</si>
  <si>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</si>
  <si>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</si>
  <si>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</si>
  <si>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</si>
  <si>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</si>
  <si>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</si>
  <si>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</si>
  <si>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</si>
  <si>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</si>
  <si>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</si>
  <si>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</si>
  <si>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</si>
  <si>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</si>
  <si>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</si>
  <si>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</si>
  <si>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</si>
  <si>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</si>
  <si>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</si>
  <si>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</si>
  <si>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</si>
  <si>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</si>
  <si>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</si>
  <si>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</si>
  <si>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</si>
  <si>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</si>
  <si>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</si>
  <si>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</si>
  <si>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</si>
  <si>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</si>
  <si>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</si>
  <si>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</si>
  <si>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</si>
  <si>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</si>
  <si>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</si>
  <si>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</si>
  <si>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</si>
  <si>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</si>
  <si>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</si>
  <si>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</si>
  <si>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</si>
  <si>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</si>
  <si>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</si>
  <si>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</si>
  <si>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</si>
  <si>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</si>
  <si>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</si>
  <si>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</si>
  <si>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</si>
  <si>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</si>
  <si>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</si>
  <si>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</si>
  <si>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</si>
  <si>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</si>
  <si>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</si>
  <si>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</si>
  <si>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</si>
  <si>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</si>
  <si>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</si>
  <si>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</si>
  <si>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</si>
  <si>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</si>
  <si>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</si>
  <si>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</si>
  <si>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</si>
  <si>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</si>
  <si>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</si>
  <si>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</si>
  <si>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</si>
  <si>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</si>
  <si>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</si>
  <si>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</si>
  <si>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</si>
  <si>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</si>
  <si>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</si>
  <si>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</si>
  <si>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</si>
  <si>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</si>
  <si>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</si>
  <si>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</si>
  <si>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</si>
  <si>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</si>
  <si>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</si>
  <si>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</si>
  <si>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</si>
  <si>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</si>
  <si>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</si>
  <si>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</si>
  <si>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</si>
  <si>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</si>
  <si>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</si>
  <si>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</si>
  <si>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</si>
  <si>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</si>
  <si>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</si>
  <si>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</si>
  <si>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</si>
  <si>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</si>
  <si>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</si>
  <si>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</si>
  <si>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</si>
  <si>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</si>
  <si>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</si>
  <si>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</si>
  <si>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</si>
  <si>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</si>
  <si>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</si>
  <si>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</si>
  <si>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</si>
  <si>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</si>
  <si>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</si>
  <si>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</si>
  <si>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</si>
  <si>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</si>
  <si>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</si>
  <si>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</si>
  <si>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</si>
  <si>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</si>
  <si>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</si>
  <si>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</si>
  <si>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</si>
  <si>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</si>
  <si>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</si>
  <si>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</si>
  <si>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</si>
  <si>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</si>
  <si>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</si>
  <si>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</si>
  <si>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</si>
  <si>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</si>
  <si>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</si>
  <si>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</si>
  <si>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</si>
  <si>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</si>
  <si>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</si>
  <si>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</si>
  <si>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</si>
  <si>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</si>
  <si>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</si>
  <si>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</si>
  <si>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</si>
  <si>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</si>
  <si>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</si>
  <si>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</si>
  <si>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</si>
  <si>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</si>
  <si>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</si>
  <si>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</si>
  <si>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</si>
  <si>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</si>
  <si>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</si>
  <si>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</si>
  <si>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</si>
  <si>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</si>
  <si>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</si>
  <si>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</si>
  <si>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</si>
  <si>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</si>
  <si>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</si>
  <si>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</si>
  <si>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</si>
  <si>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</si>
  <si>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</si>
  <si>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</si>
  <si>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</si>
  <si>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</si>
  <si>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</si>
  <si>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</si>
  <si>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</si>
  <si>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</si>
  <si>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</si>
  <si>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</si>
  <si>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</si>
  <si>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</si>
  <si>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</si>
  <si>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</si>
  <si>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</si>
  <si>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</si>
  <si>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</si>
  <si>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</si>
  <si>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</si>
  <si>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</si>
  <si>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</si>
  <si>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</si>
  <si>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</si>
  <si>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</si>
  <si>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</si>
  <si>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</si>
  <si>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</si>
  <si>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</si>
  <si>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</si>
  <si>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</si>
  <si>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</si>
  <si>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</si>
  <si>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</si>
  <si>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</si>
  <si>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</si>
  <si>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</si>
  <si>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</si>
  <si>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</si>
  <si>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</si>
  <si>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</si>
  <si>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</si>
  <si>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</si>
  <si>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</si>
  <si>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</si>
  <si>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</si>
  <si>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</si>
  <si>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</si>
  <si>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</si>
  <si>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</si>
  <si>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</si>
  <si>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</si>
  <si>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</si>
  <si>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</si>
  <si>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</si>
  <si>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</si>
  <si>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</si>
  <si>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</si>
  <si>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</si>
  <si>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</si>
  <si>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</si>
  <si>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</si>
  <si>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</si>
  <si>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</si>
  <si>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</si>
  <si>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</si>
  <si>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</si>
  <si>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</si>
  <si>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</si>
  <si>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</si>
  <si>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</si>
  <si>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</si>
  <si>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</si>
  <si>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</si>
  <si>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</si>
  <si>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</si>
  <si>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</si>
  <si>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</si>
  <si>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</si>
  <si>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</si>
  <si>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</si>
  <si>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</si>
  <si>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</si>
  <si>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</si>
  <si>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</si>
  <si>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</si>
  <si>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</si>
  <si>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</si>
  <si>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</si>
  <si>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</si>
  <si>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</si>
  <si>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</si>
  <si>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</si>
  <si>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</si>
  <si>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</si>
  <si>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</si>
  <si>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</si>
  <si>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</si>
  <si>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</si>
  <si>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</si>
  <si>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</si>
  <si>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</si>
  <si>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</si>
  <si>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</si>
  <si>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</si>
  <si>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</si>
  <si>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</si>
  <si>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</si>
  <si>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</si>
  <si>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</si>
  <si>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</si>
  <si>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</si>
  <si>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</si>
  <si>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</si>
  <si>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</si>
  <si>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</si>
  <si>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</si>
  <si>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</si>
  <si>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</si>
  <si>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</si>
  <si>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</si>
  <si>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</si>
  <si>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</si>
  <si>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</si>
  <si>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</si>
  <si>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</si>
  <si>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</si>
  <si>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</si>
  <si>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</si>
  <si>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</si>
  <si>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</si>
  <si>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</si>
  <si>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</si>
  <si>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</si>
  <si>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</si>
  <si>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</si>
  <si>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</si>
  <si>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</si>
  <si>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</si>
  <si>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</si>
  <si>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</si>
  <si>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</si>
  <si>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</si>
  <si>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</si>
  <si>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</si>
  <si>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</si>
  <si>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</si>
  <si>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</si>
  <si>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</si>
  <si>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</si>
  <si>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</si>
  <si>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</si>
  <si>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</si>
  <si>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</si>
  <si>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</si>
  <si>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</si>
  <si>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</si>
  <si>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</si>
  <si>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</si>
  <si>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</si>
  <si>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</si>
  <si>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</si>
  <si>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</si>
  <si>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</si>
  <si>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</si>
  <si>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</si>
  <si>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</si>
  <si>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</si>
  <si>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</si>
  <si>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</si>
  <si>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</si>
  <si>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</si>
  <si>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</si>
  <si>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</si>
  <si>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</si>
  <si>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</si>
  <si>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</si>
  <si>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</si>
  <si>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</si>
  <si>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</si>
  <si>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</si>
  <si>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</si>
  <si>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</si>
  <si>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</si>
  <si>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</si>
  <si>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</si>
  <si>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</si>
  <si>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</si>
  <si>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</si>
  <si>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</si>
  <si>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</si>
  <si>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</si>
  <si>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</si>
  <si>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</si>
  <si>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</si>
  <si>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</si>
  <si>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</si>
  <si>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</si>
  <si>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</si>
  <si>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</si>
  <si>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</si>
  <si>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</si>
  <si>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</si>
  <si>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</si>
  <si>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</si>
  <si>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</si>
  <si>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</si>
  <si>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</si>
  <si>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</si>
  <si>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</si>
  <si>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</si>
  <si>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</si>
  <si>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</si>
  <si>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</si>
  <si>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</si>
  <si>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</si>
  <si>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</si>
  <si>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</si>
  <si>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</si>
  <si>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</si>
  <si>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</si>
  <si>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</si>
  <si>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</si>
  <si>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</si>
  <si>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</si>
  <si>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</si>
  <si>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</si>
  <si>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</si>
  <si>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</si>
  <si>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</si>
  <si>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</si>
  <si>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</si>
  <si>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</si>
  <si>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</si>
  <si>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</si>
  <si>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</si>
  <si>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</si>
  <si>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</si>
  <si>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</si>
  <si>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</si>
  <si>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</si>
  <si>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</si>
  <si>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</si>
  <si>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</si>
  <si>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</si>
  <si>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</si>
  <si>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</si>
  <si>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</si>
  <si>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</si>
  <si>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</si>
  <si>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</si>
  <si>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</si>
  <si>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</si>
  <si>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</si>
  <si>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</si>
  <si>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</si>
  <si>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</si>
  <si>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</si>
  <si>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</si>
  <si>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</si>
  <si>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</si>
  <si>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</si>
  <si>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</si>
  <si>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</si>
  <si>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</si>
  <si>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</si>
  <si>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</si>
  <si>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</si>
  <si>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</si>
  <si>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</si>
  <si>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</si>
  <si>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</si>
  <si>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</si>
  <si>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</si>
  <si>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</si>
  <si>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</si>
  <si>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</si>
  <si>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</si>
  <si>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</si>
  <si>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</si>
  <si>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</si>
  <si>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</si>
  <si>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</si>
  <si>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</si>
  <si>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</si>
  <si>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</si>
  <si>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</si>
  <si>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</si>
  <si>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</si>
  <si>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</si>
  <si>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</si>
  <si>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</si>
  <si>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</si>
  <si>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</si>
  <si>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</si>
  <si>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</si>
  <si>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</si>
  <si>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</si>
  <si>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</si>
  <si>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</si>
  <si>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</si>
  <si>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</si>
  <si>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</si>
  <si>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</si>
  <si>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</si>
  <si>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</si>
  <si>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</si>
  <si>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</si>
  <si>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</si>
  <si>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</si>
  <si>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</si>
  <si>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</si>
  <si>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</si>
  <si>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</si>
  <si>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</si>
  <si>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</si>
  <si>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</si>
  <si>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</si>
  <si>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</si>
  <si>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</si>
  <si>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</si>
  <si>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</si>
  <si>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</si>
  <si>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</si>
  <si>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</si>
  <si>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</si>
  <si>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</si>
  <si>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</si>
  <si>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</si>
  <si>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</si>
  <si>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</si>
  <si>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</si>
  <si>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</si>
  <si>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</si>
  <si>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</si>
  <si>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</si>
  <si>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</si>
  <si>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</si>
  <si>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</si>
  <si>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</si>
  <si>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</si>
  <si>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</si>
  <si>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</si>
  <si>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</si>
  <si>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</si>
  <si>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</si>
  <si>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</si>
  <si>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</si>
  <si>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</si>
  <si>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</si>
  <si>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</si>
  <si>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</si>
  <si>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</si>
  <si>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</si>
  <si>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</si>
  <si>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</si>
  <si>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</si>
  <si>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</si>
  <si>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</si>
  <si>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</si>
  <si>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</si>
  <si>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</si>
  <si>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</si>
  <si>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</si>
  <si>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</si>
  <si>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</si>
  <si>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</si>
  <si>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</si>
  <si>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</si>
  <si>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</si>
  <si>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</si>
  <si>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</si>
  <si>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</si>
  <si>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</si>
  <si>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</si>
  <si>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</si>
  <si>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</si>
  <si>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</si>
  <si>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</si>
  <si>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</si>
  <si>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</si>
  <si>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</si>
  <si>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</si>
  <si>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</si>
  <si>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</si>
  <si>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</si>
  <si>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</si>
  <si>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</si>
  <si>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</si>
  <si>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</si>
  <si>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</si>
  <si>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</si>
  <si>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</si>
  <si>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</si>
  <si>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</si>
  <si>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</si>
  <si>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</si>
  <si>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</si>
  <si>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</si>
  <si>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</si>
  <si>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</si>
  <si>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</si>
  <si>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</si>
  <si>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</si>
  <si>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</si>
  <si>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</si>
  <si>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</si>
  <si>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</si>
  <si>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</si>
  <si>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</si>
  <si>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</si>
  <si>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</si>
  <si>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</si>
  <si>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</si>
  <si>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</si>
  <si>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</si>
  <si>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</si>
  <si>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</si>
  <si>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</si>
  <si>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</si>
  <si>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</si>
  <si>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</si>
  <si>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</si>
  <si>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</si>
  <si>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</si>
  <si>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</si>
  <si>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</si>
  <si>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</si>
  <si>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</si>
  <si>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</si>
  <si>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</si>
  <si>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</si>
  <si>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</si>
  <si>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</si>
  <si>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</si>
  <si>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</si>
  <si>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</si>
  <si>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</si>
  <si>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</si>
  <si>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</si>
  <si>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</si>
  <si>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</si>
  <si>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</si>
  <si>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</si>
  <si>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</si>
  <si>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</si>
  <si>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</si>
  <si>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</si>
  <si>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</si>
  <si>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</si>
  <si>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</si>
  <si>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</si>
  <si>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</si>
  <si>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</si>
  <si>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</si>
  <si>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</si>
  <si>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</si>
  <si>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</si>
  <si>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</si>
  <si>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</si>
  <si>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</si>
  <si>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</si>
  <si>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</si>
  <si>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</si>
  <si>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</si>
  <si>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</si>
  <si>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</si>
  <si>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</si>
  <si>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</si>
  <si>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</si>
  <si>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</si>
  <si>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</si>
  <si>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</si>
  <si>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</si>
  <si>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</si>
  <si>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</si>
  <si>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</si>
  <si>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</si>
  <si>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</si>
  <si>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</si>
  <si>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</si>
  <si>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</si>
  <si>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</si>
  <si>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</si>
  <si>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</si>
  <si>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</si>
  <si>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</si>
  <si>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</si>
  <si>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</si>
  <si>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</si>
  <si>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</si>
  <si>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</si>
  <si>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</si>
  <si>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</si>
  <si>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</si>
  <si>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</si>
  <si>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</si>
  <si>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</si>
  <si>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</si>
  <si>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</si>
  <si>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</si>
  <si>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</si>
  <si>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</si>
  <si>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</si>
  <si>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</si>
  <si>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</si>
  <si>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</si>
  <si>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</si>
  <si>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</si>
  <si>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</si>
  <si>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</si>
  <si>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</si>
  <si>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</si>
  <si>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</si>
  <si>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</si>
  <si>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</si>
  <si>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</si>
  <si>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</si>
  <si>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</si>
  <si>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</si>
  <si>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</si>
  <si>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</si>
  <si>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</si>
  <si>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</si>
  <si>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</si>
  <si>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</si>
  <si>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</si>
  <si>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</si>
  <si>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</si>
  <si>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</si>
  <si>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</si>
  <si>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</si>
  <si>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</si>
  <si>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</si>
  <si>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</si>
  <si>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</si>
  <si>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</si>
  <si>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</si>
  <si>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</si>
  <si>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</si>
  <si>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</si>
  <si>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</si>
  <si>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</si>
  <si>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</si>
  <si>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</si>
  <si>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</si>
  <si>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</si>
  <si>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</si>
  <si>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</si>
  <si>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</si>
  <si>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</si>
  <si>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</si>
  <si>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</si>
  <si>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</si>
  <si>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</si>
  <si>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</si>
  <si>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</si>
  <si>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</si>
  <si>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</si>
  <si>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</si>
  <si>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</si>
  <si>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</si>
  <si>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</si>
  <si>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</si>
  <si>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</si>
  <si>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</si>
  <si>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</si>
  <si>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</si>
  <si>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</si>
  <si>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</si>
  <si>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</si>
  <si>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</si>
  <si>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</si>
  <si>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</si>
  <si>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</si>
  <si>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</si>
  <si>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</si>
  <si>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</si>
  <si>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</si>
  <si>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</si>
  <si>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</si>
  <si>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</si>
  <si>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</si>
  <si>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</si>
  <si>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</si>
  <si>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</si>
  <si>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</si>
  <si>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</si>
  <si>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</si>
  <si>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</si>
  <si>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</si>
  <si>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</si>
  <si>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</si>
  <si>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</si>
  <si>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</si>
  <si>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</si>
  <si>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</si>
  <si>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</si>
  <si>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</si>
  <si>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</si>
  <si>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</si>
  <si>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</si>
  <si>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</si>
  <si>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</si>
  <si>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</si>
  <si>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</si>
  <si>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</si>
  <si>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</si>
  <si>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</si>
  <si>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</si>
  <si>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</si>
  <si>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</si>
  <si>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</si>
  <si>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</si>
  <si>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</si>
  <si>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</si>
  <si>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</si>
  <si>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</si>
  <si>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</si>
  <si>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</si>
  <si>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</si>
  <si>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</si>
  <si>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</si>
  <si>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</si>
  <si>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</si>
  <si>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</si>
  <si>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</si>
  <si>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</si>
  <si>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</si>
  <si>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</si>
  <si>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</si>
  <si>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</si>
  <si>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</si>
  <si>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</si>
  <si>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</si>
  <si>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</si>
  <si>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</si>
  <si>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</si>
  <si>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</si>
  <si>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</si>
  <si>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</si>
  <si>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</si>
  <si>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</si>
  <si>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</si>
  <si>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</si>
  <si>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</si>
  <si>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</si>
  <si>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</si>
  <si>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</si>
  <si>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</si>
  <si>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</si>
  <si>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</si>
  <si>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</si>
  <si>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</si>
  <si>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</si>
  <si>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</si>
  <si>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</si>
  <si>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</si>
  <si>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</si>
  <si>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</si>
  <si>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</si>
  <si>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</si>
  <si>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</si>
  <si>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</si>
  <si>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</si>
  <si>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</si>
  <si>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</si>
  <si>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</si>
  <si>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</si>
  <si>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</si>
  <si>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</si>
  <si>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</si>
  <si>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</si>
  <si>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</si>
  <si>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</si>
  <si>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</si>
  <si>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</si>
  <si>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</si>
  <si>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</si>
  <si>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</si>
  <si>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</si>
  <si>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</si>
  <si>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</si>
  <si>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</si>
  <si>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</si>
  <si>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</si>
  <si>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</si>
  <si>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</si>
  <si>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</si>
  <si>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</si>
  <si>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</si>
  <si>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</si>
  <si>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</si>
  <si>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</si>
  <si>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</si>
  <si>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</si>
  <si>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</si>
  <si>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</si>
  <si>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</si>
  <si>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</si>
  <si>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</si>
  <si>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</si>
  <si>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</si>
  <si>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</si>
  <si>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</si>
  <si>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</si>
  <si>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</si>
  <si>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</si>
  <si>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</si>
  <si>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</si>
  <si>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</si>
  <si>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</si>
  <si>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</si>
  <si>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</si>
  <si>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</si>
  <si>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</si>
  <si>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</si>
  <si>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</si>
  <si>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</si>
  <si>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</si>
  <si>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</si>
  <si>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</si>
  <si>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</si>
  <si>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</si>
  <si>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</si>
  <si>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</si>
  <si>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</si>
  <si>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</si>
  <si>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</si>
  <si>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</si>
  <si>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</si>
  <si>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</si>
  <si>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</si>
  <si>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</si>
  <si>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</si>
  <si>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</si>
  <si>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</si>
  <si>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</si>
  <si>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</si>
  <si>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</si>
  <si>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</si>
  <si>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</si>
  <si>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</si>
  <si>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</si>
  <si>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</si>
  <si>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</si>
  <si>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</si>
  <si>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</si>
  <si>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</si>
  <si>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</si>
  <si>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</si>
  <si>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</si>
  <si>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</si>
  <si>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</si>
  <si>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</si>
  <si>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</si>
  <si>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</si>
  <si>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</si>
  <si>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</si>
  <si>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</si>
  <si>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</si>
  <si>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</si>
  <si>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</si>
  <si>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</si>
  <si>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</si>
  <si>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</si>
  <si>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</si>
  <si>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</si>
  <si>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</si>
  <si>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</si>
  <si>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</si>
  <si>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</si>
  <si>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</si>
  <si>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</si>
  <si>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</si>
  <si>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</si>
  <si>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</si>
  <si>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</si>
  <si>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</si>
  <si>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</si>
  <si>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</si>
  <si>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</si>
  <si>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</si>
  <si>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</si>
  <si>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</si>
  <si>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</si>
  <si>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</si>
  <si>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</si>
  <si>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</si>
  <si>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</si>
  <si>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</si>
  <si>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</si>
  <si>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</si>
  <si>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</si>
  <si>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</si>
  <si>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</si>
  <si>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</si>
  <si>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</si>
  <si>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</si>
  <si>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</si>
  <si>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</si>
  <si>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</si>
  <si>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</si>
  <si>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</si>
  <si>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</si>
  <si>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</si>
  <si>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</si>
  <si>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</si>
  <si>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</si>
  <si>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</si>
  <si>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</si>
  <si>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</si>
  <si>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</si>
  <si>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</si>
  <si>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</si>
  <si>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</si>
  <si>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</si>
  <si>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</si>
  <si>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</si>
  <si>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</si>
  <si>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</si>
  <si>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</si>
  <si>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</si>
  <si>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</si>
  <si>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</si>
  <si>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</si>
  <si>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</si>
  <si>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</si>
  <si>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</si>
  <si>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</si>
  <si>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</si>
  <si>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</si>
  <si>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</si>
  <si>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</si>
  <si>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</si>
  <si>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</si>
  <si>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</si>
  <si>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</si>
  <si>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</si>
  <si>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</si>
  <si>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</si>
  <si>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</si>
  <si>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</si>
  <si>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</si>
  <si>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</si>
  <si>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</si>
  <si>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</si>
  <si>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</si>
  <si>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</si>
  <si>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</si>
  <si>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</si>
  <si>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</si>
  <si>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</si>
  <si>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</si>
  <si>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</si>
  <si>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</si>
  <si>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</si>
  <si>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</si>
  <si>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</si>
  <si>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</si>
  <si>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</si>
  <si>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</si>
  <si>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</si>
  <si>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</si>
  <si>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</si>
  <si>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</si>
  <si>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</si>
  <si>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</si>
  <si>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</si>
  <si>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</si>
  <si>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</si>
  <si>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</si>
  <si>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</si>
  <si>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</si>
  <si>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</si>
  <si>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</si>
  <si>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</si>
  <si>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</si>
  <si>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</si>
  <si>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</si>
  <si>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</si>
  <si>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</si>
  <si>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</si>
  <si>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</si>
  <si>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</si>
  <si>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</si>
  <si>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</si>
  <si>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</si>
  <si>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</si>
  <si>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</si>
  <si>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</si>
  <si>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</si>
  <si>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</si>
  <si>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</si>
  <si>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</si>
  <si>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</si>
  <si>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</si>
  <si>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</si>
  <si>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</si>
  <si>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</si>
  <si>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</si>
  <si>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</si>
  <si>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</si>
  <si>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</si>
  <si>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</si>
  <si>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</si>
  <si>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</si>
  <si>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</si>
  <si>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</si>
  <si>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</si>
  <si>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</si>
  <si>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</si>
  <si>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</si>
  <si>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</si>
  <si>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</si>
  <si>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</si>
  <si>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</si>
  <si>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</si>
  <si>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</si>
  <si>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</si>
  <si>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</si>
  <si>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</si>
  <si>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</si>
  <si>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</si>
  <si>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</si>
  <si>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</si>
  <si>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</si>
  <si>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</si>
  <si>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</si>
  <si>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</si>
  <si>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</si>
  <si>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</si>
  <si>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</si>
  <si>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</si>
  <si>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</si>
  <si>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</si>
  <si>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</si>
  <si>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</si>
  <si>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</si>
  <si>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</si>
  <si>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</si>
  <si>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</si>
  <si>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</si>
  <si>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</si>
  <si>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</si>
  <si>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</si>
  <si>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</si>
  <si>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</si>
  <si>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</si>
  <si>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</si>
  <si>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</si>
  <si>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</si>
  <si>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</si>
  <si>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</si>
  <si>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</si>
  <si>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</si>
  <si>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</si>
  <si>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</si>
  <si>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</si>
  <si>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</si>
  <si>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</si>
  <si>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</si>
  <si>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</si>
  <si>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</si>
  <si>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</si>
  <si>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</si>
  <si>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</si>
  <si>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</si>
  <si>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</si>
  <si>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</si>
  <si>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</si>
  <si>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</si>
  <si>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</si>
  <si>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</si>
  <si>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</si>
  <si>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</si>
  <si>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</si>
  <si>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</si>
  <si>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</si>
  <si>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</si>
  <si>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</si>
  <si>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</si>
  <si>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</si>
  <si>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</si>
  <si>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</si>
  <si>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</si>
  <si>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</si>
  <si>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</si>
  <si>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</si>
  <si>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</si>
  <si>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</si>
  <si>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</si>
  <si>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</si>
  <si>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</si>
  <si>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</si>
  <si>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</si>
  <si>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</si>
  <si>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</si>
  <si>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</si>
  <si>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</si>
  <si>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</si>
  <si>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</si>
  <si>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</si>
  <si>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</si>
  <si>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</si>
  <si>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</si>
  <si>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</si>
  <si>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</si>
  <si>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</si>
  <si>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</si>
  <si>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</si>
  <si>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</si>
  <si>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</si>
  <si>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</si>
  <si>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</si>
  <si>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</si>
  <si>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</si>
  <si>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</si>
  <si>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</si>
  <si>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</si>
  <si>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</si>
  <si>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</si>
  <si>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</si>
  <si>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</si>
  <si>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</si>
  <si>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</si>
  <si>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</si>
  <si>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</si>
  <si>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</si>
  <si>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</si>
  <si>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</si>
  <si>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</si>
  <si>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</si>
  <si>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</si>
  <si>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</si>
  <si>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</si>
  <si>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</si>
  <si>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</si>
  <si>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</si>
  <si>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</si>
  <si>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</si>
  <si>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</si>
  <si>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</si>
  <si>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</si>
  <si>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</si>
  <si>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</si>
  <si>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</si>
  <si>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</si>
  <si>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</si>
  <si>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</si>
  <si>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</si>
  <si>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</si>
  <si>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</si>
  <si>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</si>
  <si>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</si>
  <si>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</si>
  <si>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</si>
  <si>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</si>
  <si>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</si>
  <si>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</si>
  <si>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</si>
  <si>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</si>
  <si>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</si>
  <si>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</si>
  <si>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</si>
  <si>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</si>
  <si>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</si>
  <si>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</si>
  <si>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</si>
  <si>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</si>
  <si>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</si>
  <si>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</si>
  <si>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</si>
  <si>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</si>
  <si>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</si>
  <si>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</si>
  <si>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</si>
  <si>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</si>
  <si>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</si>
  <si>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</si>
  <si>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</si>
  <si>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</si>
  <si>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</si>
  <si>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</si>
  <si>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</si>
  <si>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</si>
  <si>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</si>
  <si>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</si>
  <si>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</si>
  <si>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</si>
  <si>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</si>
  <si>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</si>
  <si>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</si>
  <si>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</si>
  <si>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</si>
  <si>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</si>
  <si>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</si>
  <si>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</si>
  <si>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</si>
  <si>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</si>
  <si>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</si>
  <si>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</si>
  <si>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</si>
  <si>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</si>
  <si>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</si>
  <si>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</si>
  <si>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</si>
  <si>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</si>
  <si>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</si>
  <si>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</si>
  <si>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</si>
  <si>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</si>
  <si>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</si>
  <si>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</si>
  <si>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</si>
  <si>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</si>
  <si>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</si>
  <si>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</si>
  <si>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</si>
  <si>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</si>
  <si>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</si>
  <si>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</si>
  <si>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</si>
  <si>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</si>
  <si>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</si>
  <si>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</si>
  <si>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</si>
  <si>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</si>
  <si>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</si>
  <si>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</si>
  <si>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</si>
  <si>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</si>
  <si>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</si>
  <si>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</si>
  <si>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</si>
  <si>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</si>
  <si>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</si>
  <si>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</si>
  <si>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</si>
  <si>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</si>
  <si>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</si>
  <si>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</si>
  <si>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</si>
  <si>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</si>
  <si>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</si>
  <si>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</si>
  <si>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</si>
  <si>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</si>
  <si>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</si>
  <si>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</si>
  <si>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</si>
  <si>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</si>
  <si>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</si>
  <si>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</si>
  <si>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</si>
  <si>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</si>
  <si>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</si>
  <si>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</si>
  <si>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</si>
  <si>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</si>
  <si>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</si>
  <si>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</si>
  <si>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</si>
  <si>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</si>
  <si>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</si>
  <si>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</si>
  <si>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</si>
  <si>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</si>
  <si>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</si>
  <si>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</si>
  <si>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</si>
  <si>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</si>
  <si>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</si>
  <si>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</si>
  <si>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</si>
  <si>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</si>
  <si>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</si>
  <si>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</si>
  <si>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</si>
  <si>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</si>
  <si>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</si>
  <si>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</si>
  <si>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</si>
  <si>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</si>
  <si>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</si>
  <si>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</si>
  <si>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</si>
  <si>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</si>
  <si>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</si>
  <si>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</si>
  <si>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</si>
  <si>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</si>
  <si>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</si>
  <si>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</si>
  <si>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</si>
  <si>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</si>
  <si>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</si>
  <si>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</si>
  <si>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</si>
  <si>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</si>
  <si>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</si>
  <si>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</si>
  <si>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</si>
  <si>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</si>
  <si>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</si>
  <si>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</si>
  <si>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</si>
  <si>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</si>
  <si>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</si>
  <si>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</si>
  <si>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</si>
  <si>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</si>
  <si>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</si>
  <si>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</si>
  <si>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</si>
  <si>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</si>
  <si>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</si>
  <si>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</si>
  <si>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</si>
  <si>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</si>
  <si>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</si>
  <si>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</si>
  <si>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</si>
  <si>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</si>
  <si>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</si>
  <si>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</si>
  <si>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</si>
  <si>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</si>
  <si>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</si>
  <si>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</si>
  <si>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</si>
  <si>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</si>
  <si>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</si>
  <si>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</si>
  <si>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</si>
  <si>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</si>
  <si>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</si>
  <si>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</si>
  <si>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</si>
  <si>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</si>
  <si>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</si>
  <si>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</si>
  <si>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</si>
  <si>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</si>
  <si>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</si>
  <si>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</si>
  <si>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</si>
  <si>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</si>
  <si>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</si>
  <si>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</si>
  <si>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</si>
  <si>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</si>
  <si>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</si>
  <si>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</si>
  <si>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</si>
  <si>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</si>
  <si>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</si>
  <si>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</si>
  <si>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</si>
  <si>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</si>
  <si>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</si>
  <si>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</si>
  <si>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</si>
  <si>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</si>
  <si>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</si>
  <si>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</si>
  <si>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</si>
  <si>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</si>
  <si>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</si>
  <si>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</si>
  <si>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</si>
  <si>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</si>
  <si>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</si>
  <si>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</si>
  <si>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</si>
  <si>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</si>
  <si>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</si>
  <si>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</si>
  <si>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</si>
  <si>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</si>
  <si>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</si>
  <si>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</si>
  <si>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</si>
  <si>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</si>
  <si>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</si>
  <si>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</si>
  <si>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</si>
  <si>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</si>
  <si>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</si>
  <si>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</si>
  <si>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</si>
  <si>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</si>
  <si>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</si>
  <si>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</si>
  <si>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</si>
  <si>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</si>
  <si>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</si>
  <si>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</si>
  <si>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</si>
  <si>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</si>
  <si>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</si>
  <si>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</si>
  <si>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</si>
  <si>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</si>
  <si>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</si>
  <si>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</si>
  <si>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</si>
  <si>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</si>
  <si>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</si>
  <si>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</si>
  <si>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</si>
  <si>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</si>
  <si>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</si>
  <si>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</si>
  <si>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</si>
  <si>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</si>
  <si>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</si>
  <si>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</si>
  <si>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</si>
  <si>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</si>
  <si>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</si>
  <si>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</si>
  <si>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</si>
  <si>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</si>
  <si>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</si>
  <si>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</si>
  <si>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</si>
  <si>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</si>
  <si>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</si>
  <si>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</si>
  <si>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</si>
  <si>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</si>
  <si>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</si>
  <si>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</si>
  <si>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</si>
  <si>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</si>
  <si>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</si>
  <si>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</si>
  <si>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</si>
  <si>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</si>
  <si>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</si>
  <si>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</si>
  <si>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</si>
  <si>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</si>
  <si>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</si>
  <si>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</si>
  <si>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</si>
  <si>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</si>
  <si>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</si>
  <si>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</si>
  <si>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</si>
  <si>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</si>
  <si>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</si>
  <si>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</si>
  <si>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</si>
  <si>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</si>
  <si>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</si>
  <si>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</si>
  <si>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</si>
  <si>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</si>
  <si>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</si>
  <si>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</si>
  <si>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</si>
  <si>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</si>
  <si>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</si>
  <si>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</si>
  <si>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</si>
  <si>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</si>
  <si>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</si>
  <si>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</si>
  <si>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</si>
  <si>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</si>
  <si>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</si>
  <si>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</si>
  <si>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</si>
  <si>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</si>
  <si>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</si>
  <si>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</si>
  <si>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</si>
  <si>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</si>
  <si>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</si>
  <si>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</si>
  <si>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</si>
  <si>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</si>
  <si>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</si>
  <si>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</si>
  <si>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</si>
  <si>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</si>
  <si>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</si>
  <si>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</si>
  <si>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</si>
  <si>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</si>
  <si>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</si>
  <si>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</si>
  <si>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</si>
  <si>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</si>
  <si>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</si>
  <si>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</si>
  <si>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</si>
  <si>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</si>
  <si>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</si>
  <si>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</si>
  <si>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</si>
  <si>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</si>
  <si>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</si>
  <si>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</si>
  <si>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</si>
  <si>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</si>
  <si>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</si>
  <si>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</si>
  <si>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</si>
  <si>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</si>
  <si>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</si>
  <si>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</si>
  <si>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</si>
  <si>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</si>
  <si>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</si>
  <si>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</si>
  <si>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</si>
  <si>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</si>
  <si>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</si>
  <si>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</si>
  <si>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</si>
  <si>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</si>
  <si>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</si>
  <si>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</si>
  <si>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</si>
  <si>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</si>
  <si>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</si>
  <si>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</si>
  <si>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</si>
  <si>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</si>
  <si>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</si>
  <si>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</si>
  <si>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</si>
  <si>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</si>
  <si>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</si>
  <si>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</si>
  <si>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</si>
  <si>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</si>
  <si>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</si>
  <si>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</si>
  <si>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</si>
  <si>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</si>
  <si>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</si>
  <si>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</si>
  <si>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</si>
  <si>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</si>
  <si>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</si>
  <si>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</si>
  <si>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</si>
  <si>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</si>
  <si>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</si>
  <si>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</si>
  <si>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</si>
  <si>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</si>
  <si>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</si>
  <si>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</si>
  <si>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</si>
  <si>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</si>
  <si>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</si>
  <si>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</si>
  <si>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</si>
  <si>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</si>
  <si>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</si>
  <si>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</si>
  <si>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</si>
  <si>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</si>
  <si>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</si>
  <si>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</si>
  <si>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</si>
  <si>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</si>
  <si>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</si>
  <si>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</si>
  <si>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</si>
  <si>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</si>
  <si>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</si>
  <si>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</si>
  <si>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</si>
  <si>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</si>
  <si>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</si>
  <si>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</si>
  <si>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</si>
  <si>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</si>
  <si>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</si>
  <si>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</si>
  <si>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</si>
  <si>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</si>
  <si>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</si>
  <si>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</si>
  <si>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</si>
  <si>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</si>
  <si>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</si>
  <si>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</si>
  <si>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</si>
  <si>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</si>
  <si>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</si>
  <si>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</si>
  <si>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</si>
  <si>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</si>
  <si>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</si>
  <si>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</si>
  <si>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</si>
  <si>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</si>
  <si>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</si>
  <si>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</si>
  <si>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</si>
  <si>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</si>
  <si>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</si>
  <si>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</si>
  <si>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</si>
  <si>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</si>
  <si>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</si>
  <si>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</si>
  <si>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</si>
  <si>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</si>
  <si>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</si>
  <si>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</si>
  <si>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</si>
  <si>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</si>
  <si>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</si>
  <si>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</si>
  <si>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</si>
  <si>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</si>
  <si>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</si>
  <si>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</si>
  <si>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</si>
  <si>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</si>
  <si>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</si>
  <si>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</si>
  <si>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</si>
  <si>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</si>
  <si>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</si>
  <si>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</si>
  <si>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</si>
  <si>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</si>
  <si>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</si>
  <si>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</si>
  <si>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</si>
  <si>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</si>
  <si>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</si>
  <si>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</si>
  <si>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</si>
  <si>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</si>
  <si>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</si>
  <si>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</si>
  <si>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</si>
  <si>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</si>
  <si>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</si>
  <si>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</si>
  <si>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</si>
  <si>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</si>
  <si>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</si>
  <si>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</si>
  <si>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</si>
  <si>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</si>
  <si>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</si>
  <si>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</si>
  <si>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</si>
  <si>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</si>
  <si>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</si>
  <si>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</si>
  <si>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</si>
  <si>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</si>
  <si>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</si>
  <si>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</si>
  <si>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</si>
  <si>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</si>
  <si>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</si>
  <si>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</si>
  <si>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</si>
  <si>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</si>
  <si>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</si>
  <si>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</si>
  <si>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</si>
  <si>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</si>
  <si>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</si>
  <si>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</si>
  <si>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</si>
  <si>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</si>
  <si>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</si>
  <si>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</si>
  <si>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</si>
  <si>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</si>
  <si>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</si>
  <si>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</si>
  <si>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</si>
  <si>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</si>
  <si>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</si>
  <si>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</si>
  <si>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</si>
  <si>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</si>
  <si>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</si>
  <si>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</si>
  <si>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</si>
  <si>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</si>
  <si>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</si>
  <si>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</si>
  <si>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</si>
  <si>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</si>
  <si>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</si>
  <si>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</si>
  <si>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</si>
  <si>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</si>
  <si>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</si>
  <si>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</si>
  <si>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</si>
  <si>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</si>
  <si>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</si>
  <si>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</si>
  <si>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</si>
  <si>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</si>
  <si>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</si>
  <si>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</si>
  <si>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</si>
  <si>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</si>
  <si>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</si>
  <si>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</si>
  <si>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</si>
  <si>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</si>
  <si>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</si>
  <si>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</si>
  <si>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</si>
  <si>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</si>
  <si>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</si>
  <si>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</si>
  <si>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</si>
  <si>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</si>
  <si>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</si>
  <si>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</si>
  <si>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</si>
  <si>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</si>
  <si>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</si>
  <si>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</si>
  <si>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</si>
  <si>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</si>
  <si>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</si>
  <si>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</si>
  <si>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</si>
  <si>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</si>
  <si>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</si>
  <si>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</si>
  <si>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</si>
  <si>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</si>
  <si>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</si>
  <si>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</si>
  <si>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</si>
  <si>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</si>
  <si>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</si>
  <si>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</si>
  <si>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</si>
  <si>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</si>
  <si>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</si>
  <si>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</si>
  <si>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</si>
  <si>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</si>
  <si>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</si>
  <si>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</si>
  <si>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</si>
  <si>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</si>
  <si>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</si>
  <si>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</si>
  <si>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</si>
  <si>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</si>
  <si>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</si>
  <si>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</si>
  <si>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</si>
  <si>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</si>
  <si>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</si>
  <si>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</si>
  <si>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</si>
  <si>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</si>
  <si>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</si>
  <si>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</si>
  <si>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</si>
  <si>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</si>
  <si>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</si>
  <si>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</si>
  <si>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</si>
  <si>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</si>
  <si>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</si>
  <si>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</si>
  <si>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</si>
  <si>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</si>
  <si>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</si>
  <si>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</si>
  <si>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</si>
  <si>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</si>
  <si>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</si>
  <si>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</si>
  <si>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</si>
  <si>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</si>
  <si>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</si>
  <si>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</si>
  <si>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</si>
  <si>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</si>
  <si>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</si>
  <si>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</si>
  <si>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</si>
  <si>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</si>
  <si>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</si>
  <si>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</si>
  <si>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</si>
  <si>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</si>
  <si>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</si>
  <si>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</si>
  <si>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</si>
  <si>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</si>
  <si>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</si>
  <si>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</si>
  <si>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</si>
  <si>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</si>
  <si>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</si>
  <si>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</si>
  <si>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</si>
  <si>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</si>
  <si>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</si>
  <si>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</si>
  <si>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</si>
  <si>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</si>
  <si>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</si>
  <si>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</si>
  <si>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</si>
  <si>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</si>
  <si>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</si>
  <si>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</si>
  <si>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</si>
  <si>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</si>
  <si>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</si>
  <si>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</si>
  <si>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</si>
  <si>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</si>
  <si>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</si>
  <si>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</si>
  <si>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</si>
  <si>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</si>
  <si>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</si>
  <si>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</si>
  <si>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</si>
  <si>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</si>
  <si>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</si>
  <si>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</si>
  <si>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</si>
  <si>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</si>
  <si>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</si>
  <si>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</si>
  <si>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</si>
  <si>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</si>
  <si>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</si>
  <si>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</si>
  <si>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</si>
  <si>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</si>
  <si>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</si>
  <si>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</si>
  <si>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</si>
  <si>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</si>
  <si>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</si>
  <si>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</si>
  <si>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</si>
  <si>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</si>
  <si>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</si>
  <si>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</si>
  <si>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</si>
  <si>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</si>
  <si>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</si>
  <si>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</si>
  <si>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</si>
  <si>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</si>
  <si>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</si>
  <si>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</si>
  <si>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</si>
  <si>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</si>
  <si>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</si>
  <si>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</si>
  <si>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</si>
  <si>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</si>
  <si>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</si>
  <si>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</si>
  <si>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</si>
  <si>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</si>
  <si>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</si>
  <si>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</si>
  <si>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</si>
  <si>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</si>
  <si>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</si>
  <si>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</si>
  <si>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</si>
  <si>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</si>
  <si>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</si>
  <si>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</si>
  <si>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</si>
  <si>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</si>
  <si>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</si>
  <si>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</si>
  <si>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</si>
  <si>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</si>
  <si>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</si>
  <si>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</si>
  <si>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</si>
  <si>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</si>
  <si>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</si>
  <si>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</si>
  <si>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</si>
  <si>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</si>
  <si>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</si>
  <si>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</si>
  <si>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</si>
  <si>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</si>
  <si>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</si>
  <si>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</si>
  <si>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</si>
  <si>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</si>
  <si>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</si>
  <si>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</si>
  <si>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</si>
  <si>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</si>
  <si>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</si>
  <si>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</si>
  <si>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</si>
  <si>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</si>
  <si>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</si>
  <si>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</si>
  <si>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</si>
  <si>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</si>
  <si>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</si>
  <si>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</si>
  <si>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</si>
  <si>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</si>
  <si>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</si>
  <si>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</si>
  <si>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</si>
  <si>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</si>
  <si>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</si>
  <si>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</si>
  <si>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</si>
  <si>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</si>
  <si>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</si>
  <si>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</si>
  <si>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</si>
  <si>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</si>
  <si>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</si>
  <si>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</si>
  <si>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</si>
  <si>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</si>
  <si>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</si>
  <si>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</si>
  <si>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</si>
  <si>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</si>
  <si>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</si>
  <si>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</si>
  <si>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</si>
  <si>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</si>
  <si>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</si>
  <si>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</si>
  <si>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</si>
  <si>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</si>
  <si>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</si>
  <si>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</si>
  <si>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</si>
  <si>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</si>
  <si>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</si>
  <si>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</si>
  <si>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</si>
  <si>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</si>
  <si>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</si>
  <si>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</si>
  <si>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</si>
  <si>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</si>
  <si>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</si>
  <si>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</si>
  <si>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</si>
  <si>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</si>
  <si>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</si>
  <si>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</si>
  <si>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</si>
  <si>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</si>
  <si>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</si>
  <si>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</si>
  <si>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</si>
  <si>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</si>
  <si>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</si>
  <si>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</si>
  <si>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</si>
  <si>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</si>
  <si>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</si>
  <si>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</si>
  <si>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</si>
  <si>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</si>
  <si>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</si>
  <si>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</si>
  <si>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</si>
  <si>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</si>
  <si>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</si>
  <si>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</si>
  <si>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</si>
  <si>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</si>
  <si>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</si>
  <si>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</si>
  <si>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</si>
  <si>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</si>
  <si>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</si>
  <si>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</si>
  <si>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</si>
  <si>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</si>
  <si>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</si>
  <si>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</si>
  <si>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</si>
  <si>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</si>
  <si>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</si>
  <si>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</si>
  <si>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</si>
  <si>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</si>
  <si>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</si>
  <si>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</si>
  <si>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</si>
  <si>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</si>
  <si>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</si>
  <si>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</si>
  <si>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</si>
  <si>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</si>
  <si>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</si>
  <si>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</si>
  <si>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</si>
  <si>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</si>
  <si>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</si>
  <si>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</si>
  <si>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</si>
  <si>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</si>
  <si>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</si>
  <si>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</si>
  <si>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</si>
  <si>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</si>
  <si>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</si>
  <si>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</si>
  <si>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</si>
  <si>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</si>
  <si>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</si>
  <si>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</si>
  <si>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</si>
  <si>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</si>
  <si>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</si>
  <si>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</si>
  <si>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</si>
  <si>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</si>
  <si>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</si>
  <si>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</si>
  <si>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</si>
  <si>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</si>
  <si>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</si>
  <si>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</si>
  <si>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</si>
  <si>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</si>
  <si>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</si>
  <si>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</si>
  <si>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</si>
  <si>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</si>
  <si>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</si>
  <si>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</si>
  <si>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</si>
  <si>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</si>
  <si>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</si>
  <si>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</si>
  <si>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</si>
  <si>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</si>
  <si>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</si>
  <si>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</si>
  <si>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</si>
  <si>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</si>
  <si>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</si>
  <si>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</si>
  <si>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</si>
  <si>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</si>
  <si>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</si>
  <si>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</si>
  <si>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</si>
  <si>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北京市</t>
  </si>
  <si>
    <t>企业</t>
  </si>
  <si>
    <t>工业</t>
    <phoneticPr fontId="3" type="noConversion"/>
  </si>
  <si>
    <t>地上</t>
  </si>
  <si>
    <t>工业</t>
    <phoneticPr fontId="7" type="noConversion"/>
  </si>
  <si>
    <t>是</t>
  </si>
  <si>
    <t>成新度</t>
  </si>
  <si>
    <t>收益法</t>
  </si>
  <si>
    <t>未包含在土地购买价格中</t>
  </si>
  <si>
    <t>已包含在土地取得成本中</t>
  </si>
  <si>
    <t>Ⅶ-兴1</t>
  </si>
  <si>
    <t>与级别开发程度不一致</t>
  </si>
  <si>
    <t>通路</t>
  </si>
  <si>
    <t>通电</t>
  </si>
  <si>
    <t>通讯</t>
  </si>
  <si>
    <t>通上水</t>
  </si>
  <si>
    <t>通下水</t>
  </si>
  <si>
    <t>平整</t>
  </si>
  <si>
    <t>自定义容积率</t>
  </si>
  <si>
    <t>钢混</t>
  </si>
  <si>
    <t>生产用房</t>
  </si>
  <si>
    <t>否</t>
  </si>
  <si>
    <t>押一</t>
  </si>
  <si>
    <t>一般</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</si>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</sst>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0" borderId="1" xfId="0" applyFont="1" applyBorder="1" applyAlignment="1" applyProtection="1">
      <alignment horizontal="center" vertical="center" wrapText="1"/>
      <protection locked="0"/>
    </xf>
    <xf numFmtId="0" fontId="54" fillId="6" borderId="0" xfId="0" applyNumberFormat="1" applyFont="1" applyFill="1" applyBorder="1" applyAlignment="1" applyProtection="1">
      <alignment horizontal="lef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9" fontId="113" fillId="5" borderId="5" xfId="0" applyNumberFormat="1" applyFont="1" applyFill="1" applyBorder="1" applyAlignment="1" applyProtection="1">
      <alignment horizontal="center"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427115</xdr:colOff>
      <xdr:row>44</xdr:row>
      <xdr:rowOff>18105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85715" cy="7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估价对象为北京市房地产，为所有。根据《国有土地使用证》[]，估价对象（分摊）出让国有建设用地使用权面积为0平方米，建筑面积为7284.24平方米。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估价对象为北京市房地产,属开发建设的，该项目尚在开发建设中。根据《国有土地使用证》[]，估价对象（分摊）出让国有建设用地使用权面积为0平方米，规划建筑面积为7284.24平方米。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2023年7月28日（评估专业人员实地查勘之日）</v>
      </c>
    </row>
    <row r="13" spans="1:2" s="1203" customFormat="1">
      <c r="A13" s="1201" t="s">
        <v>529</v>
      </c>
      <c r="B13" s="1202" t="str">
        <f>'预评函-1'!A18</f>
        <v>本次估价的“房地产价值”是指在正常市场情况下，在价值时点2023年7月28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7284.24</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P26" sqref="P2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2581</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2582</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2"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2"/>
      <c r="B54" s="1554" t="s">
        <v>385</v>
      </c>
      <c r="C54" s="1551" t="s">
        <v>583</v>
      </c>
    </row>
    <row r="55" spans="1:4">
      <c r="A55" s="3492"/>
      <c r="B55" s="1554" t="s">
        <v>386</v>
      </c>
      <c r="C55" s="1551" t="s">
        <v>584</v>
      </c>
    </row>
    <row r="56" spans="1:4">
      <c r="A56" s="3492"/>
      <c r="B56" s="1554" t="s">
        <v>387</v>
      </c>
      <c r="C56" s="1551" t="s">
        <v>588</v>
      </c>
    </row>
    <row r="57" spans="1:4">
      <c r="A57" s="3492"/>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3" t="s">
        <v>2584</v>
      </c>
      <c r="J2" s="3493"/>
      <c r="K2" s="3493"/>
      <c r="L2" s="3493"/>
      <c r="M2" s="3493"/>
      <c r="N2" s="3493"/>
      <c r="O2" s="3493"/>
      <c r="P2" s="3493"/>
      <c r="Q2" s="3493"/>
      <c r="R2" s="3493"/>
    </row>
    <row r="3" spans="1:18">
      <c r="A3" s="3020" t="s">
        <v>2505</v>
      </c>
      <c r="B3" s="3021">
        <f>项目基本情况!D3</f>
        <v>45135</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3.39</v>
      </c>
      <c r="D5" s="3025">
        <f>IF(ISERROR(ROUND(POWER(1+E5,A5-C5)*(POWER(1+E5,C5)-1)/(POWER(1+E5,A5)-1),3)),0,ROUND(POWER(1+E5,A5-C5)*(POWER(1+E5,C5)-1)/(POWER(1+E5,A5)-1),4))</f>
        <v>0.1573</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13.4</v>
      </c>
      <c r="D6" s="3025">
        <f>IF(ISERROR(ROUND(POWER(1+E6,A6-C6)*(POWER(1+E6,C6)-1)/(POWER(1+E6,A6)-1),3)),0,ROUND(POWER(1+E6,A6-C6)*(POWER(1+E6,C6)-1)/(POWER(1+E6,A6)-1),4))</f>
        <v>0.47570000000000001</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33.409999999999997</v>
      </c>
      <c r="D7" s="3025">
        <f>IF(ISERROR(ROUND(POWER(1+E7,A7-C7)*(POWER(1+E7,C7)-1)/(POWER(1+E7,A7)-1),3)),0,ROUND(POWER(1+E7,A7-C7)*(POWER(1+E7,C7)-1)/(POWER(1+E7,A7)-1),4))</f>
        <v>0.78039999999999998</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L32" sqref="L32"/>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2" t="str">
        <f>IF(B10="北京市","北京市",C10)&amp;F10&amp;IF(结果表!G1="在建","出让国有建设用地使用权及在建建筑物",IF(结果表!G1="土地","出让国有建设用地使用权",))&amp;B9&amp;"预评估"</f>
        <v>北京市房地产抵押价值预评估</v>
      </c>
      <c r="C1" s="3503"/>
      <c r="D1" s="3503"/>
      <c r="E1" s="3503"/>
      <c r="F1" s="3503"/>
      <c r="G1" s="3503"/>
      <c r="H1" s="3503"/>
      <c r="I1" s="3504"/>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f>D3</f>
        <v>45135</v>
      </c>
      <c r="C3" s="2374" t="s">
        <v>2171</v>
      </c>
      <c r="D3" s="2373">
        <v>45135</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3380</v>
      </c>
      <c r="C8" s="2390"/>
      <c r="D8" s="3505" t="s">
        <v>2177</v>
      </c>
      <c r="E8" s="2391"/>
      <c r="F8" s="2392"/>
      <c r="G8" s="2663"/>
      <c r="H8" s="2663"/>
      <c r="I8" s="2663"/>
      <c r="J8" s="2439"/>
      <c r="K8" s="2614"/>
      <c r="L8" s="2613"/>
      <c r="M8" s="2613"/>
      <c r="N8" s="2439"/>
      <c r="O8" s="2450"/>
      <c r="P8" s="2439"/>
      <c r="Q8" s="2439"/>
      <c r="R8" s="2439"/>
    </row>
    <row r="9" spans="1:30" ht="13.5" thickBot="1">
      <c r="A9" s="2393" t="s">
        <v>2178</v>
      </c>
      <c r="B9" s="2394" t="s">
        <v>3381</v>
      </c>
      <c r="C9" s="2395"/>
      <c r="D9" s="3506"/>
      <c r="E9" s="2394"/>
      <c r="F9" s="2396"/>
      <c r="G9" s="2665"/>
      <c r="H9" s="2665"/>
      <c r="I9" s="2665"/>
      <c r="J9" s="2439"/>
      <c r="K9" s="2616"/>
      <c r="L9" s="2613"/>
      <c r="M9" s="2613"/>
      <c r="N9" s="2439"/>
      <c r="O9" s="2450"/>
      <c r="P9" s="2439"/>
      <c r="Q9" s="2439"/>
      <c r="R9" s="2439"/>
    </row>
    <row r="10" spans="1:30" ht="13.5" thickTop="1">
      <c r="A10" s="2397" t="s">
        <v>2179</v>
      </c>
      <c r="B10" s="2398" t="s">
        <v>3382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3338</v>
      </c>
      <c r="B13" s="2407" t="s">
        <v>2190</v>
      </c>
      <c r="C13" s="856"/>
      <c r="D13" s="856"/>
      <c r="E13" s="856"/>
      <c r="F13" s="856"/>
      <c r="G13" s="856"/>
      <c r="H13" s="856">
        <v>57253</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33.200000000000003</v>
      </c>
      <c r="I15" s="2410" t="str">
        <f>IF(A13="出让",IF(I13="","",ROUNDDOWN(MIN((I13-$D$3)/365,I14),2)),I14)</f>
        <v/>
      </c>
      <c r="J15" s="3064"/>
      <c r="K15" s="2451"/>
      <c r="L15" s="2451"/>
      <c r="M15" s="2509"/>
      <c r="N15" s="2451"/>
      <c r="O15" s="2509"/>
      <c r="P15" s="2439"/>
      <c r="Q15" s="2439"/>
      <c r="AD15" s="1745"/>
    </row>
    <row r="16" spans="1:30">
      <c r="A16" s="2400" t="s">
        <v>2193</v>
      </c>
      <c r="B16" s="3512"/>
      <c r="C16" s="3513"/>
      <c r="D16" s="3514"/>
      <c r="E16" s="2413" t="s">
        <v>2194</v>
      </c>
      <c r="F16" s="3515"/>
      <c r="G16" s="3516"/>
      <c r="H16" s="3516"/>
      <c r="I16" s="3517"/>
      <c r="J16" s="2439"/>
      <c r="K16" s="2617"/>
      <c r="L16" s="2451"/>
      <c r="M16" s="2451"/>
      <c r="N16" s="2509"/>
      <c r="O16" s="2451"/>
      <c r="P16" s="2509"/>
      <c r="Q16" s="2439"/>
      <c r="R16" s="2439"/>
    </row>
    <row r="17" spans="1:28">
      <c r="A17" s="313" t="s">
        <v>2195</v>
      </c>
      <c r="B17" s="302" t="s">
        <v>2196</v>
      </c>
      <c r="C17" s="8">
        <f>'数据-汇总表'!E3</f>
        <v>7284.24</v>
      </c>
      <c r="D17" s="2322" t="s">
        <v>2197</v>
      </c>
      <c r="E17" s="3518" t="s">
        <v>2198</v>
      </c>
      <c r="F17" s="3519"/>
      <c r="G17" s="3519"/>
      <c r="H17" s="3519"/>
      <c r="I17" s="3520"/>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1" t="s">
        <v>2202</v>
      </c>
      <c r="F18" s="3522"/>
      <c r="G18" s="3522"/>
      <c r="H18" s="3522"/>
      <c r="I18" s="3523"/>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8" t="s">
        <v>2206</v>
      </c>
      <c r="C20" s="3509"/>
      <c r="D20" s="3510" t="s">
        <v>2207</v>
      </c>
      <c r="E20" s="3511"/>
      <c r="F20" s="2647" t="s">
        <v>1056</v>
      </c>
      <c r="G20" s="2664"/>
      <c r="H20" s="2664"/>
      <c r="I20" s="2664"/>
      <c r="J20" s="2439"/>
      <c r="K20" s="3507"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5"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5"/>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5"/>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6"/>
      <c r="B30" s="302" t="s">
        <v>2218</v>
      </c>
      <c r="C30" s="3497"/>
      <c r="D30" s="3498"/>
      <c r="E30" s="2664"/>
      <c r="F30" s="2664"/>
      <c r="G30" s="2664"/>
      <c r="H30" s="2664"/>
      <c r="I30" s="2664"/>
      <c r="J30" s="2439"/>
      <c r="K30" s="2616"/>
      <c r="L30" s="2613"/>
      <c r="M30" s="2613"/>
      <c r="N30" s="2439"/>
      <c r="O30" s="2450"/>
      <c r="P30" s="2439"/>
      <c r="Q30" s="2439"/>
      <c r="R30" s="2439"/>
      <c r="S30" s="2439"/>
      <c r="T30" s="2439"/>
      <c r="U30" s="2439"/>
      <c r="V30" s="2439"/>
    </row>
    <row r="31" spans="1:28">
      <c r="A31" s="3499"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00"/>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00"/>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4" t="s">
        <v>2228</v>
      </c>
      <c r="T34" s="2428" t="str">
        <f>NUMBERSTRING(7-K34,1)&amp;"通"</f>
        <v>七通</v>
      </c>
      <c r="U34" s="2439"/>
      <c r="V34" s="2439"/>
    </row>
    <row r="35" spans="1:30">
      <c r="A35" s="2429"/>
      <c r="B35" s="3501" t="s">
        <v>2229</v>
      </c>
      <c r="C35" s="3501"/>
      <c r="D35" s="3501"/>
      <c r="E35" s="3501"/>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4"/>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304</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3392</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32" sqref="J32"/>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7284.24</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7284.24</v>
      </c>
      <c r="H5" s="13">
        <f t="shared" ref="H5:AT5" si="0">SUM(H13:H656)</f>
        <v>7284.24</v>
      </c>
      <c r="I5" s="13">
        <f t="shared" si="0"/>
        <v>7284.24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7284.24</v>
      </c>
      <c r="BA5" s="15">
        <f t="shared" si="1"/>
        <v>7284.24</v>
      </c>
      <c r="BB5" s="15">
        <f t="shared" si="1"/>
        <v>7284.24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50" t="s">
        <v>3384</v>
      </c>
      <c r="D13" s="1625" t="s">
        <v>3387</v>
      </c>
      <c r="E13" s="13">
        <f>IF($C$3="是",ROUND($A$3*G13/$B$3,2),ROUND($A$3*(G13-AT13)/$B$3,2))</f>
        <v>0</v>
      </c>
      <c r="F13" s="29"/>
      <c r="G13" s="30">
        <f>H13+AC13+AT13</f>
        <v>7284.24</v>
      </c>
      <c r="H13" s="17">
        <f>SUMIF(I$12:AB$12,"总值",I13:AB13)</f>
        <v>7284.24</v>
      </c>
      <c r="I13" s="1626">
        <v>7284.24</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工业</v>
      </c>
      <c r="AY13" s="1349">
        <f>ROUND($AY$6*AZ13/$AZ$5,2)</f>
        <v>0</v>
      </c>
      <c r="AZ13" s="13">
        <f>BA13+BL13</f>
        <v>7284.24</v>
      </c>
      <c r="BA13" s="13">
        <f>SUM(BB13:BK13)</f>
        <v>7284.24</v>
      </c>
      <c r="BB13" s="13">
        <f>IF($D13="是",I13-J13,0)</f>
        <v>7284.24</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disablePrompts="1"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H42" sqref="H42"/>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3" t="s">
        <v>1131</v>
      </c>
      <c r="B2" s="3533"/>
      <c r="C2" s="3533"/>
      <c r="D2" s="796" t="s">
        <v>1107</v>
      </c>
      <c r="E2" s="1639" t="s">
        <v>1108</v>
      </c>
      <c r="F2" s="2659"/>
      <c r="G2" s="2650"/>
      <c r="H2" s="2651"/>
      <c r="I2" s="2325" t="s">
        <v>1132</v>
      </c>
      <c r="J2" s="2659"/>
      <c r="K2" s="2659"/>
      <c r="L2" s="2659"/>
      <c r="M2" s="2659"/>
      <c r="N2" s="2661"/>
      <c r="O2" s="2659"/>
      <c r="P2" s="2659"/>
    </row>
    <row r="3" spans="1:16" ht="15.75" thickBot="1">
      <c r="A3" s="3534" t="s">
        <v>1105</v>
      </c>
      <c r="B3" s="3534"/>
      <c r="C3" s="3534"/>
      <c r="D3" s="43">
        <f>'数据-基础表'!AY6</f>
        <v>0</v>
      </c>
      <c r="E3" s="43">
        <f>'数据-基础表'!AZ5</f>
        <v>7284.24</v>
      </c>
      <c r="F3" s="2659"/>
      <c r="G3" s="1145"/>
      <c r="H3" s="1026" t="s">
        <v>1106</v>
      </c>
      <c r="I3" s="855" t="e">
        <f>ROUND('数据-基础表'!B3/'数据-基础表'!A3,2)</f>
        <v>#DIV/0!</v>
      </c>
      <c r="J3" s="2659"/>
      <c r="K3" s="2659"/>
      <c r="L3" s="2659"/>
      <c r="M3" s="2659"/>
      <c r="N3" s="2661"/>
      <c r="O3" s="2659"/>
      <c r="P3" s="2659"/>
    </row>
    <row r="4" spans="1:16" ht="15">
      <c r="A4" s="3535"/>
      <c r="B4" s="3536"/>
      <c r="C4" s="3537"/>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8" t="s">
        <v>1110</v>
      </c>
      <c r="C5" s="3538"/>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8" t="s">
        <v>1111</v>
      </c>
      <c r="C6" s="3538"/>
      <c r="D6" s="45">
        <f>ROUND($D$3*E6/$E$3,2)</f>
        <v>0</v>
      </c>
      <c r="E6" s="46">
        <f>E3-E5</f>
        <v>7284.24</v>
      </c>
      <c r="F6" s="2659"/>
      <c r="G6" s="2653" t="s">
        <v>1112</v>
      </c>
      <c r="H6" s="1146" t="s">
        <v>1113</v>
      </c>
      <c r="I6" s="2654" t="e">
        <f>ROUND(F31/D31,2)</f>
        <v>#DIV/0!</v>
      </c>
      <c r="J6" s="2659"/>
      <c r="K6" s="2659"/>
      <c r="L6" s="2659"/>
      <c r="M6" s="2659"/>
      <c r="N6" s="2659"/>
      <c r="O6" s="2659"/>
      <c r="P6" s="2659"/>
    </row>
    <row r="7" spans="1:16" ht="15.75" thickBot="1">
      <c r="A7" s="3530"/>
      <c r="B7" s="3531"/>
      <c r="C7" s="3532"/>
      <c r="D7" s="1641" t="s">
        <v>1107</v>
      </c>
      <c r="E7" s="1645" t="s">
        <v>1114</v>
      </c>
      <c r="F7" s="2659"/>
      <c r="G7" s="2655" t="s">
        <v>1115</v>
      </c>
      <c r="H7" s="2656"/>
      <c r="I7" s="2657">
        <v>1</v>
      </c>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7284.24</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7284.24</v>
      </c>
      <c r="F16" s="2659"/>
      <c r="G16" s="2660"/>
      <c r="H16" s="1648" t="s">
        <v>1135</v>
      </c>
      <c r="I16" s="1649"/>
      <c r="J16" s="1139"/>
      <c r="K16" s="3527" t="s">
        <v>1135</v>
      </c>
      <c r="L16" s="3528"/>
      <c r="M16" s="3528"/>
      <c r="N16" s="3528"/>
      <c r="O16" s="3528"/>
      <c r="P16" s="3529"/>
    </row>
    <row r="17" spans="1:19" ht="15">
      <c r="A17" s="1650" t="s">
        <v>1136</v>
      </c>
      <c r="B17" s="1651" t="s">
        <v>1137</v>
      </c>
      <c r="C17" s="1652" t="s">
        <v>1138</v>
      </c>
      <c r="D17" s="1653" t="s">
        <v>1126</v>
      </c>
      <c r="E17" s="1654" t="s">
        <v>1127</v>
      </c>
      <c r="F17" s="1655"/>
      <c r="G17" s="1656"/>
      <c r="H17" s="1657" t="s">
        <v>1139</v>
      </c>
      <c r="I17" s="1658" t="s">
        <v>1124</v>
      </c>
      <c r="J17" s="1139"/>
      <c r="K17" s="3524" t="s">
        <v>1140</v>
      </c>
      <c r="L17" s="3525"/>
      <c r="M17" s="3526"/>
      <c r="N17" s="3524" t="s">
        <v>1141</v>
      </c>
      <c r="O17" s="3525"/>
      <c r="P17" s="3526"/>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3386</v>
      </c>
      <c r="D19" s="45">
        <f>ROUND($D$3*E19/$E$3,2)</f>
        <v>0</v>
      </c>
      <c r="E19" s="53">
        <f t="shared" ref="E19:E26" si="1">SUM(F19:G19)</f>
        <v>7284.24</v>
      </c>
      <c r="F19" s="2795">
        <f>'数据-基础表'!I13</f>
        <v>7284.24</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7284.24</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7284.24</v>
      </c>
      <c r="F27" s="1140">
        <f>IF(SUM(F19:F26)=E8,SUM(F19:F26),"地上面积有误")</f>
        <v>7284.24</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7284.24</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7284.24</v>
      </c>
      <c r="F31" s="677">
        <f>F27+F30</f>
        <v>7284.24</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K21" sqref="K21"/>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45135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3388</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57253</v>
      </c>
      <c r="F6" s="64">
        <f>SUMIF(项目基本情况!C$12:I$12,C6,项目基本情况!C$15:I$15)</f>
        <v>33.200000000000003</v>
      </c>
      <c r="G6" s="65">
        <f>IF(ISERROR(ROUND(POWER(1+H6,D6-F6)*(POWER(1+H6,F6)-1)/(POWER(1+H6,D6)-1),3)),0,ROUND(POWER(1+H6,D6-F6)*(POWER(1+H6,F6)-1)/(POWER(1+H6,D6)-1),3))</f>
        <v>0.879</v>
      </c>
      <c r="H6" s="732">
        <v>0.05</v>
      </c>
      <c r="I6" s="732">
        <v>5.5E-2</v>
      </c>
      <c r="J6" s="66">
        <v>7.4999999999999997E-2</v>
      </c>
      <c r="K6" s="1030">
        <f>SUMIF('数据-汇总表'!C$19:C$33,A6,'数据-汇总表'!E$19:E$33)</f>
        <v>7284.24</v>
      </c>
      <c r="L6" s="733">
        <v>3000</v>
      </c>
      <c r="M6" s="67">
        <f t="shared" ref="M6:M14" si="0">ROUND(K6*L6/10000,0)</f>
        <v>2185</v>
      </c>
      <c r="N6" s="731">
        <f>ROUND(1-(2023-2023)/60,2)</f>
        <v>1</v>
      </c>
      <c r="O6" s="67" t="str">
        <f>IF($N$5="成新度","——",ROUND(M6*N6,0))</f>
        <v>——</v>
      </c>
      <c r="P6" s="68" t="str">
        <f>IF($N$5="成新度","——",M6-O6)</f>
        <v>——</v>
      </c>
      <c r="Q6" s="3791">
        <v>0.1</v>
      </c>
      <c r="R6" s="69">
        <f ca="1">SUMIF('数据-汇总表'!C$19:C$33,A6,'数据-汇总表'!R$19:R$27)</f>
        <v>0</v>
      </c>
      <c r="S6" s="51">
        <f>IF('数据-汇总表'!$I$17="按面积比例",SUMIF('数据-汇总表'!C$19:C$33,A6,'数据-汇总表'!K$19:K$33),SUMIF('数据-汇总表'!C$19:C$33,A6,'数据-汇总表'!N$19:N$33))</f>
        <v>0</v>
      </c>
      <c r="T6" s="1172">
        <f>ROUND($L$14*S6/10000,0)</f>
        <v>0</v>
      </c>
      <c r="U6" s="3428">
        <v>1.5</v>
      </c>
      <c r="V6" s="70">
        <v>0.02</v>
      </c>
      <c r="W6" s="70">
        <v>0.1</v>
      </c>
      <c r="X6" s="1040"/>
      <c r="Y6" s="71">
        <f>N6</f>
        <v>1</v>
      </c>
      <c r="Z6" s="72"/>
      <c r="AA6" s="66"/>
      <c r="AB6" s="66"/>
      <c r="AC6" s="1040"/>
      <c r="AD6" s="73"/>
      <c r="AE6" s="1041">
        <f ca="1">IF(AN6="",0,SUMIF(INDIRECT("'"&amp;AN6&amp;"'"&amp;"!E:E"),$AE$5,INDIRECT("'"&amp;AN6&amp;"'"&amp;"!F:F")))</f>
        <v>33.200000000000003</v>
      </c>
      <c r="AF6" s="1348"/>
      <c r="AG6" s="138">
        <f>IF(AF6="",0,AE6-AF6)</f>
        <v>0</v>
      </c>
      <c r="AH6" s="74"/>
      <c r="AI6" s="76">
        <v>365</v>
      </c>
      <c r="AJ6" s="77"/>
      <c r="AK6" s="78">
        <v>5.0000000000000001E-3</v>
      </c>
      <c r="AL6" s="79">
        <v>1.5E-3</v>
      </c>
      <c r="AM6" s="80">
        <v>5.0000000000000001E-3</v>
      </c>
      <c r="AN6" s="1715" t="s">
        <v>3389</v>
      </c>
      <c r="AO6" s="52">
        <f ca="1">SUMIF(INDIRECT("'"&amp;AN6&amp;"'"&amp;"!A:A"),"总价",INDIRECT("'"&amp;AN6&amp;"'"&amp;"!B:B"))</f>
        <v>5445</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0.879</v>
      </c>
      <c r="H16" s="90">
        <f>ROUND(SUMPRODUCT(H6:H13,K6:K13)/SUMPRODUCT((H6:H13&gt;0)*(K6:K13)),3)</f>
        <v>0.05</v>
      </c>
      <c r="I16" s="91"/>
      <c r="J16" s="91"/>
      <c r="K16" s="92">
        <f>SUM(K6:K15)</f>
        <v>7284.24</v>
      </c>
      <c r="L16" s="93">
        <f>ROUND(M16*10000/SUM(K6:K14),0)</f>
        <v>3000</v>
      </c>
      <c r="M16" s="93">
        <f>SUM(M6:M14)</f>
        <v>2185</v>
      </c>
      <c r="N16" s="94">
        <f>ROUND(SUMPRODUCT(M6:M14,N6:N14)/M16,3)</f>
        <v>1</v>
      </c>
      <c r="O16" s="93">
        <f>SUM(O6:O14)</f>
        <v>0</v>
      </c>
      <c r="P16" s="93">
        <f>SUM(P6:P14)</f>
        <v>0</v>
      </c>
      <c r="Q16" s="95">
        <f>ROUND(SUMPRODUCT(Q6:Q13,K6:K13)/SUMPRODUCT((Q6:Q13&gt;0)*(K6:K13)),2)</f>
        <v>0.1</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2305</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2303</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1</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146</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3.5499999999999997E-2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9" t="s">
        <v>2286</v>
      </c>
      <c r="B1" s="3540"/>
      <c r="C1" s="3540"/>
      <c r="D1" s="3540"/>
      <c r="E1" s="3540"/>
      <c r="F1" s="3540"/>
      <c r="G1" s="3540"/>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F37" sqref="F37"/>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7284.24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45135</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5006</v>
      </c>
      <c r="C5" s="2512">
        <f ca="1">IF(B5=D14,结果表!H102,ROUND(B5*10000/$B$1,0))</f>
        <v>0</v>
      </c>
      <c r="D5" s="2512" t="e">
        <f ca="1">ROUND(B5*10000/$B$2,0)</f>
        <v>#DIV/0!</v>
      </c>
      <c r="E5" s="2686"/>
      <c r="F5" s="2687"/>
      <c r="G5" s="2687"/>
      <c r="H5" s="2688"/>
      <c r="I5" s="2688"/>
      <c r="J5" s="2688"/>
      <c r="K5" s="2688"/>
    </row>
    <row r="6" spans="1:11" ht="16.5">
      <c r="A6" s="2512" t="s">
        <v>656</v>
      </c>
      <c r="B6" s="2512">
        <f>SUM(G14:G23)</f>
        <v>0</v>
      </c>
      <c r="C6" s="2512">
        <f ca="1">IF(B6=G14,结果表!H108,ROUND(B6*10000/$B$1,0))</f>
        <v>0</v>
      </c>
      <c r="D6" s="2512" t="e">
        <f>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3362</v>
      </c>
      <c r="D10" s="2512" t="s">
        <v>3363</v>
      </c>
      <c r="E10" s="3441"/>
      <c r="F10" s="3445" t="s">
        <v>3364</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'数据-汇总表'!F19</f>
        <v>7284.24</v>
      </c>
      <c r="C14" s="2518"/>
      <c r="D14" s="2518">
        <f ca="1">结果表!G19</f>
        <v>5006</v>
      </c>
      <c r="E14" s="2518">
        <f ca="1">ROUND(D14*10000/B14,0)</f>
        <v>6872</v>
      </c>
      <c r="F14" s="2518" t="e">
        <f ca="1">ROUND(D14*10000/C14,0)</f>
        <v>#DIV/0!</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4" zoomScale="85" zoomScaleNormal="100" zoomScaleSheetLayoutView="85" zoomScalePageLayoutView="80" workbookViewId="0">
      <selection activeCell="N24" sqref="N24"/>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575" t="str">
        <f>项目基本情况!S2</f>
        <v>北京市房地产</v>
      </c>
      <c r="B2" s="3576"/>
      <c r="C2" s="3576"/>
      <c r="D2" s="3576"/>
      <c r="E2" s="3576"/>
      <c r="F2" s="3576"/>
      <c r="G2" s="3576"/>
      <c r="H2" s="3576"/>
      <c r="I2" s="3577"/>
    </row>
    <row r="3" spans="1:12" ht="12.75">
      <c r="A3" s="3579" t="s">
        <v>1264</v>
      </c>
      <c r="B3" s="3580"/>
      <c r="C3" s="3580"/>
      <c r="D3" s="3580"/>
      <c r="E3" s="3580"/>
      <c r="F3" s="3580"/>
      <c r="G3" s="3580"/>
      <c r="H3" s="3580"/>
      <c r="I3" s="3580"/>
    </row>
    <row r="4" spans="1:12" ht="14.25">
      <c r="A4" s="1754" t="s">
        <v>1265</v>
      </c>
      <c r="B4" s="1755" t="s">
        <v>1266</v>
      </c>
      <c r="C4" s="1756" t="s">
        <v>3406</v>
      </c>
      <c r="D4" s="1756" t="s">
        <v>3389</v>
      </c>
      <c r="E4" s="3581" t="s">
        <v>1267</v>
      </c>
      <c r="F4" s="3582"/>
      <c r="G4" s="3582"/>
      <c r="H4" s="3582"/>
      <c r="I4" s="3583"/>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5" t="s">
        <v>1268</v>
      </c>
      <c r="B5" s="3542">
        <v>25</v>
      </c>
      <c r="C5" s="3558"/>
      <c r="D5" s="3578"/>
      <c r="E5" s="131" t="s">
        <v>1269</v>
      </c>
      <c r="F5" s="1757"/>
      <c r="G5" s="1757"/>
      <c r="H5" s="1757"/>
      <c r="I5" s="1373"/>
    </row>
    <row r="6" spans="1:12" ht="12.75">
      <c r="A6" s="3555"/>
      <c r="B6" s="3542"/>
      <c r="C6" s="3559"/>
      <c r="D6" s="3578"/>
      <c r="E6" s="131" t="s">
        <v>1270</v>
      </c>
      <c r="F6" s="1757"/>
      <c r="G6" s="1757"/>
      <c r="H6" s="1757"/>
      <c r="I6" s="1373"/>
    </row>
    <row r="7" spans="1:12" ht="12.75">
      <c r="A7" s="3555"/>
      <c r="B7" s="3542"/>
      <c r="C7" s="3560"/>
      <c r="D7" s="3578"/>
      <c r="E7" s="131" t="s">
        <v>1271</v>
      </c>
      <c r="F7" s="1757"/>
      <c r="G7" s="1757"/>
      <c r="H7" s="1757"/>
      <c r="I7" s="1373"/>
    </row>
    <row r="8" spans="1:12" ht="12.75">
      <c r="A8" s="3555" t="s">
        <v>1272</v>
      </c>
      <c r="B8" s="3542">
        <v>15</v>
      </c>
      <c r="C8" s="3558"/>
      <c r="D8" s="3578"/>
      <c r="E8" s="131" t="s">
        <v>1273</v>
      </c>
      <c r="F8" s="1757"/>
      <c r="G8" s="1757"/>
      <c r="H8" s="1757"/>
      <c r="I8" s="1373"/>
    </row>
    <row r="9" spans="1:12" ht="12.75">
      <c r="A9" s="3555"/>
      <c r="B9" s="3542"/>
      <c r="C9" s="3560"/>
      <c r="D9" s="3578"/>
      <c r="E9" s="131" t="s">
        <v>1274</v>
      </c>
      <c r="F9" s="1757"/>
      <c r="G9" s="1757"/>
      <c r="H9" s="1757"/>
      <c r="I9" s="1373"/>
    </row>
    <row r="10" spans="1:12" ht="12.75">
      <c r="A10" s="3555" t="s">
        <v>1275</v>
      </c>
      <c r="B10" s="3542">
        <v>15</v>
      </c>
      <c r="C10" s="3558"/>
      <c r="D10" s="3578"/>
      <c r="E10" s="131" t="s">
        <v>1276</v>
      </c>
      <c r="F10" s="1757"/>
      <c r="G10" s="1757"/>
      <c r="H10" s="1757"/>
      <c r="I10" s="1373"/>
    </row>
    <row r="11" spans="1:12" ht="12.75">
      <c r="A11" s="3555"/>
      <c r="B11" s="3542"/>
      <c r="C11" s="3560"/>
      <c r="D11" s="3578"/>
      <c r="E11" s="131" t="s">
        <v>1277</v>
      </c>
      <c r="F11" s="1757"/>
      <c r="G11" s="1757"/>
      <c r="H11" s="1757"/>
      <c r="I11" s="1373"/>
    </row>
    <row r="12" spans="1:12" ht="12.75">
      <c r="A12" s="3555" t="s">
        <v>1278</v>
      </c>
      <c r="B12" s="3542">
        <v>15</v>
      </c>
      <c r="C12" s="3558"/>
      <c r="D12" s="3578"/>
      <c r="E12" s="131" t="s">
        <v>1279</v>
      </c>
      <c r="F12" s="1757"/>
      <c r="G12" s="1757"/>
      <c r="H12" s="1757"/>
      <c r="I12" s="1373"/>
    </row>
    <row r="13" spans="1:12" ht="12.75">
      <c r="A13" s="3555"/>
      <c r="B13" s="3542"/>
      <c r="C13" s="3560"/>
      <c r="D13" s="3578"/>
      <c r="E13" s="131" t="s">
        <v>1280</v>
      </c>
      <c r="F13" s="1757"/>
      <c r="G13" s="1757"/>
      <c r="H13" s="1757"/>
      <c r="I13" s="1373"/>
    </row>
    <row r="14" spans="1:12" ht="12.75">
      <c r="A14" s="3555" t="s">
        <v>1281</v>
      </c>
      <c r="B14" s="3542">
        <v>30</v>
      </c>
      <c r="C14" s="3558">
        <v>5</v>
      </c>
      <c r="D14" s="3578">
        <v>5</v>
      </c>
      <c r="E14" s="131" t="s">
        <v>1282</v>
      </c>
      <c r="F14" s="1757"/>
      <c r="G14" s="1757"/>
      <c r="H14" s="1757"/>
      <c r="I14" s="1373"/>
    </row>
    <row r="15" spans="1:12" ht="12.75">
      <c r="A15" s="3555"/>
      <c r="B15" s="3542"/>
      <c r="C15" s="3559"/>
      <c r="D15" s="3578"/>
      <c r="E15" s="131" t="s">
        <v>1283</v>
      </c>
      <c r="F15" s="1757"/>
      <c r="G15" s="1757"/>
      <c r="H15" s="1757"/>
      <c r="I15" s="1373"/>
    </row>
    <row r="16" spans="1:12" ht="12.75">
      <c r="A16" s="3555"/>
      <c r="B16" s="3542"/>
      <c r="C16" s="3560"/>
      <c r="D16" s="3578"/>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65" t="s">
        <v>2131</v>
      </c>
      <c r="F18" s="3566"/>
      <c r="G18" s="3566"/>
      <c r="H18" s="3566"/>
      <c r="I18" s="3566"/>
      <c r="K18" s="302" t="s">
        <v>1289</v>
      </c>
      <c r="L18" s="302">
        <f>IF(C1="",'数据-汇总表'!E3,SUMIF(项目类型,C1,'数据-汇总表'!E17:E26)+SUMIF(项目类型,C1,'数据-汇总表'!I17:I26))</f>
        <v>7284.24</v>
      </c>
      <c r="M18" s="302">
        <f>IF(C1="",'数据-汇总表'!E3,SUMIF(项目类型,C1,'数据-汇总表'!E17:E26))</f>
        <v>7284.24</v>
      </c>
    </row>
    <row r="19" spans="1:36" ht="15">
      <c r="A19" s="1761" t="s">
        <v>1290</v>
      </c>
      <c r="B19" s="1762" t="s">
        <v>1291</v>
      </c>
      <c r="C19" s="134">
        <f ca="1">SUMIF(INDIRECT("'"&amp;C4&amp;"'"&amp;"!A:A"),结果表!B19,INDIRECT("'"&amp;C4&amp;"'"&amp;"!B:B"))</f>
        <v>4567</v>
      </c>
      <c r="D19" s="135">
        <f ca="1">SUMIF(INDIRECT("'"&amp;D4&amp;"'"&amp;"!A:A"),结果表!B19,INDIRECT("'"&amp;D4&amp;"'"&amp;"!B:B"))</f>
        <v>5445</v>
      </c>
      <c r="E19" s="1761" t="s">
        <v>1292</v>
      </c>
      <c r="F19" s="1762" t="s">
        <v>1291</v>
      </c>
      <c r="G19" s="136">
        <f ca="1">ROUND(C19*$C$18+D19*$D$18,0)</f>
        <v>5006</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6270</v>
      </c>
      <c r="D20" s="138">
        <f ca="1">SUMIF(INDIRECT("'"&amp;D4&amp;"'"&amp;"!A:A"),结果表!B20,INDIRECT("'"&amp;D4&amp;"'"&amp;"!B:B"))</f>
        <v>7475</v>
      </c>
      <c r="E20" s="1764"/>
      <c r="F20" s="1026" t="s">
        <v>1295</v>
      </c>
      <c r="G20" s="139">
        <f ca="1">ROUND(C20*$C$18+D20*$D$18,0)</f>
        <v>6873</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0.19224874096781264</v>
      </c>
      <c r="E22" s="129"/>
      <c r="F22" s="129"/>
      <c r="G22" s="129"/>
      <c r="H22" s="129"/>
      <c r="I22" s="129"/>
    </row>
    <row r="23" spans="1:36" ht="13.5" thickBot="1">
      <c r="A23" s="1747"/>
      <c r="B23" s="1747"/>
      <c r="C23" s="1747"/>
      <c r="D23" s="1747"/>
      <c r="E23" s="129"/>
      <c r="F23" s="129"/>
      <c r="G23" s="129"/>
      <c r="H23" s="129"/>
      <c r="I23" s="129"/>
    </row>
    <row r="24" spans="1:36" ht="14.25">
      <c r="A24" s="3549" t="s">
        <v>1299</v>
      </c>
      <c r="B24" s="1762" t="s">
        <v>1291</v>
      </c>
      <c r="C24" s="136">
        <f>IF(B30=0,0,D30)</f>
        <v>0</v>
      </c>
      <c r="D24" s="1769"/>
      <c r="E24" s="129"/>
      <c r="F24" s="129"/>
      <c r="G24" s="129"/>
      <c r="H24" s="129"/>
      <c r="I24" s="129"/>
    </row>
    <row r="25" spans="1:36" ht="14.25">
      <c r="A25" s="3550"/>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6873</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569" t="s">
        <v>1312</v>
      </c>
      <c r="B36" s="1787" t="s">
        <v>1313</v>
      </c>
      <c r="C36" s="145"/>
      <c r="D36" s="1788"/>
      <c r="E36" s="1789"/>
      <c r="F36" s="1790"/>
      <c r="G36" s="129"/>
      <c r="H36" s="129"/>
      <c r="I36" s="129"/>
    </row>
    <row r="37" spans="1:15" ht="15.75" thickBot="1">
      <c r="A37" s="3570"/>
      <c r="B37" s="1674" t="s">
        <v>1314</v>
      </c>
      <c r="C37" s="147"/>
      <c r="D37" s="1139"/>
      <c r="E37" s="1139"/>
      <c r="F37" s="1790"/>
      <c r="G37" s="129"/>
      <c r="H37" s="129"/>
      <c r="I37" s="129"/>
    </row>
    <row r="38" spans="1:15" ht="15.75" thickBot="1">
      <c r="A38" s="3571"/>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6" t="s">
        <v>1326</v>
      </c>
      <c r="B45" s="3547"/>
      <c r="C45" s="3548"/>
      <c r="D45" s="155" t="e">
        <f ca="1">ROUND(H101*F45,0)</f>
        <v>#REF!</v>
      </c>
      <c r="E45" s="156" t="s">
        <v>1327</v>
      </c>
      <c r="F45" s="157">
        <v>1</v>
      </c>
      <c r="G45" s="158" t="s">
        <v>1328</v>
      </c>
      <c r="H45" s="129"/>
      <c r="I45" s="129"/>
      <c r="J45" s="3624" t="s">
        <v>1329</v>
      </c>
      <c r="K45" s="3624"/>
      <c r="L45" s="3624"/>
      <c r="M45" s="3624"/>
      <c r="N45" s="3624"/>
      <c r="O45" s="3624"/>
    </row>
    <row r="46" spans="1:15" ht="14.25" customHeight="1">
      <c r="A46" s="3543" t="s">
        <v>1330</v>
      </c>
      <c r="B46" s="3544"/>
      <c r="C46" s="3544"/>
      <c r="D46" s="3544"/>
      <c r="E46" s="3544"/>
      <c r="F46" s="3544"/>
      <c r="G46" s="3545"/>
      <c r="H46" s="1806"/>
      <c r="I46" s="159"/>
      <c r="J46" s="2523">
        <v>1</v>
      </c>
      <c r="K46" s="3605" t="s">
        <v>1331</v>
      </c>
      <c r="L46" s="3605"/>
      <c r="M46" s="3625"/>
      <c r="N46" s="3625"/>
      <c r="O46" s="3625"/>
    </row>
    <row r="47" spans="1:15" ht="12" customHeight="1">
      <c r="A47" s="160" t="s">
        <v>1332</v>
      </c>
      <c r="B47" s="161"/>
      <c r="C47" s="162"/>
      <c r="D47" s="1087" t="s">
        <v>1333</v>
      </c>
      <c r="E47" s="302" t="s">
        <v>1334</v>
      </c>
      <c r="F47" s="163" t="s">
        <v>1335</v>
      </c>
      <c r="G47" s="2546" t="s">
        <v>1336</v>
      </c>
      <c r="H47" s="2547"/>
      <c r="I47" s="159"/>
      <c r="J47" s="2523">
        <v>2</v>
      </c>
      <c r="K47" s="3605" t="s">
        <v>1337</v>
      </c>
      <c r="L47" s="3605"/>
      <c r="M47" s="3626">
        <f>'数据-取费表'!B2</f>
        <v>45135</v>
      </c>
      <c r="N47" s="3626"/>
      <c r="O47" s="3626"/>
    </row>
    <row r="48" spans="1:15" ht="25.5">
      <c r="A48" s="3574" t="s">
        <v>1338</v>
      </c>
      <c r="B48" s="3557"/>
      <c r="C48" s="3557"/>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605" t="s">
        <v>1340</v>
      </c>
      <c r="L48" s="3605"/>
      <c r="M48" s="3627" t="e">
        <f ca="1">H101</f>
        <v>#REF!</v>
      </c>
      <c r="N48" s="3627"/>
      <c r="O48" s="3627"/>
    </row>
    <row r="49" spans="1:35" ht="25.5" customHeight="1">
      <c r="A49" s="2333" t="s">
        <v>1341</v>
      </c>
      <c r="B49" s="3541" t="s">
        <v>1342</v>
      </c>
      <c r="C49" s="3541"/>
      <c r="D49" s="1590">
        <v>0</v>
      </c>
      <c r="E49" s="324" t="s">
        <v>1343</v>
      </c>
      <c r="F49" s="2424" t="s">
        <v>28</v>
      </c>
      <c r="G49" s="3611"/>
      <c r="H49" s="2310" t="s">
        <v>2134</v>
      </c>
      <c r="I49" s="2311"/>
      <c r="J49" s="2523">
        <v>4</v>
      </c>
      <c r="K49" s="3605" t="str">
        <f>IF(项目基本情况!E8="房地产抵押价值","房地产抵押价值","抵押担保权已注销时的房地产抵押价值")</f>
        <v>抵押担保权已注销时的房地产抵押价值</v>
      </c>
      <c r="L49" s="3605"/>
      <c r="M49" s="3627" t="str">
        <f>IF(项目基本情况!E8="房地产抵押价值",H107,H109)</f>
        <v>——</v>
      </c>
      <c r="N49" s="3627"/>
      <c r="O49" s="3627"/>
    </row>
    <row r="50" spans="1:35" ht="25.5" customHeight="1">
      <c r="A50" s="2551"/>
      <c r="B50" s="3541" t="s">
        <v>1344</v>
      </c>
      <c r="C50" s="3541"/>
      <c r="D50" s="2552"/>
      <c r="E50" s="332"/>
      <c r="F50" s="2424"/>
      <c r="G50" s="3612"/>
      <c r="H50" s="2312" t="s">
        <v>2135</v>
      </c>
      <c r="I50" s="2311"/>
      <c r="J50" s="3624" t="s">
        <v>1345</v>
      </c>
      <c r="K50" s="3624"/>
      <c r="L50" s="3624"/>
      <c r="M50" s="3624"/>
      <c r="N50" s="3624"/>
      <c r="O50" s="3624"/>
    </row>
    <row r="51" spans="1:35" ht="20.45" customHeight="1">
      <c r="A51" s="2553"/>
      <c r="B51" s="3541" t="s">
        <v>1346</v>
      </c>
      <c r="C51" s="3541"/>
      <c r="D51" s="1087"/>
      <c r="E51" s="327"/>
      <c r="F51" s="2424"/>
      <c r="G51" s="3613"/>
      <c r="H51" s="2312" t="s">
        <v>2136</v>
      </c>
      <c r="I51" s="2311"/>
      <c r="J51" s="2524" t="s">
        <v>1347</v>
      </c>
      <c r="K51" s="3605" t="s">
        <v>1348</v>
      </c>
      <c r="L51" s="3605"/>
      <c r="M51" s="2524" t="s">
        <v>1349</v>
      </c>
      <c r="N51" s="2524" t="s">
        <v>1350</v>
      </c>
      <c r="O51" s="2524" t="s">
        <v>1351</v>
      </c>
    </row>
    <row r="52" spans="1:35" ht="24" customHeight="1">
      <c r="A52" s="2335" t="s">
        <v>1352</v>
      </c>
      <c r="B52" s="3541" t="s">
        <v>1353</v>
      </c>
      <c r="C52" s="3541"/>
      <c r="D52" s="1087" t="e">
        <f ca="1">ROUND(D45*'数据-取费表'!B41/(1+'数据-取费表'!C42),0)</f>
        <v>#REF!</v>
      </c>
      <c r="E52" s="2334" t="s">
        <v>1354</v>
      </c>
      <c r="F52" s="2554">
        <f>'数据-取费表'!B41</f>
        <v>5.5000000000000007E-2</v>
      </c>
      <c r="G52" s="2555"/>
      <c r="H52" s="2544"/>
      <c r="I52" s="1807"/>
      <c r="J52" s="2523">
        <v>1</v>
      </c>
      <c r="K52" s="3606" t="s">
        <v>1355</v>
      </c>
      <c r="L52" s="3606"/>
      <c r="M52" s="2525" t="b">
        <f>D48</f>
        <v>0</v>
      </c>
      <c r="N52" s="2523" t="str">
        <f>E48</f>
        <v>销售额×税（费）率</v>
      </c>
      <c r="O52" s="2526">
        <f>F48</f>
        <v>5.5000000000000007E-2</v>
      </c>
    </row>
    <row r="53" spans="1:35" ht="12" customHeight="1">
      <c r="A53" s="2335" t="s">
        <v>1356</v>
      </c>
      <c r="B53" s="3567" t="s">
        <v>2291</v>
      </c>
      <c r="C53" s="3568"/>
      <c r="D53" s="1087" t="e">
        <f ca="1">ROUND(D45*'数据-取费表'!B41/(1+'数据-取费表'!C42),0)</f>
        <v>#REF!</v>
      </c>
      <c r="E53" s="2334" t="s">
        <v>1354</v>
      </c>
      <c r="F53" s="2554">
        <f>'数据-取费表'!B41</f>
        <v>5.5000000000000007E-2</v>
      </c>
      <c r="G53" s="2555"/>
      <c r="H53" s="2544"/>
      <c r="I53" s="1807"/>
      <c r="J53" s="2523">
        <v>2</v>
      </c>
      <c r="K53" s="3606" t="s">
        <v>1357</v>
      </c>
      <c r="L53" s="3606"/>
      <c r="M53" s="2525" t="e">
        <f t="shared" ref="M53:O54" ca="1" si="0">D55</f>
        <v>#REF!</v>
      </c>
      <c r="N53" s="2523" t="str">
        <f t="shared" si="0"/>
        <v>销售额×税（费）率</v>
      </c>
      <c r="O53" s="2526" t="str">
        <f t="shared" si="0"/>
        <v>免征</v>
      </c>
    </row>
    <row r="54" spans="1:35" ht="12" customHeight="1">
      <c r="A54" s="2335" t="s">
        <v>1358</v>
      </c>
      <c r="B54" s="3567" t="s">
        <v>2292</v>
      </c>
      <c r="C54" s="3568"/>
      <c r="D54" s="1087" t="e">
        <f ca="1">C68</f>
        <v>#REF!</v>
      </c>
      <c r="E54" s="327" t="s">
        <v>1359</v>
      </c>
      <c r="F54" s="2554">
        <f>'数据-取费表'!B41</f>
        <v>5.5000000000000007E-2</v>
      </c>
      <c r="G54" s="2555"/>
      <c r="H54" s="2556"/>
      <c r="I54" s="1807"/>
      <c r="J54" s="2523">
        <v>3</v>
      </c>
      <c r="K54" s="3606" t="s">
        <v>1360</v>
      </c>
      <c r="L54" s="3606"/>
      <c r="M54" s="2525" t="e">
        <f t="shared" ca="1" si="0"/>
        <v>#REF!</v>
      </c>
      <c r="N54" s="2523" t="str">
        <f t="shared" si="0"/>
        <v>增值额×税（费）率</v>
      </c>
      <c r="O54" s="2527" t="str">
        <f t="shared" si="0"/>
        <v>免征</v>
      </c>
    </row>
    <row r="55" spans="1:35" ht="24" customHeight="1">
      <c r="A55" s="3556" t="s">
        <v>1361</v>
      </c>
      <c r="B55" s="3557"/>
      <c r="C55" s="3557"/>
      <c r="D55" s="2324" t="e">
        <f ca="1">IF(H55="个人住宅",0,ROUND(D45*I55,0))</f>
        <v>#REF!</v>
      </c>
      <c r="E55" s="2334" t="s">
        <v>1362</v>
      </c>
      <c r="F55" s="2554" t="str">
        <f>IF(H55="正常",I55,"免征")</f>
        <v>免征</v>
      </c>
      <c r="G55" s="2555"/>
      <c r="H55" s="2550"/>
      <c r="I55" s="165">
        <f>'数据-取费表'!B49</f>
        <v>5.0000000000000001E-4</v>
      </c>
      <c r="J55" s="2523">
        <f>IF(H59="非个人房产","",4)</f>
        <v>4</v>
      </c>
      <c r="K55" s="3606" t="str">
        <f>IF(H59="非个人房产","——","个人所得税")</f>
        <v>个人所得税</v>
      </c>
      <c r="L55" s="3606"/>
      <c r="M55" s="2528" t="e">
        <f ca="1">D59</f>
        <v>#REF!</v>
      </c>
      <c r="N55" s="2040" t="str">
        <f>E59</f>
        <v>差额计税</v>
      </c>
      <c r="O55" s="2529">
        <f>F59</f>
        <v>0.01</v>
      </c>
    </row>
    <row r="56" spans="1:35" ht="24.75">
      <c r="A56" s="3556" t="s">
        <v>1363</v>
      </c>
      <c r="B56" s="3557"/>
      <c r="C56" s="3557"/>
      <c r="D56" s="2324" t="e">
        <f ca="1">IF(H56="个人住宅",D57,D58)</f>
        <v>#REF!</v>
      </c>
      <c r="E56" s="2334" t="s">
        <v>1364</v>
      </c>
      <c r="F56" s="2554" t="str">
        <f>IF(H56="正常",F58,"免征")</f>
        <v>免征</v>
      </c>
      <c r="G56" s="2557" t="s">
        <v>1365</v>
      </c>
      <c r="H56" s="2558"/>
      <c r="I56" s="1808"/>
      <c r="J56" s="2523" t="str">
        <f>IF(项目基本情况!K6="上海银行",IF(J55="",4,J55+1),"")</f>
        <v/>
      </c>
      <c r="K56" s="3629" t="str">
        <f>IF(项目基本情况!K6="上海银行","其他处置费用","")</f>
        <v/>
      </c>
      <c r="L56" s="3630"/>
      <c r="M56" s="2525" t="str">
        <f>IF(项目基本情况!K6="上海银行",M69,"")</f>
        <v/>
      </c>
      <c r="N56" s="3629" t="str">
        <f>IF(项目基本情况!K6="上海银行","包含处置中涉及的律师、诉讼、拍卖、评估等费用","")</f>
        <v/>
      </c>
      <c r="O56" s="3632"/>
    </row>
    <row r="57" spans="1:35" ht="12.75">
      <c r="A57" s="2335" t="s">
        <v>1341</v>
      </c>
      <c r="B57" s="3567" t="s">
        <v>1366</v>
      </c>
      <c r="C57" s="3568"/>
      <c r="D57" s="1590">
        <v>0</v>
      </c>
      <c r="E57" s="324" t="s">
        <v>1343</v>
      </c>
      <c r="F57" s="302"/>
      <c r="G57" s="2555"/>
      <c r="H57" s="2559"/>
      <c r="I57" s="1808"/>
      <c r="J57" s="3606">
        <f>IF(AND(J55="",J56=""),4,IF(项目基本情况!K6="上海银行",结果表!J56+1,结果表!J55+1))</f>
        <v>5</v>
      </c>
      <c r="K57" s="3606" t="s">
        <v>1367</v>
      </c>
      <c r="L57" s="2530" t="s">
        <v>1368</v>
      </c>
      <c r="M57" s="2531"/>
      <c r="N57" s="2532">
        <f ca="1">SUMIF(M52:M56,"&lt;9e307")</f>
        <v>0</v>
      </c>
      <c r="O57" s="2533"/>
      <c r="P57" s="2690" t="e">
        <f ca="1">N57/M49</f>
        <v>#VALUE!</v>
      </c>
    </row>
    <row r="58" spans="1:35" ht="24.75">
      <c r="A58" s="2335" t="s">
        <v>1352</v>
      </c>
      <c r="B58" s="3567" t="s">
        <v>1369</v>
      </c>
      <c r="C58" s="3541"/>
      <c r="D58" s="2324" t="e">
        <f ca="1">IF(H58="转让取得",C81,C97)</f>
        <v>#REF!</v>
      </c>
      <c r="E58" s="2334" t="s">
        <v>1364</v>
      </c>
      <c r="F58" s="302" t="s">
        <v>28</v>
      </c>
      <c r="G58" s="2555"/>
      <c r="H58" s="2558"/>
      <c r="I58" s="1808"/>
      <c r="J58" s="3606"/>
      <c r="K58" s="3606"/>
      <c r="L58" s="2530" t="s">
        <v>1370</v>
      </c>
      <c r="M58" s="2534"/>
      <c r="N58" s="2535" t="str">
        <f ca="1">NUMBERSTRING(INT(N57*10000),2)&amp;"元整"</f>
        <v>零元整</v>
      </c>
      <c r="O58" s="2536"/>
    </row>
    <row r="59" spans="1:35" ht="24.75" thickBot="1">
      <c r="A59" s="3609" t="s">
        <v>1371</v>
      </c>
      <c r="B59" s="3610"/>
      <c r="C59" s="3610"/>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7">
        <f>J57+1</f>
        <v>6</v>
      </c>
      <c r="K59" s="3606" t="s">
        <v>1372</v>
      </c>
      <c r="L59" s="2523" t="s">
        <v>1368</v>
      </c>
      <c r="M59" s="2537"/>
      <c r="N59" s="2538" t="e">
        <f ca="1">M49-N57</f>
        <v>#VALUE!</v>
      </c>
      <c r="O59" s="2539"/>
    </row>
    <row r="60" spans="1:35" ht="12" customHeight="1">
      <c r="A60" s="1809"/>
      <c r="B60" s="1747"/>
      <c r="C60" s="1747"/>
      <c r="D60" s="1747"/>
      <c r="E60" s="1578"/>
      <c r="F60" s="1808"/>
      <c r="G60" s="1808"/>
      <c r="H60" s="1810"/>
      <c r="I60" s="129"/>
      <c r="J60" s="3608"/>
      <c r="K60" s="3606"/>
      <c r="L60" s="2530" t="s">
        <v>1370</v>
      </c>
      <c r="M60" s="2534"/>
      <c r="N60" s="2535" t="e">
        <f ca="1">NUMBERSTRING(INT(N59*10000),2)&amp;"元整"</f>
        <v>#VALUE!</v>
      </c>
      <c r="O60" s="2536"/>
    </row>
    <row r="61" spans="1:35" ht="13.5" thickBot="1">
      <c r="A61" s="3554" t="s">
        <v>1373</v>
      </c>
      <c r="B61" s="3554"/>
      <c r="C61" s="3554"/>
      <c r="D61" s="3554"/>
      <c r="E61" s="3554"/>
      <c r="F61" s="1808"/>
      <c r="G61" s="1808"/>
      <c r="H61" s="1810"/>
      <c r="I61" s="129"/>
      <c r="J61" s="2523">
        <f>J59+1</f>
        <v>7</v>
      </c>
      <c r="K61" s="3606" t="s">
        <v>1374</v>
      </c>
      <c r="L61" s="3606"/>
      <c r="M61" s="2540"/>
      <c r="N61" s="2541" t="e">
        <f ca="1">ROUND(N59*10000/'数据-汇总表'!E3,0)</f>
        <v>#VALUE!</v>
      </c>
      <c r="O61" s="2542"/>
    </row>
    <row r="62" spans="1:35" ht="12.75">
      <c r="A62" s="3572" t="s">
        <v>1375</v>
      </c>
      <c r="B62" s="3573"/>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631"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631"/>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631"/>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631"/>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631"/>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5.5000000000000007E-2</v>
      </c>
      <c r="E68" s="178"/>
      <c r="F68" s="1808"/>
      <c r="G68" s="1808"/>
      <c r="H68" s="1810"/>
      <c r="I68" s="129"/>
      <c r="J68" s="3631"/>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631"/>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3" t="s">
        <v>1394</v>
      </c>
      <c r="B70" s="3594"/>
      <c r="C70" s="3594"/>
      <c r="D70" s="3594"/>
      <c r="E70" s="3594"/>
      <c r="F70" s="3594"/>
      <c r="G70" s="3594"/>
      <c r="H70" s="3594"/>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2" t="s">
        <v>1375</v>
      </c>
      <c r="B71" s="3573"/>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7" t="s">
        <v>1402</v>
      </c>
      <c r="F76" s="3541"/>
      <c r="G76" s="3541"/>
      <c r="H76" s="3592"/>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5.000000000000001E-3</v>
      </c>
      <c r="E78" s="3551" t="s">
        <v>1406</v>
      </c>
      <c r="F78" s="3552"/>
      <c r="G78" s="3552"/>
      <c r="H78" s="3561"/>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3" t="s">
        <v>1410</v>
      </c>
      <c r="B83" s="3594"/>
      <c r="C83" s="3594"/>
      <c r="D83" s="3594"/>
      <c r="E83" s="3594"/>
      <c r="F83" s="3594"/>
      <c r="G83" s="3594"/>
      <c r="H83" s="3594"/>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2" t="s">
        <v>1375</v>
      </c>
      <c r="B84" s="3573"/>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3" t="s">
        <v>2129</v>
      </c>
      <c r="H90" s="3634"/>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51" t="s">
        <v>1419</v>
      </c>
      <c r="F91" s="3552"/>
      <c r="G91" s="3552"/>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51" t="s">
        <v>1422</v>
      </c>
      <c r="F92" s="3552"/>
      <c r="G92" s="3552"/>
      <c r="H92" s="3561"/>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5.000000000000001E-3</v>
      </c>
      <c r="E93" s="3551" t="s">
        <v>1406</v>
      </c>
      <c r="F93" s="3552"/>
      <c r="G93" s="3552"/>
      <c r="H93" s="3561"/>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2" t="s">
        <v>1426</v>
      </c>
      <c r="F94" s="3563"/>
      <c r="G94" s="3563"/>
      <c r="H94" s="356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5" t="s">
        <v>1428</v>
      </c>
      <c r="B100" s="3536"/>
      <c r="C100" s="3536"/>
      <c r="D100" s="3553"/>
      <c r="E100" s="3536" t="s">
        <v>1429</v>
      </c>
      <c r="F100" s="3536"/>
      <c r="G100" s="3536"/>
      <c r="H100" s="3553"/>
      <c r="I100" s="129"/>
    </row>
    <row r="101" spans="1:35" ht="18.75" customHeight="1">
      <c r="A101" s="3614" t="s">
        <v>1430</v>
      </c>
      <c r="B101" s="3615"/>
      <c r="C101" s="2585" t="str">
        <f>C4</f>
        <v>成本法</v>
      </c>
      <c r="D101" s="2586" t="str">
        <f>D4</f>
        <v>收益法</v>
      </c>
      <c r="E101" s="3628" t="s">
        <v>1431</v>
      </c>
      <c r="F101" s="3585"/>
      <c r="G101" s="1827" t="s">
        <v>1432</v>
      </c>
      <c r="H101" s="2595" t="e">
        <f ca="1">H118</f>
        <v>#REF!</v>
      </c>
      <c r="I101" s="129"/>
    </row>
    <row r="102" spans="1:35" ht="18.75" customHeight="1">
      <c r="A102" s="3587" t="s">
        <v>1433</v>
      </c>
      <c r="B102" s="2584" t="s">
        <v>1432</v>
      </c>
      <c r="C102" s="2585">
        <f ca="1">IF(D32="楼面单价",ROUND(C19,0),C19)</f>
        <v>4567</v>
      </c>
      <c r="D102" s="2586">
        <f ca="1">IF(D32="楼面单价",ROUND(D19,0),D19)</f>
        <v>5445</v>
      </c>
      <c r="E102" s="3628"/>
      <c r="F102" s="3585"/>
      <c r="G102" s="1827" t="s">
        <v>1434</v>
      </c>
      <c r="H102" s="2555" t="e">
        <f ca="1">I118</f>
        <v>#REF!</v>
      </c>
      <c r="I102" s="129"/>
    </row>
    <row r="103" spans="1:35" ht="42.75" customHeight="1">
      <c r="A103" s="3587"/>
      <c r="B103" s="2584" t="s">
        <v>1434</v>
      </c>
      <c r="C103" s="2587">
        <f ca="1">C20</f>
        <v>6270</v>
      </c>
      <c r="D103" s="2588">
        <f ca="1">D20</f>
        <v>7475</v>
      </c>
      <c r="E103" s="3622" t="s">
        <v>1435</v>
      </c>
      <c r="F103" s="3623"/>
      <c r="G103" s="1828" t="s">
        <v>1436</v>
      </c>
      <c r="H103" s="2595">
        <f>IF(D36="正常操作",H104+H105+H106,H105+H106)</f>
        <v>0</v>
      </c>
      <c r="I103" s="129"/>
    </row>
    <row r="104" spans="1:35" ht="18.75" customHeight="1">
      <c r="A104" s="3587"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588"/>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4" t="str">
        <f>IF(项目基本情况!E8="已注销","——","3.房地产抵押价值")</f>
        <v>3.房地产抵押价值</v>
      </c>
      <c r="F107" s="3585"/>
      <c r="G107" s="1827" t="s">
        <v>1432</v>
      </c>
      <c r="H107" s="2595" t="e">
        <f ca="1">IF(E107="——","——",H101-H103)</f>
        <v>#REF!</v>
      </c>
      <c r="I107" s="129"/>
    </row>
    <row r="108" spans="1:35" ht="18.75" customHeight="1">
      <c r="A108" s="129"/>
      <c r="B108" s="129"/>
      <c r="C108" s="129"/>
      <c r="D108" s="129"/>
      <c r="E108" s="3584"/>
      <c r="F108" s="3585"/>
      <c r="G108" s="1827" t="s">
        <v>1434</v>
      </c>
      <c r="H108" s="2555">
        <f ca="1">IF(H107=H101,H102,ROUND(H107*10000/'数据-汇总表'!E3,0))</f>
        <v>0</v>
      </c>
      <c r="I108" s="129"/>
    </row>
    <row r="109" spans="1:35" ht="18.75" customHeight="1">
      <c r="A109" s="129"/>
      <c r="B109" s="129"/>
      <c r="C109" s="129"/>
      <c r="D109" s="129"/>
      <c r="E109" s="3584" t="str">
        <f>IF(项目基本情况!E8="已注销及未注销","4.抵押担保权已注销时的房地产抵押价值",IF(项目基本情况!E8="已注销","3.抵押担保权已注销时的房地产抵押价值","——"))</f>
        <v>——</v>
      </c>
      <c r="F109" s="3585"/>
      <c r="G109" s="1827" t="s">
        <v>1432</v>
      </c>
      <c r="H109" s="2598" t="str">
        <f>IF(E109="——","——",H101-H105-H106)</f>
        <v>——</v>
      </c>
      <c r="I109" s="129"/>
    </row>
    <row r="110" spans="1:35" ht="18.75" customHeight="1">
      <c r="A110" s="129"/>
      <c r="B110" s="129"/>
      <c r="C110" s="129"/>
      <c r="D110" s="129"/>
      <c r="E110" s="3584"/>
      <c r="F110" s="3585"/>
      <c r="G110" s="1827" t="s">
        <v>1434</v>
      </c>
      <c r="H110" s="2555" t="str">
        <f>IF(H109="——","——",ROUND(H109*10000/'数据-汇总表'!E3,0))</f>
        <v>——</v>
      </c>
      <c r="I110" s="129"/>
    </row>
    <row r="111" spans="1:35" ht="18.75" customHeight="1">
      <c r="A111" s="129"/>
      <c r="B111" s="129"/>
      <c r="C111" s="129"/>
      <c r="D111" s="129"/>
      <c r="E111" s="3616" t="str">
        <f>IF(项目基本情况!E9="抵押净值",IF(OR(项目基本情况!E8="已注销",项目基本情况!E8="房地产抵押价值"),"4.抵押净值","5.抵押净值"),"——")</f>
        <v>——</v>
      </c>
      <c r="F111" s="3586"/>
      <c r="G111" s="1827" t="s">
        <v>1432</v>
      </c>
      <c r="H111" s="2595" t="str">
        <f>IF(E111="——","——",N59)</f>
        <v>——</v>
      </c>
      <c r="I111" s="129"/>
    </row>
    <row r="112" spans="1:35" ht="18.75" customHeight="1" thickBot="1">
      <c r="A112" s="129"/>
      <c r="B112" s="129"/>
      <c r="C112" s="129"/>
      <c r="D112" s="129"/>
      <c r="E112" s="3617"/>
      <c r="F112" s="3618"/>
      <c r="G112" s="1830" t="s">
        <v>1434</v>
      </c>
      <c r="H112" s="2599" t="str">
        <f>IF(E111="——","——",N61)</f>
        <v>——</v>
      </c>
      <c r="I112" s="129"/>
    </row>
    <row r="113" spans="1:27" ht="18.75" customHeight="1">
      <c r="A113" s="129"/>
      <c r="B113" s="129"/>
      <c r="C113" s="129"/>
      <c r="D113" s="129"/>
      <c r="E113" s="3589" t="s">
        <v>1440</v>
      </c>
      <c r="F113" s="3589"/>
      <c r="G113" s="3589"/>
      <c r="H113" s="3589"/>
      <c r="I113" s="129"/>
    </row>
    <row r="114" spans="1:27" ht="3.75" customHeight="1">
      <c r="A114" s="1747"/>
      <c r="B114" s="1747"/>
      <c r="C114" s="1747"/>
      <c r="D114" s="1747"/>
      <c r="E114" s="1809"/>
      <c r="F114" s="1809"/>
      <c r="G114" s="1809"/>
      <c r="H114" s="1809"/>
      <c r="I114" s="1747"/>
    </row>
    <row r="115" spans="1:27" ht="18.75" customHeight="1">
      <c r="A115" s="3599" t="s">
        <v>1442</v>
      </c>
      <c r="B115" s="3600"/>
      <c r="C115" s="3600"/>
      <c r="D115" s="3600"/>
      <c r="E115" s="3600"/>
      <c r="F115" s="3600"/>
      <c r="G115" s="3600"/>
      <c r="H115" s="3600"/>
      <c r="I115" s="3601"/>
    </row>
    <row r="116" spans="1:27" ht="27" customHeight="1">
      <c r="A116" s="3555" t="s">
        <v>1443</v>
      </c>
      <c r="B116" s="3590" t="s">
        <v>1444</v>
      </c>
      <c r="C116" s="3590" t="s">
        <v>1445</v>
      </c>
      <c r="D116" s="3603" t="s">
        <v>1446</v>
      </c>
      <c r="E116" s="3604"/>
      <c r="F116" s="3598" t="s">
        <v>1447</v>
      </c>
      <c r="G116" s="3598"/>
      <c r="H116" s="3555" t="s">
        <v>1448</v>
      </c>
      <c r="I116" s="3555"/>
    </row>
    <row r="117" spans="1:27" ht="18.75" customHeight="1">
      <c r="A117" s="3555"/>
      <c r="B117" s="3591"/>
      <c r="C117" s="3591"/>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7284.24</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55" t="s">
        <v>1452</v>
      </c>
      <c r="B119" s="3555"/>
      <c r="C119" s="3555"/>
      <c r="D119" s="3595" t="e">
        <f ca="1">NUMBERSTRING(INT(D118*10000),2)&amp;"元整"</f>
        <v>#REF!</v>
      </c>
      <c r="E119" s="3597"/>
      <c r="F119" s="3595" t="e">
        <f ca="1">NUMBERSTRING(INT(F118*10000),2)&amp;"元整"</f>
        <v>#REF!</v>
      </c>
      <c r="G119" s="3597"/>
      <c r="H119" s="3595" t="e">
        <f ca="1">NUMBERSTRING(INT(H118*10000),2)&amp;"元整"</f>
        <v>#REF!</v>
      </c>
      <c r="I119" s="3597"/>
    </row>
    <row r="120" spans="1:27" ht="18.75" customHeight="1">
      <c r="A120" s="3619" t="str">
        <f>IF(项目基本情况!B9="房地产市场价值","",MID(E103,3,LEN(E103)-2))</f>
        <v>估价师知悉的法定优先受偿款</v>
      </c>
      <c r="B120" s="3620"/>
      <c r="C120" s="3621"/>
      <c r="D120" s="3619">
        <f>H103</f>
        <v>0</v>
      </c>
      <c r="E120" s="3620"/>
      <c r="F120" s="3620"/>
      <c r="G120" s="3620"/>
      <c r="H120" s="3620"/>
      <c r="I120" s="3621"/>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5" t="s">
        <v>1452</v>
      </c>
      <c r="B121" s="3596"/>
      <c r="C121" s="3597"/>
      <c r="D121" s="3595" t="str">
        <f>IF(D120=0,"零元整",NUMBERSTRING(INT(D120*10000),2)&amp;"元整")</f>
        <v>零元整</v>
      </c>
      <c r="E121" s="3596"/>
      <c r="F121" s="3596"/>
      <c r="G121" s="3596"/>
      <c r="H121" s="3596"/>
      <c r="I121" s="3597"/>
      <c r="AA121" s="725"/>
    </row>
    <row r="122" spans="1:27" ht="18.75" customHeight="1">
      <c r="A122" s="3586" t="str">
        <f>IF(项目基本情况!B9="房地产市场价值","",MID(E107,3,LEN(E107)-2))</f>
        <v>房地产抵押价值</v>
      </c>
      <c r="B122" s="3586"/>
      <c r="C122" s="3586"/>
      <c r="D122" s="3619" t="e">
        <f ca="1">H107</f>
        <v>#REF!</v>
      </c>
      <c r="E122" s="3620"/>
      <c r="F122" s="3620"/>
      <c r="G122" s="3620"/>
      <c r="H122" s="3620"/>
      <c r="I122" s="3621"/>
      <c r="AA122" s="725"/>
    </row>
    <row r="123" spans="1:27" ht="18.75" customHeight="1">
      <c r="A123" s="3555" t="s">
        <v>1452</v>
      </c>
      <c r="B123" s="3555"/>
      <c r="C123" s="3555"/>
      <c r="D123" s="3595" t="e">
        <f ca="1">NUMBERSTRING(INT(D122*10000),2)&amp;"元整"</f>
        <v>#REF!</v>
      </c>
      <c r="E123" s="3596"/>
      <c r="F123" s="3596"/>
      <c r="G123" s="3596"/>
      <c r="H123" s="3596"/>
      <c r="I123" s="3597"/>
      <c r="AA123" s="725"/>
    </row>
    <row r="124" spans="1:27" ht="18.75" customHeight="1">
      <c r="A124" s="3586" t="str">
        <f>IF(项目基本情况!B9="房地产市场价值","",MID(E109,3,LEN(E109)-2))</f>
        <v/>
      </c>
      <c r="B124" s="3586"/>
      <c r="C124" s="3586"/>
      <c r="D124" s="3619" t="str">
        <f>H109</f>
        <v>——</v>
      </c>
      <c r="E124" s="3620"/>
      <c r="F124" s="3620"/>
      <c r="G124" s="3620"/>
      <c r="H124" s="3620"/>
      <c r="I124" s="3621"/>
      <c r="AA124" s="725"/>
    </row>
    <row r="125" spans="1:27" ht="18.75" customHeight="1">
      <c r="A125" s="3555" t="s">
        <v>1452</v>
      </c>
      <c r="B125" s="3555"/>
      <c r="C125" s="3555"/>
      <c r="D125" s="3595" t="e">
        <f>NUMBERSTRING(INT(D124*10000),2)&amp;"元整"</f>
        <v>#VALUE!</v>
      </c>
      <c r="E125" s="3596"/>
      <c r="F125" s="3596"/>
      <c r="G125" s="3596"/>
      <c r="H125" s="3596"/>
      <c r="I125" s="3597"/>
      <c r="AA125" s="725"/>
    </row>
    <row r="126" spans="1:27" ht="18.75" customHeight="1">
      <c r="A126" s="3586" t="str">
        <f>IF(项目基本情况!B9="房地产市场价值","",MID(E111,3,LEN(E111)-2))</f>
        <v/>
      </c>
      <c r="B126" s="3586"/>
      <c r="C126" s="3586"/>
      <c r="D126" s="3619" t="str">
        <f>H111</f>
        <v>——</v>
      </c>
      <c r="E126" s="3620"/>
      <c r="F126" s="3620"/>
      <c r="G126" s="3620"/>
      <c r="H126" s="3620"/>
      <c r="I126" s="3621"/>
      <c r="AA126" s="725"/>
    </row>
    <row r="127" spans="1:27" ht="18.75" customHeight="1">
      <c r="A127" s="3555" t="s">
        <v>1452</v>
      </c>
      <c r="B127" s="3555"/>
      <c r="C127" s="3555"/>
      <c r="D127" s="3595" t="e">
        <f>NUMBERSTRING(INT(D126*10000),2)&amp;"元整"</f>
        <v>#VALUE!</v>
      </c>
      <c r="E127" s="3596"/>
      <c r="F127" s="3596"/>
      <c r="G127" s="3596"/>
      <c r="H127" s="3596"/>
      <c r="I127" s="3597"/>
      <c r="AA127" s="725"/>
    </row>
    <row r="128" spans="1:27" ht="21.75" customHeight="1">
      <c r="A128" s="3602" t="s">
        <v>1453</v>
      </c>
      <c r="B128" s="3602"/>
      <c r="C128" s="3602"/>
      <c r="D128" s="3602"/>
      <c r="E128" s="3602"/>
      <c r="F128" s="3602"/>
      <c r="G128" s="3602"/>
      <c r="H128" s="3602"/>
      <c r="I128" s="3602"/>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J33" sqref="J33"/>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4567</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6270</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1256</v>
      </c>
      <c r="D5" s="211" t="s">
        <v>1469</v>
      </c>
      <c r="E5" s="212" t="s">
        <v>1470</v>
      </c>
      <c r="F5" s="212" t="s">
        <v>1471</v>
      </c>
      <c r="G5" s="213"/>
    </row>
    <row r="6" spans="1:9" s="214" customFormat="1" ht="13.5" customHeight="1">
      <c r="A6" s="778" t="s">
        <v>1472</v>
      </c>
      <c r="B6" s="215" t="s">
        <v>1473</v>
      </c>
      <c r="C6" s="216">
        <f>基准地价修正!E33</f>
        <v>1077</v>
      </c>
      <c r="D6" s="217"/>
      <c r="E6" s="218"/>
      <c r="F6" s="218"/>
      <c r="G6" s="219"/>
    </row>
    <row r="7" spans="1:9" s="214" customFormat="1" ht="13.5" customHeight="1">
      <c r="A7" s="778" t="s">
        <v>1474</v>
      </c>
      <c r="B7" s="215" t="s">
        <v>1475</v>
      </c>
      <c r="C7" s="220">
        <f>ROUND(C6*F7,0)</f>
        <v>33</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146</v>
      </c>
      <c r="D8" s="222"/>
      <c r="E8" s="220"/>
      <c r="F8" s="221"/>
      <c r="G8" s="1856" t="s">
        <v>3390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146</v>
      </c>
      <c r="D10" s="845">
        <f ca="1">IF(B1="",'数据-汇总表'!E6,IF(INDIRECT("'数据-取费表'!c"&amp;$G$1)="住宅",INDIRECT("'数据-取费表'!s"&amp;$G$1),INDIRECT("'数据-取费表'!k"&amp;$G$1)+INDIRECT("'数据-取费表'!s"&amp;$G$1)))</f>
        <v>7284.24</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7284.24</v>
      </c>
      <c r="E19" s="211">
        <f>'数据-取费表'!B31</f>
        <v>200</v>
      </c>
      <c r="F19" s="231"/>
      <c r="G19" s="1856" t="s">
        <v>3391</v>
      </c>
    </row>
    <row r="20" spans="1:7" s="214" customFormat="1" ht="13.5" customHeight="1">
      <c r="A20" s="255" t="s">
        <v>1493</v>
      </c>
      <c r="B20" s="210" t="s">
        <v>1494</v>
      </c>
      <c r="C20" s="232">
        <f ca="1">ROUND((C5+C19)*F20,0)</f>
        <v>25</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45</v>
      </c>
      <c r="D22" s="235">
        <f ca="1">C26</f>
        <v>4.0000000000000002E-4</v>
      </c>
      <c r="E22" s="236" t="s">
        <v>1498</v>
      </c>
      <c r="F22" s="237">
        <f ca="1">'数据-取费表'!B40</f>
        <v>3.5499999999999997E-2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45</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4.0000000000000002E-4</v>
      </c>
      <c r="D26" s="238"/>
      <c r="E26" s="241"/>
      <c r="F26" s="239"/>
      <c r="G26" s="243"/>
    </row>
    <row r="27" spans="1:7" s="214" customFormat="1" ht="24.75">
      <c r="A27" s="255" t="s">
        <v>1512</v>
      </c>
      <c r="B27" s="244" t="s">
        <v>1513</v>
      </c>
      <c r="C27" s="245">
        <f ca="1">C28</f>
        <v>128</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ROUND((C5+C19+C20)*F27*'数据-取费表'!B21/'数据-取费表'!B20,0)</f>
        <v>128</v>
      </c>
      <c r="D28" s="235"/>
      <c r="E28" s="236"/>
      <c r="F28" s="246"/>
      <c r="G28" s="247"/>
    </row>
    <row r="29" spans="1:7" s="214" customFormat="1" ht="13.5" customHeight="1">
      <c r="A29" s="780" t="s">
        <v>347</v>
      </c>
      <c r="B29" s="248" t="s">
        <v>1517</v>
      </c>
      <c r="C29" s="238">
        <f ca="1">ROUND(C21*F27*'数据-取费表'!B21/'数据-取费表'!B20,4)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1572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2430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2185</v>
      </c>
      <c r="D34" s="217"/>
      <c r="E34" s="220"/>
      <c r="F34" s="257">
        <f ca="1">IF('数据-取费表'!B24=0,1,IF(B1="",'数据-取费表'!N16,INDIRECT("'数据-取费表'!n"&amp;$G$1)))</f>
        <v>1</v>
      </c>
      <c r="G34" s="219" t="s">
        <v>1526</v>
      </c>
    </row>
    <row r="35" spans="1:7" ht="13.5" customHeight="1">
      <c r="A35" s="780" t="s">
        <v>351</v>
      </c>
      <c r="B35" s="215" t="s">
        <v>1527</v>
      </c>
      <c r="C35" s="220">
        <f ca="1">ROUND(C34*F35,0)</f>
        <v>66</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146</v>
      </c>
      <c r="D37" s="217">
        <f ca="1">D19</f>
        <v>7284.24</v>
      </c>
      <c r="E37" s="249">
        <f>'数据-取费表'!B35</f>
        <v>200</v>
      </c>
      <c r="F37" s="259"/>
      <c r="G37" s="261" t="s">
        <v>1532</v>
      </c>
    </row>
    <row r="38" spans="1:7" ht="13.5" customHeight="1">
      <c r="A38" s="780" t="s">
        <v>354</v>
      </c>
      <c r="B38" s="215" t="s">
        <v>1533</v>
      </c>
      <c r="C38" s="220">
        <f ca="1">ROUND(C34*F38,0)</f>
        <v>33</v>
      </c>
      <c r="D38" s="220"/>
      <c r="E38" s="220"/>
      <c r="F38" s="259">
        <f>'数据-取费表'!B36</f>
        <v>1.4999999999999999E-2</v>
      </c>
      <c r="G38" s="219" t="s">
        <v>1528</v>
      </c>
    </row>
    <row r="39" spans="1:7" s="214" customFormat="1" ht="13.5" customHeight="1">
      <c r="A39" s="255" t="s">
        <v>1534</v>
      </c>
      <c r="B39" s="210" t="s">
        <v>1535</v>
      </c>
      <c r="C39" s="232">
        <f ca="1">ROUND(C33*F20,0)</f>
        <v>49</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44</v>
      </c>
      <c r="D41" s="235">
        <f ca="1">C44</f>
        <v>4.0000000000000002E-4</v>
      </c>
      <c r="E41" s="236" t="s">
        <v>1539</v>
      </c>
      <c r="F41" s="237">
        <f ca="1">F22</f>
        <v>3.5499999999999997E-2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43</v>
      </c>
      <c r="D42" s="238"/>
      <c r="E42" s="238"/>
      <c r="F42" s="239"/>
      <c r="G42" s="3635" t="s">
        <v>1544</v>
      </c>
    </row>
    <row r="43" spans="1:7" ht="13.5" customHeight="1">
      <c r="A43" s="780" t="s">
        <v>347</v>
      </c>
      <c r="B43" s="215" t="s">
        <v>1545</v>
      </c>
      <c r="C43" s="238">
        <f ca="1">ROUND(IF('数据-取费表'!B22&lt;=1,C39*F22*'数据-取费表'!B21/2,C39*(POWER((1+F22),'数据-取费表'!B21/2)-1)),0)</f>
        <v>1</v>
      </c>
      <c r="D43" s="238"/>
      <c r="E43" s="238"/>
      <c r="F43" s="239"/>
      <c r="G43" s="3636"/>
    </row>
    <row r="44" spans="1:7" ht="13.5" customHeight="1">
      <c r="A44" s="780" t="s">
        <v>348</v>
      </c>
      <c r="B44" s="215" t="s">
        <v>1546</v>
      </c>
      <c r="C44" s="238">
        <f ca="1">ROUND(IF('数据-取费表'!B22&lt;=1,C40*F22*'数据-取费表'!B21/2,C40*(POWER((1+F22),'数据-取费表'!B21/2)-1)),4)</f>
        <v>4.0000000000000002E-4</v>
      </c>
      <c r="D44" s="238"/>
      <c r="E44" s="238"/>
      <c r="F44" s="239"/>
      <c r="G44" s="3637"/>
    </row>
    <row r="45" spans="1:7" s="214" customFormat="1" ht="13.5" customHeight="1">
      <c r="A45" s="255" t="s">
        <v>1547</v>
      </c>
      <c r="B45" s="244" t="s">
        <v>1513</v>
      </c>
      <c r="C45" s="245">
        <f ca="1">C46</f>
        <v>248</v>
      </c>
      <c r="D45" s="235">
        <f ca="1">C47</f>
        <v>2E-3</v>
      </c>
      <c r="E45" s="236" t="s">
        <v>1539</v>
      </c>
      <c r="F45" s="246">
        <f ca="1">F27</f>
        <v>0.1</v>
      </c>
      <c r="G45" s="247" t="s">
        <v>1548</v>
      </c>
    </row>
    <row r="46" spans="1:7" s="214" customFormat="1" ht="13.5" customHeight="1">
      <c r="A46" s="780" t="s">
        <v>346</v>
      </c>
      <c r="B46" s="248" t="s">
        <v>1549</v>
      </c>
      <c r="C46" s="249">
        <f ca="1">ROUND((C33+C39)*F27,0)</f>
        <v>248</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2995</v>
      </c>
      <c r="D49" s="232"/>
      <c r="E49" s="232"/>
      <c r="F49" s="264"/>
      <c r="G49" s="234" t="s">
        <v>1554</v>
      </c>
    </row>
    <row r="50" spans="1:7" s="258" customFormat="1" ht="24">
      <c r="A50" s="255" t="s">
        <v>1555</v>
      </c>
      <c r="B50" s="210" t="s">
        <v>1556</v>
      </c>
      <c r="C50" s="232"/>
      <c r="D50" s="232"/>
      <c r="E50" s="232"/>
      <c r="F50" s="264">
        <f>IF('数据-取费表'!B24=0,'数据-取费表'!N16,1)</f>
        <v>1</v>
      </c>
      <c r="G50" s="247" t="s">
        <v>1557</v>
      </c>
    </row>
    <row r="51" spans="1:7" ht="16.5" customHeight="1">
      <c r="A51" s="255" t="s">
        <v>1558</v>
      </c>
      <c r="B51" s="210" t="s">
        <v>1559</v>
      </c>
      <c r="C51" s="232">
        <f ca="1">ROUND(C49*F50,0)</f>
        <v>2995</v>
      </c>
      <c r="D51" s="232"/>
      <c r="E51" s="232"/>
      <c r="F51" s="264"/>
      <c r="G51" s="234" t="s">
        <v>1560</v>
      </c>
    </row>
    <row r="52" spans="1:7" s="208" customFormat="1" ht="16.5" thickBot="1">
      <c r="A52" s="265" t="s">
        <v>1561</v>
      </c>
      <c r="B52" s="266"/>
      <c r="C52" s="267">
        <f ca="1">C31+C51</f>
        <v>4567</v>
      </c>
      <c r="D52" s="266"/>
      <c r="E52" s="266"/>
      <c r="F52" s="266"/>
      <c r="G52" s="268"/>
    </row>
    <row r="55" spans="1:7" ht="15">
      <c r="B55" s="270" t="s">
        <v>1562</v>
      </c>
      <c r="C55" s="271"/>
    </row>
    <row r="56" spans="1:7">
      <c r="B56" s="273" t="s">
        <v>802</v>
      </c>
      <c r="C56" s="275">
        <f ca="1">1-C57</f>
        <v>0.34399999999999997</v>
      </c>
    </row>
    <row r="57" spans="1:7">
      <c r="B57" s="273" t="s">
        <v>803</v>
      </c>
      <c r="C57" s="274">
        <f ca="1">ROUND(C51/C52,3)</f>
        <v>0.65600000000000003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2" t="str">
        <f>项目基本情况!B1</f>
        <v>北京市房地产抵押价值预评估</v>
      </c>
      <c r="C37" s="3452"/>
      <c r="D37" s="3452"/>
      <c r="E37" s="3452"/>
      <c r="F37" s="3452"/>
      <c r="G37" s="3452"/>
      <c r="H37" s="3452"/>
      <c r="I37" s="3452"/>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3358.2080999999998</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4610</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1456848</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1456848</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1456848</v>
      </c>
      <c r="D10" s="845">
        <f ca="1">IF(B1="",'数据-汇总表'!E6,IF(INDIRECT("'数据-取费表'!c"&amp;$G$1)="住宅",INDIRECT("'数据-取费表'!s"&amp;$G$1),INDIRECT("'数据-取费表'!k"&amp;$G$1)+INDIRECT("'数据-取费表'!s"&amp;$G$1)))</f>
        <v>7284.24</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1456848</v>
      </c>
      <c r="D19" s="849">
        <f ca="1">D9+D10</f>
        <v>7284.24</v>
      </c>
      <c r="E19" s="211">
        <f>'数据-取费表'!B31</f>
        <v>200</v>
      </c>
      <c r="F19" s="231"/>
      <c r="G19" s="1856"/>
    </row>
    <row r="20" spans="1:7" s="214" customFormat="1" ht="13.5" customHeight="1">
      <c r="A20" s="255" t="s">
        <v>1574</v>
      </c>
      <c r="B20" s="210" t="s">
        <v>1575</v>
      </c>
      <c r="C20" s="232">
        <f ca="1">ROUND((C5+C19)*F20,0)</f>
        <v>58274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104470</v>
      </c>
      <c r="D22" s="235">
        <f ca="1">C26</f>
        <v>4.0000000000000002E-4</v>
      </c>
      <c r="E22" s="236" t="s">
        <v>1579</v>
      </c>
      <c r="F22" s="237">
        <f ca="1">'数据-取费表'!B40</f>
        <v>3.5499999999999997E-2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51718</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51718</v>
      </c>
      <c r="D24" s="238"/>
      <c r="E24" s="238"/>
      <c r="F24" s="239"/>
      <c r="G24" s="240" t="s">
        <v>1586</v>
      </c>
    </row>
    <row r="25" spans="1:7" s="214" customFormat="1" ht="24">
      <c r="A25" s="780" t="s">
        <v>1476</v>
      </c>
      <c r="B25" s="215" t="s">
        <v>1587</v>
      </c>
      <c r="C25" s="1128">
        <f ca="1">ROUND(IF('数据-取费表'!B22&lt;=1,C20*F22*'数据-取费表'!B22/2,C20*(POWER((1+F22),'数据-取费表'!B22/2)-1)),0)</f>
        <v>1034</v>
      </c>
      <c r="D25" s="238"/>
      <c r="E25" s="241"/>
      <c r="F25" s="239"/>
      <c r="G25" s="242" t="s">
        <v>1588</v>
      </c>
    </row>
    <row r="26" spans="1:7" s="214" customFormat="1">
      <c r="A26" s="780" t="s">
        <v>350</v>
      </c>
      <c r="B26" s="215" t="s">
        <v>1511</v>
      </c>
      <c r="C26" s="238">
        <f ca="1">ROUND(IF('数据-取费表'!B22&lt;=1,F21*F22*'数据-取费表'!B22/2,F21*(POWER((1+F22),'数据-取费表'!B22/2)-1)),4)</f>
        <v>4.0000000000000002E-4</v>
      </c>
      <c r="D26" s="238"/>
      <c r="E26" s="241"/>
      <c r="F26" s="239"/>
      <c r="G26" s="243"/>
    </row>
    <row r="27" spans="1:7" s="214" customFormat="1" ht="24.75">
      <c r="A27" s="255" t="s">
        <v>1512</v>
      </c>
      <c r="B27" s="244" t="s">
        <v>1513</v>
      </c>
      <c r="C27" s="245">
        <f ca="1">C28</f>
        <v>297197</v>
      </c>
      <c r="D27" s="235">
        <f ca="1">C29</f>
        <v>2E-3</v>
      </c>
      <c r="E27" s="236" t="s">
        <v>1514</v>
      </c>
      <c r="F27" s="246">
        <f ca="1">IF(B1="",'数据-取费表'!Q16,INDIRECT("'数据-取费表'!q"&amp;$G$1))</f>
        <v>0.1</v>
      </c>
      <c r="G27" s="247" t="s">
        <v>1515</v>
      </c>
    </row>
    <row r="28" spans="1:7" s="214" customFormat="1" ht="13.5" customHeight="1">
      <c r="A28" s="780" t="s">
        <v>346</v>
      </c>
      <c r="B28" s="248" t="s">
        <v>1516</v>
      </c>
      <c r="C28" s="249">
        <f ca="1">ROUND((C5+C19+C20)*F27,0)</f>
        <v>297197</v>
      </c>
      <c r="D28" s="235"/>
      <c r="E28" s="236"/>
      <c r="F28" s="246"/>
      <c r="G28" s="247"/>
    </row>
    <row r="29" spans="1:7" s="214" customFormat="1" ht="13.5" customHeight="1">
      <c r="A29" s="780" t="s">
        <v>347</v>
      </c>
      <c r="B29" s="248" t="s">
        <v>1517</v>
      </c>
      <c r="C29" s="238">
        <f ca="1">ROUND(C21*F27,4)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3646387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24292941</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21852720</v>
      </c>
      <c r="D34" s="217"/>
      <c r="E34" s="220"/>
      <c r="F34" s="257"/>
      <c r="G34" s="219"/>
    </row>
    <row r="35" spans="1:7" ht="13.5" customHeight="1">
      <c r="A35" s="780" t="s">
        <v>351</v>
      </c>
      <c r="B35" s="215" t="s">
        <v>1527</v>
      </c>
      <c r="C35" s="220">
        <f ca="1">ROUND(C34*F35,0)</f>
        <v>655582</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1456848</v>
      </c>
      <c r="D37" s="217">
        <f ca="1">D19</f>
        <v>7284.24</v>
      </c>
      <c r="E37" s="249">
        <f>'数据-取费表'!B35</f>
        <v>200</v>
      </c>
      <c r="F37" s="259"/>
      <c r="G37" s="261"/>
    </row>
    <row r="38" spans="1:7" ht="13.5" customHeight="1">
      <c r="A38" s="780" t="s">
        <v>354</v>
      </c>
      <c r="B38" s="215" t="s">
        <v>1533</v>
      </c>
      <c r="C38" s="220">
        <f ca="1">ROUND(C34*F38,0)</f>
        <v>327791</v>
      </c>
      <c r="D38" s="220"/>
      <c r="E38" s="220"/>
      <c r="F38" s="259">
        <f>'数据-取费表'!B36</f>
        <v>1.4999999999999999E-2</v>
      </c>
      <c r="G38" s="219" t="s">
        <v>1528</v>
      </c>
    </row>
    <row r="39" spans="1:7" s="214" customFormat="1" ht="13.5" customHeight="1">
      <c r="A39" s="255" t="s">
        <v>1534</v>
      </c>
      <c r="B39" s="210" t="s">
        <v>1535</v>
      </c>
      <c r="C39" s="232">
        <f ca="1">ROUND(C33*F20,0)</f>
        <v>485859</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439824</v>
      </c>
      <c r="D41" s="235">
        <f ca="1">C44</f>
        <v>4.0000000000000002E-4</v>
      </c>
      <c r="E41" s="236" t="s">
        <v>1539</v>
      </c>
      <c r="F41" s="237">
        <f ca="1">F22</f>
        <v>3.5499999999999997E-2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431200</v>
      </c>
      <c r="D42" s="238"/>
      <c r="E42" s="238"/>
      <c r="F42" s="239"/>
      <c r="G42" s="3635" t="s">
        <v>1591</v>
      </c>
    </row>
    <row r="43" spans="1:7" ht="13.5" customHeight="1">
      <c r="A43" s="780" t="s">
        <v>347</v>
      </c>
      <c r="B43" s="215" t="s">
        <v>1545</v>
      </c>
      <c r="C43" s="238">
        <f ca="1">ROUND(IF('数据-取费表'!B22&lt;=1,C39*F22*'数据-取费表'!B20/2,C39*(POWER((1+F22),'数据-取费表'!B20/2)-1)),0)</f>
        <v>8624</v>
      </c>
      <c r="D43" s="238"/>
      <c r="E43" s="238"/>
      <c r="F43" s="239"/>
      <c r="G43" s="3636"/>
    </row>
    <row r="44" spans="1:7" ht="13.5" customHeight="1">
      <c r="A44" s="780" t="s">
        <v>348</v>
      </c>
      <c r="B44" s="215" t="s">
        <v>1546</v>
      </c>
      <c r="C44" s="238">
        <f ca="1">ROUND(IF('数据-取费表'!B22&lt;=1,C40*F22*'数据-取费表'!B20/2,C40*(POWER((1+F22),'数据-取费表'!B20/2)-1)),4)</f>
        <v>4.0000000000000002E-4</v>
      </c>
      <c r="D44" s="238"/>
      <c r="E44" s="238"/>
      <c r="F44" s="239"/>
      <c r="G44" s="3637"/>
    </row>
    <row r="45" spans="1:7" s="214" customFormat="1" ht="13.5" customHeight="1">
      <c r="A45" s="255" t="s">
        <v>1547</v>
      </c>
      <c r="B45" s="244" t="s">
        <v>1513</v>
      </c>
      <c r="C45" s="245">
        <f ca="1">C46</f>
        <v>2477880</v>
      </c>
      <c r="D45" s="235">
        <f ca="1">C47</f>
        <v>2E-3</v>
      </c>
      <c r="E45" s="236" t="s">
        <v>1539</v>
      </c>
      <c r="F45" s="246">
        <f ca="1">F27</f>
        <v>0.1</v>
      </c>
      <c r="G45" s="247" t="s">
        <v>1548</v>
      </c>
    </row>
    <row r="46" spans="1:7" s="214" customFormat="1" ht="13.5" customHeight="1">
      <c r="A46" s="780" t="s">
        <v>346</v>
      </c>
      <c r="B46" s="248" t="s">
        <v>1549</v>
      </c>
      <c r="C46" s="249">
        <f ca="1">ROUND((C33+C39)*F27,0)</f>
        <v>2477880</v>
      </c>
      <c r="D46" s="263"/>
      <c r="E46" s="236"/>
      <c r="F46" s="246"/>
      <c r="G46" s="247"/>
    </row>
    <row r="47" spans="1:7" s="214" customFormat="1" ht="13.5" customHeight="1">
      <c r="A47" s="780" t="s">
        <v>347</v>
      </c>
      <c r="B47" s="248" t="s">
        <v>1550</v>
      </c>
      <c r="C47" s="238">
        <f ca="1">ROUND(C40*F27,4)</f>
        <v>2E-3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29935694</v>
      </c>
      <c r="D49" s="232"/>
      <c r="E49" s="232"/>
      <c r="F49" s="264"/>
      <c r="G49" s="234" t="s">
        <v>1554</v>
      </c>
    </row>
    <row r="50" spans="1:7" s="258" customFormat="1">
      <c r="A50" s="255" t="s">
        <v>1555</v>
      </c>
      <c r="B50" s="210" t="s">
        <v>1556</v>
      </c>
      <c r="C50" s="232"/>
      <c r="D50" s="232"/>
      <c r="E50" s="232"/>
      <c r="F50" s="264">
        <f>IF('数据-取费表'!B24=0,'数据-取费表'!N16,1)</f>
        <v>1</v>
      </c>
      <c r="G50" s="247"/>
    </row>
    <row r="51" spans="1:7" ht="16.5" customHeight="1">
      <c r="A51" s="255" t="s">
        <v>1558</v>
      </c>
      <c r="B51" s="210" t="s">
        <v>1593</v>
      </c>
      <c r="C51" s="232">
        <f ca="1">ROUND(C49*F50,0)</f>
        <v>29935694</v>
      </c>
      <c r="D51" s="232"/>
      <c r="E51" s="232"/>
      <c r="F51" s="264"/>
      <c r="G51" s="234" t="s">
        <v>1560</v>
      </c>
    </row>
    <row r="52" spans="1:7" s="208" customFormat="1" ht="16.5" thickBot="1">
      <c r="A52" s="265" t="s">
        <v>1561</v>
      </c>
      <c r="B52" s="266"/>
      <c r="C52" s="267">
        <f ca="1">C31+C51</f>
        <v>33582081</v>
      </c>
      <c r="D52" s="266"/>
      <c r="E52" s="266"/>
      <c r="F52" s="266"/>
      <c r="G52" s="268"/>
    </row>
    <row r="55" spans="1:7" ht="15">
      <c r="B55" s="270" t="s">
        <v>1562</v>
      </c>
      <c r="C55" s="271"/>
    </row>
    <row r="56" spans="1:7">
      <c r="B56" s="273" t="s">
        <v>802</v>
      </c>
      <c r="C56" s="275">
        <f ca="1">1-C57</f>
        <v>0.10899999999999999</v>
      </c>
    </row>
    <row r="57" spans="1:7">
      <c r="B57" s="273" t="s">
        <v>803</v>
      </c>
      <c r="C57" s="274">
        <f ca="1">ROUND(C51/C52,3)</f>
        <v>0.89100000000000001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7284.24</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7284.24</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146</v>
      </c>
      <c r="D20" s="846">
        <f ca="1">IF(C1="",'数据-汇总表'!E6,IF(INDIRECT("'数据-取费表'!c"&amp;$K$1)="住宅",INDIRECT("'数据-取费表'!s"&amp;$K$1),INDIRECT("'数据-取费表'!k"&amp;$K$1)+INDIRECT("'数据-取费表'!s"&amp;$K$1)))</f>
        <v>7284.24</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3.5499999999999997E-2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H34" sqref="H34"/>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43</v>
      </c>
      <c r="E1" s="1363" t="s">
        <v>678</v>
      </c>
      <c r="F1" s="1062">
        <f ca="1">J53</f>
        <v>33.200000000000003</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5445</v>
      </c>
      <c r="C2" s="1387" t="s">
        <v>805</v>
      </c>
      <c r="D2" s="1387"/>
      <c r="E2" s="1388"/>
      <c r="F2" s="1389"/>
      <c r="G2" s="2706"/>
      <c r="H2" s="2695"/>
      <c r="I2" s="2695"/>
      <c r="J2" s="2695"/>
      <c r="K2" s="2696"/>
      <c r="L2" s="2695"/>
      <c r="M2" s="2695"/>
    </row>
    <row r="3" spans="1:37" ht="18" customHeight="1" thickBot="1">
      <c r="A3" s="1390" t="s">
        <v>806</v>
      </c>
      <c r="B3" s="1391">
        <f ca="1">IF(ISERROR(B2*10000/F43),0,ROUND(B2*10000/F43,0))</f>
        <v>7475</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359</v>
      </c>
      <c r="D5" s="1364" t="s">
        <v>693</v>
      </c>
      <c r="E5" s="1071"/>
      <c r="F5" s="1072"/>
      <c r="G5" s="1384"/>
      <c r="H5" s="299">
        <v>1</v>
      </c>
      <c r="I5" s="300" t="s">
        <v>692</v>
      </c>
      <c r="J5" s="1070">
        <f ca="1">J6+J10+J12</f>
        <v>0</v>
      </c>
      <c r="K5" s="1364" t="s">
        <v>693</v>
      </c>
      <c r="L5" s="1071"/>
      <c r="M5" s="1072"/>
    </row>
    <row r="6" spans="1:37" ht="18" customHeight="1">
      <c r="A6" s="1069" t="s">
        <v>398</v>
      </c>
      <c r="B6" s="3640" t="s">
        <v>694</v>
      </c>
      <c r="C6" s="1074">
        <f ca="1">ROUND(F6*F8*F7*(1-F9)/10000,0)</f>
        <v>359</v>
      </c>
      <c r="D6" s="155" t="s">
        <v>2109</v>
      </c>
      <c r="E6" s="302" t="s">
        <v>696</v>
      </c>
      <c r="F6" s="303">
        <f ca="1">INDIRECT("'数据-取费表'!u"&amp;$G$1)</f>
        <v>1.5</v>
      </c>
      <c r="G6" s="1384"/>
      <c r="H6" s="1069" t="s">
        <v>398</v>
      </c>
      <c r="I6" s="3640" t="s">
        <v>694</v>
      </c>
      <c r="J6" s="301">
        <f ca="1">ROUND(M6*M8*M7*(1-M9)/10000,0)</f>
        <v>0</v>
      </c>
      <c r="K6" s="155" t="s">
        <v>2108</v>
      </c>
      <c r="L6" s="302" t="s">
        <v>696</v>
      </c>
      <c r="M6" s="303">
        <f ca="1">INDIRECT("'数据-取费表'!z"&amp;$G$1)</f>
        <v>0</v>
      </c>
    </row>
    <row r="7" spans="1:37" ht="18" customHeight="1">
      <c r="A7" s="1073"/>
      <c r="B7" s="3641"/>
      <c r="C7" s="1075"/>
      <c r="D7" s="307"/>
      <c r="E7" s="1076" t="s">
        <v>697</v>
      </c>
      <c r="F7" s="303">
        <f ca="1">IF(INDIRECT("'数据-取费表'!ah"&amp;$G$1)="",INDIRECT("'数据-取费表'!k"&amp;$G$1),INDIRECT("'数据-取费表'!ah"&amp;$G$1))</f>
        <v>7284.24</v>
      </c>
      <c r="G7" s="1384"/>
      <c r="H7" s="304"/>
      <c r="I7" s="3641"/>
      <c r="J7" s="306"/>
      <c r="K7" s="307"/>
      <c r="L7" s="302" t="s">
        <v>697</v>
      </c>
      <c r="M7" s="303">
        <f ca="1">F7</f>
        <v>7284.24</v>
      </c>
    </row>
    <row r="8" spans="1:37" ht="18" customHeight="1">
      <c r="A8" s="304"/>
      <c r="B8" s="3641"/>
      <c r="C8" s="306"/>
      <c r="D8" s="307"/>
      <c r="E8" s="302" t="s">
        <v>698</v>
      </c>
      <c r="F8" s="303">
        <f ca="1">INDIRECT("'数据-取费表'!ai"&amp;$G$1)</f>
        <v>365</v>
      </c>
      <c r="G8" s="1384"/>
      <c r="H8" s="304"/>
      <c r="I8" s="3641"/>
      <c r="J8" s="306"/>
      <c r="K8" s="307"/>
      <c r="L8" s="302" t="s">
        <v>698</v>
      </c>
      <c r="M8" s="303">
        <f ca="1">INDIRECT("'数据-取费表'!ai"&amp;$G$1)</f>
        <v>365</v>
      </c>
    </row>
    <row r="9" spans="1:37" ht="18" customHeight="1">
      <c r="A9" s="304"/>
      <c r="B9" s="3642"/>
      <c r="C9" s="306"/>
      <c r="D9" s="307"/>
      <c r="E9" s="302" t="s">
        <v>699</v>
      </c>
      <c r="F9" s="312">
        <f ca="1">INDIRECT("'数据-取费表'!w"&amp;$G$1)</f>
        <v>0.1</v>
      </c>
      <c r="G9" s="1384"/>
      <c r="H9" s="304"/>
      <c r="I9" s="364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t="s">
        <v>3404</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2995</v>
      </c>
      <c r="D13" s="1081" t="s">
        <v>705</v>
      </c>
      <c r="E13" s="1081" t="s">
        <v>706</v>
      </c>
      <c r="F13" s="1082">
        <f ca="1">INDIRECT("'数据-取费表'!y"&amp;$G$1)</f>
        <v>1</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2185</v>
      </c>
      <c r="D14" s="1345" t="s">
        <v>708</v>
      </c>
      <c r="E14" s="1342"/>
      <c r="F14" s="319"/>
      <c r="G14" s="1384"/>
      <c r="H14" s="982" t="s">
        <v>398</v>
      </c>
      <c r="I14" s="302" t="s">
        <v>709</v>
      </c>
      <c r="J14" s="21">
        <f ca="1">C29</f>
        <v>2995</v>
      </c>
      <c r="K14" s="12"/>
      <c r="L14" s="807"/>
      <c r="M14" s="808"/>
    </row>
    <row r="15" spans="1:37" s="1397" customFormat="1" ht="18" customHeight="1" thickBot="1">
      <c r="A15" s="982" t="s">
        <v>399</v>
      </c>
      <c r="B15" s="302" t="s">
        <v>710</v>
      </c>
      <c r="C15" s="21">
        <f ca="1">ROUND(C14*F15,0)</f>
        <v>66</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15</v>
      </c>
      <c r="K16" s="1087" t="s">
        <v>715</v>
      </c>
      <c r="L16" s="1088"/>
      <c r="M16" s="1072"/>
    </row>
    <row r="17" spans="1:37" s="1397" customFormat="1" ht="18" customHeight="1">
      <c r="A17" s="982" t="s">
        <v>681</v>
      </c>
      <c r="B17" s="302" t="s">
        <v>716</v>
      </c>
      <c r="C17" s="21">
        <f ca="1">ROUND(F17*(F43+INDIRECT("'数据-取费表'!S"&amp;$G$1))/10000,0)</f>
        <v>146</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33</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2430</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49</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14.98</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44</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3.5499999999999997E-2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-15</v>
      </c>
      <c r="K25" s="1095" t="s">
        <v>753</v>
      </c>
      <c r="L25" s="1096"/>
      <c r="M25" s="1097"/>
    </row>
    <row r="26" spans="1:37">
      <c r="A26" s="982" t="s">
        <v>397</v>
      </c>
      <c r="B26" s="302" t="s">
        <v>754</v>
      </c>
      <c r="C26" s="21">
        <f ca="1">ROUND((C19+C20)*F26,0)</f>
        <v>248</v>
      </c>
      <c r="D26" s="323" t="s">
        <v>755</v>
      </c>
      <c r="E26" s="313" t="s">
        <v>756</v>
      </c>
      <c r="F26" s="312">
        <f ca="1">INDIRECT("'数据-取费表'!q"&amp;$G$1)</f>
        <v>0.1</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2E-3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2995</v>
      </c>
      <c r="D29" s="1092"/>
      <c r="E29" s="1090"/>
      <c r="F29" s="1093"/>
      <c r="G29" s="1396"/>
      <c r="H29" s="334" t="s">
        <v>396</v>
      </c>
      <c r="I29" s="335" t="s">
        <v>768</v>
      </c>
      <c r="J29" s="336">
        <f ca="1">ROUND(J26/(1+F40)^F41,0)</f>
        <v>0</v>
      </c>
      <c r="K29" s="337" t="s">
        <v>769</v>
      </c>
      <c r="L29" s="338"/>
      <c r="M29" s="339">
        <f ca="1">INDIRECT("'数据-取费表'!k"&amp;$G$1)</f>
        <v>7284.24</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81</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59.83</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18.8</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41.03</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3451">
        <f ca="1">C30/C5</f>
        <v>0.22562674094707522</v>
      </c>
      <c r="I35" s="1398"/>
      <c r="J35" s="1399"/>
      <c r="K35" s="2701"/>
      <c r="L35" s="2700"/>
      <c r="M35" s="2700"/>
    </row>
    <row r="36" spans="1:18" ht="18" customHeight="1">
      <c r="A36" s="1102" t="s">
        <v>402</v>
      </c>
      <c r="B36" s="302" t="s">
        <v>738</v>
      </c>
      <c r="C36" s="21">
        <f ca="1">ROUND(C29*F36,2)</f>
        <v>14.98</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4.49</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ROUND(C5*F38,2)</f>
        <v>1.8</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278</v>
      </c>
      <c r="D39" s="1095" t="s">
        <v>773</v>
      </c>
      <c r="E39" s="1096"/>
      <c r="F39" s="1097"/>
      <c r="G39" s="1384"/>
      <c r="H39" s="2700"/>
      <c r="I39" s="1398"/>
      <c r="J39" s="1399"/>
      <c r="K39" s="2704"/>
      <c r="L39" s="2700"/>
      <c r="M39" s="2700"/>
    </row>
    <row r="40" spans="1:18" ht="18" customHeight="1">
      <c r="A40" s="299" t="s">
        <v>395</v>
      </c>
      <c r="B40" s="300" t="s">
        <v>774</v>
      </c>
      <c r="C40" s="301">
        <f ca="1">ROUND(C39*(1-((1+F42)/(1+F40))^F41)/(F40-F42),0)</f>
        <v>5352</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33.200000000000003</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7347</v>
      </c>
      <c r="D43" s="337" t="s">
        <v>777</v>
      </c>
      <c r="E43" s="338" t="s">
        <v>778</v>
      </c>
      <c r="F43" s="339">
        <f ca="1">INDIRECT("'数据-取费表'!k"&amp;$G$1)</f>
        <v>7284.24</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-5639</v>
      </c>
      <c r="D46" s="1406" t="str">
        <f>C2</f>
        <v>万元</v>
      </c>
      <c r="E46" s="1400"/>
      <c r="F46" s="1400"/>
      <c r="I46" s="1407" t="s">
        <v>810</v>
      </c>
      <c r="J46" s="1408"/>
      <c r="K46" s="1409"/>
      <c r="L46" s="1410">
        <f ca="1">IF(M47="住宅",0,IF(L48&gt;J51,L60,J60))</f>
        <v>93</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3401</v>
      </c>
      <c r="K47" s="1416" t="s">
        <v>816</v>
      </c>
      <c r="L47" s="1417">
        <f ca="1">INDIRECT("'数据-取费表'!d"&amp;$G$1)</f>
        <v>50</v>
      </c>
      <c r="M47" s="1380" t="str">
        <f>IF(ISNUMBER(FIND("住宅",C1)),"住宅","非住宅")</f>
        <v>非住宅</v>
      </c>
      <c r="O47" s="1418" t="s">
        <v>403</v>
      </c>
      <c r="P47" s="1419" t="s">
        <v>817</v>
      </c>
      <c r="Q47" s="1420">
        <f ca="1">C40+J29</f>
        <v>5352</v>
      </c>
      <c r="R47" s="1420" t="s">
        <v>818</v>
      </c>
    </row>
    <row r="48" spans="1:18" s="1384" customFormat="1" ht="28.5" thickBot="1">
      <c r="A48" s="1110" t="s">
        <v>438</v>
      </c>
      <c r="B48" s="300" t="s">
        <v>692</v>
      </c>
      <c r="C48" s="1359">
        <f ca="1">C49+C53+C55</f>
        <v>0</v>
      </c>
      <c r="D48" s="1112"/>
      <c r="E48" s="1113"/>
      <c r="F48" s="962"/>
      <c r="G48" s="722"/>
      <c r="H48" s="723"/>
      <c r="I48" s="1421" t="s">
        <v>819</v>
      </c>
      <c r="J48" s="1422" t="s">
        <v>3402</v>
      </c>
      <c r="K48" s="1423" t="s">
        <v>820</v>
      </c>
      <c r="L48" s="1424">
        <f ca="1">INDIRECT("'数据-取费表'!f"&amp;$G$1)</f>
        <v>33.200000000000003</v>
      </c>
      <c r="O48" s="1418" t="s">
        <v>404</v>
      </c>
      <c r="P48" s="1419" t="s">
        <v>821</v>
      </c>
      <c r="Q48" s="1420">
        <f ca="1">J60</f>
        <v>93</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2023</v>
      </c>
      <c r="K49" s="1423" t="s">
        <v>824</v>
      </c>
      <c r="L49" s="1427"/>
      <c r="O49" s="1428" t="s">
        <v>405</v>
      </c>
      <c r="P49" s="1419" t="s">
        <v>825</v>
      </c>
      <c r="Q49" s="1420">
        <f ca="1">C29</f>
        <v>2995</v>
      </c>
      <c r="R49" s="1420" t="s">
        <v>818</v>
      </c>
    </row>
    <row r="50" spans="1:18" s="1384" customFormat="1" ht="13.5" thickBot="1">
      <c r="A50" s="976"/>
      <c r="B50" s="979"/>
      <c r="C50" s="1118"/>
      <c r="D50" s="953"/>
      <c r="E50" s="1056" t="s">
        <v>697</v>
      </c>
      <c r="F50" s="1057">
        <f ca="1">F7</f>
        <v>7284.24</v>
      </c>
      <c r="H50" s="723"/>
      <c r="I50" s="1421" t="s">
        <v>826</v>
      </c>
      <c r="J50" s="1429">
        <f>SUMPRODUCT((I63:I65=J47)*(J62:L62=J48)*(J63:L65))</f>
        <v>50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50</v>
      </c>
      <c r="K51" s="1434" t="s">
        <v>830</v>
      </c>
      <c r="L51" s="1435">
        <f ca="1">ROUND(-PV(INDIRECT("'数据-取费表'!h"&amp;$G$1),J51,(C39-C13*C76),0),0)</f>
        <v>974</v>
      </c>
      <c r="M51" s="1436"/>
      <c r="O51" s="1428" t="s">
        <v>407</v>
      </c>
      <c r="P51" s="1419" t="s">
        <v>831</v>
      </c>
      <c r="Q51" s="1431">
        <f>J52</f>
        <v>0.08</v>
      </c>
      <c r="R51" s="1420"/>
    </row>
    <row r="52" spans="1:18" s="1384" customFormat="1" ht="13.5" thickBot="1">
      <c r="A52" s="977"/>
      <c r="B52" s="979"/>
      <c r="C52" s="980"/>
      <c r="D52" s="953"/>
      <c r="E52" s="981" t="s">
        <v>699</v>
      </c>
      <c r="F52" s="1054"/>
      <c r="I52" s="1437" t="s">
        <v>832</v>
      </c>
      <c r="J52" s="1438">
        <f>'数据-取费表'!J6+0.5%</f>
        <v>0.08</v>
      </c>
      <c r="K52" s="1437" t="s">
        <v>833</v>
      </c>
      <c r="L52" s="1438"/>
      <c r="O52" s="1428" t="s">
        <v>408</v>
      </c>
      <c r="P52" s="1419" t="s">
        <v>834</v>
      </c>
      <c r="Q52" s="1420">
        <f ca="1">J53</f>
        <v>33.200000000000003</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33.200000000000003</v>
      </c>
      <c r="K53" s="3638" t="s">
        <v>837</v>
      </c>
      <c r="L53" s="3639"/>
      <c r="O53" s="1418" t="s">
        <v>409</v>
      </c>
      <c r="P53" s="1419" t="s">
        <v>838</v>
      </c>
      <c r="Q53" s="1420">
        <f ca="1">Q47+Q48</f>
        <v>5445</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0.33600000000000002</v>
      </c>
      <c r="K55" s="1445" t="s">
        <v>841</v>
      </c>
      <c r="L55" s="1446"/>
      <c r="O55" s="1411" t="s">
        <v>811</v>
      </c>
      <c r="P55" s="1412" t="s">
        <v>812</v>
      </c>
      <c r="Q55" s="1413" t="s">
        <v>813</v>
      </c>
      <c r="R55" s="1413" t="s">
        <v>814</v>
      </c>
    </row>
    <row r="56" spans="1:18" s="1384" customFormat="1" ht="25.5" thickTop="1" thickBot="1">
      <c r="A56" s="957">
        <v>2</v>
      </c>
      <c r="B56" s="958" t="s">
        <v>704</v>
      </c>
      <c r="C56" s="232">
        <f ca="1">C13</f>
        <v>2995</v>
      </c>
      <c r="D56" s="1447"/>
      <c r="E56" s="1448"/>
      <c r="F56" s="1440"/>
      <c r="I56" s="1449" t="s">
        <v>842</v>
      </c>
      <c r="J56" s="1450" t="s">
        <v>3403</v>
      </c>
      <c r="K56" s="1421" t="s">
        <v>843</v>
      </c>
      <c r="L56" s="1424" t="str">
        <f ca="1">IF(L48&lt;J51,"——",L48-J53)</f>
        <v>——</v>
      </c>
      <c r="O56" s="1418" t="s">
        <v>403</v>
      </c>
      <c r="P56" s="1419" t="s">
        <v>817</v>
      </c>
      <c r="Q56" s="1420">
        <f ca="1">C40+J29</f>
        <v>5352</v>
      </c>
      <c r="R56" s="1420" t="s">
        <v>818</v>
      </c>
    </row>
    <row r="57" spans="1:18" s="1384" customFormat="1" ht="24.75" thickBot="1">
      <c r="A57" s="1451"/>
      <c r="B57" s="950" t="s">
        <v>767</v>
      </c>
      <c r="C57" s="238">
        <f ca="1">C29</f>
        <v>2995</v>
      </c>
      <c r="D57" s="1452"/>
      <c r="E57" s="1453"/>
      <c r="F57" s="1454"/>
      <c r="I57" s="1455" t="s">
        <v>844</v>
      </c>
      <c r="J57" s="1456">
        <f ca="1">IF(OR(M47="住宅",J51&lt;L48,J56="是"),"——",J51-L48)</f>
        <v>16.799999999999997</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19</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1198</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93</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5352</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14.98</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4.49</v>
      </c>
      <c r="D65" s="964" t="s">
        <v>743</v>
      </c>
      <c r="E65" s="950" t="s">
        <v>744</v>
      </c>
      <c r="F65" s="330">
        <f t="shared" ca="1" si="0"/>
        <v>1.5E-3</v>
      </c>
      <c r="I65" s="1462" t="s">
        <v>867</v>
      </c>
      <c r="J65" s="1463">
        <v>40</v>
      </c>
      <c r="K65" s="1463">
        <v>30</v>
      </c>
      <c r="L65" s="1463">
        <v>50</v>
      </c>
      <c r="M65" s="1465">
        <v>0.02</v>
      </c>
      <c r="O65" s="1418" t="s">
        <v>403</v>
      </c>
      <c r="P65" s="1419" t="s">
        <v>868</v>
      </c>
      <c r="Q65" s="1420">
        <f ca="1">C40+J29</f>
        <v>5352</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-19</v>
      </c>
      <c r="D67" s="963" t="s">
        <v>753</v>
      </c>
      <c r="E67" s="968"/>
      <c r="F67" s="969"/>
      <c r="O67" s="1428" t="s">
        <v>405</v>
      </c>
      <c r="P67" s="1419" t="s">
        <v>850</v>
      </c>
      <c r="Q67" s="1466">
        <f ca="1">L51</f>
        <v>974</v>
      </c>
      <c r="R67" s="1420" t="s">
        <v>870</v>
      </c>
    </row>
    <row r="68" spans="1:18" s="1384" customFormat="1" ht="16.5" thickBot="1">
      <c r="A68" s="947" t="s">
        <v>395</v>
      </c>
      <c r="B68" s="948" t="s">
        <v>774</v>
      </c>
      <c r="C68" s="301">
        <f ca="1">ROUND(C67*(1-((1+F70)/(1+F68))^F69)/(F68-F70),0)</f>
        <v>-287</v>
      </c>
      <c r="D68" s="965" t="s">
        <v>758</v>
      </c>
      <c r="E68" s="950" t="s">
        <v>759</v>
      </c>
      <c r="F68" s="312">
        <f ca="1">F40</f>
        <v>5.5E-2</v>
      </c>
      <c r="O68" s="1428" t="s">
        <v>406</v>
      </c>
      <c r="P68" s="1467" t="s">
        <v>871</v>
      </c>
      <c r="Q68" s="1420">
        <f ca="1">ROUND(Q69-Q70*Q71,0)</f>
        <v>53</v>
      </c>
      <c r="R68" s="1420" t="s">
        <v>414</v>
      </c>
    </row>
    <row r="69" spans="1:18" s="1384" customFormat="1" ht="13.5" thickBot="1">
      <c r="A69" s="951"/>
      <c r="B69" s="952"/>
      <c r="C69" s="306"/>
      <c r="D69" s="970" t="s">
        <v>762</v>
      </c>
      <c r="E69" s="950" t="s">
        <v>763</v>
      </c>
      <c r="F69" s="333">
        <f ca="1">F41</f>
        <v>33.200000000000003</v>
      </c>
      <c r="O69" s="1428" t="s">
        <v>411</v>
      </c>
      <c r="P69" s="1467" t="s">
        <v>872</v>
      </c>
      <c r="Q69" s="1420">
        <f ca="1">C39</f>
        <v>278</v>
      </c>
      <c r="R69" s="1420" t="s">
        <v>818</v>
      </c>
    </row>
    <row r="70" spans="1:18" s="1384" customFormat="1" ht="13.5" thickBot="1">
      <c r="A70" s="954"/>
      <c r="B70" s="955"/>
      <c r="C70" s="310"/>
      <c r="D70" s="966"/>
      <c r="E70" s="950" t="s">
        <v>766</v>
      </c>
      <c r="F70" s="1054"/>
      <c r="O70" s="1428" t="s">
        <v>412</v>
      </c>
      <c r="P70" s="1467" t="s">
        <v>873</v>
      </c>
      <c r="Q70" s="1420">
        <f ca="1">C13</f>
        <v>2995</v>
      </c>
      <c r="R70" s="1420" t="s">
        <v>818</v>
      </c>
    </row>
    <row r="71" spans="1:18" s="1384" customFormat="1" ht="13.5" thickBot="1">
      <c r="A71" s="971" t="s">
        <v>396</v>
      </c>
      <c r="B71" s="972" t="s">
        <v>776</v>
      </c>
      <c r="C71" s="336">
        <f ca="1">ROUND(C68*10000/F71,0)</f>
        <v>-394</v>
      </c>
      <c r="D71" s="973" t="s">
        <v>777</v>
      </c>
      <c r="E71" s="974" t="s">
        <v>778</v>
      </c>
      <c r="F71" s="339">
        <f ca="1">F43</f>
        <v>7284.24</v>
      </c>
      <c r="O71" s="1428" t="s">
        <v>413</v>
      </c>
      <c r="P71" s="1467" t="s">
        <v>874</v>
      </c>
      <c r="Q71" s="1431">
        <f ca="1">C76</f>
        <v>7.4999999999999997E-2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225</v>
      </c>
      <c r="D75" s="1384"/>
      <c r="E75" s="1384"/>
      <c r="F75" s="1384"/>
      <c r="K75" s="1402"/>
      <c r="L75" s="1384"/>
      <c r="O75" s="1418" t="s">
        <v>409</v>
      </c>
      <c r="P75" s="1419" t="s">
        <v>838</v>
      </c>
      <c r="Q75" s="1420">
        <f ca="1">Q65+Q66</f>
        <v>5352</v>
      </c>
      <c r="R75" s="1420" t="s">
        <v>410</v>
      </c>
    </row>
    <row r="76" spans="1:18">
      <c r="B76" s="342" t="s">
        <v>796</v>
      </c>
      <c r="C76" s="343">
        <f ca="1">INDIRECT("'数据-取费表'!j"&amp;$G$1)</f>
        <v>7.4999999999999997E-2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0.19099999999999995</v>
      </c>
    </row>
    <row r="80" spans="1:18">
      <c r="B80" s="340" t="s">
        <v>800</v>
      </c>
      <c r="C80" s="274">
        <f ca="1">ROUND(C75/C39,3)</f>
        <v>0.80900000000000005</v>
      </c>
    </row>
    <row r="81" spans="2:3">
      <c r="B81" s="270" t="s">
        <v>801</v>
      </c>
      <c r="C81" s="238"/>
    </row>
    <row r="82" spans="2:3">
      <c r="B82" s="273" t="s">
        <v>802</v>
      </c>
      <c r="C82" s="275">
        <f ca="1">1-C83</f>
        <v>0.43999999999999995</v>
      </c>
    </row>
    <row r="83" spans="2:3">
      <c r="B83" s="273" t="s">
        <v>803</v>
      </c>
      <c r="C83" s="274">
        <f ca="1">ROUND(C13/C40,3)</f>
        <v>0.56000000000000005</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0" t="s">
        <v>694</v>
      </c>
      <c r="C6" s="1074">
        <f ca="1">ROUND(F6*F8*F7*(1-F9),0)</f>
        <v>0</v>
      </c>
      <c r="D6" s="155" t="s">
        <v>2106</v>
      </c>
      <c r="E6" s="302" t="s">
        <v>696</v>
      </c>
      <c r="F6" s="303">
        <f ca="1">INDIRECT("'数据-取费表'!u"&amp;$G$1)</f>
        <v>0</v>
      </c>
      <c r="G6" s="1384"/>
      <c r="H6" s="1069" t="s">
        <v>398</v>
      </c>
      <c r="I6" s="3640" t="s">
        <v>694</v>
      </c>
      <c r="J6" s="301">
        <f ca="1">ROUND(M6*M8*M7*(1-M9),0)</f>
        <v>0</v>
      </c>
      <c r="K6" s="1376" t="s">
        <v>2107</v>
      </c>
      <c r="L6" s="302" t="s">
        <v>696</v>
      </c>
      <c r="M6" s="303">
        <f ca="1">INDIRECT("'数据-取费表'!z"&amp;$G$1)</f>
        <v>0</v>
      </c>
    </row>
    <row r="7" spans="1:37" ht="18" customHeight="1">
      <c r="A7" s="1073"/>
      <c r="B7" s="3641"/>
      <c r="C7" s="1075"/>
      <c r="D7" s="307"/>
      <c r="E7" s="1076" t="s">
        <v>697</v>
      </c>
      <c r="F7" s="303">
        <f ca="1">IF(INDIRECT("'数据-取费表'!ah"&amp;$G$1)="",INDIRECT("'数据-取费表'!k"&amp;$G$1),INDIRECT("'数据-取费表'!ah"&amp;$G$1))</f>
        <v>0</v>
      </c>
      <c r="G7" s="1384"/>
      <c r="H7" s="304"/>
      <c r="I7" s="3641"/>
      <c r="J7" s="306"/>
      <c r="K7" s="307"/>
      <c r="L7" s="302" t="s">
        <v>697</v>
      </c>
      <c r="M7" s="303">
        <f ca="1">F7</f>
        <v>0</v>
      </c>
    </row>
    <row r="8" spans="1:37" ht="18" customHeight="1">
      <c r="A8" s="304"/>
      <c r="B8" s="3641"/>
      <c r="C8" s="306"/>
      <c r="D8" s="307"/>
      <c r="E8" s="302" t="s">
        <v>698</v>
      </c>
      <c r="F8" s="303">
        <f ca="1">INDIRECT("'数据-取费表'!ai"&amp;$G$1)</f>
        <v>0</v>
      </c>
      <c r="G8" s="1384"/>
      <c r="H8" s="304"/>
      <c r="I8" s="3641"/>
      <c r="J8" s="306"/>
      <c r="K8" s="307"/>
      <c r="L8" s="302" t="s">
        <v>698</v>
      </c>
      <c r="M8" s="303">
        <f ca="1">INDIRECT("'数据-取费表'!ai"&amp;$G$1)</f>
        <v>0</v>
      </c>
    </row>
    <row r="9" spans="1:37" ht="18" customHeight="1">
      <c r="A9" s="304"/>
      <c r="B9" s="3642"/>
      <c r="C9" s="306"/>
      <c r="D9" s="307"/>
      <c r="E9" s="302" t="s">
        <v>699</v>
      </c>
      <c r="F9" s="312">
        <f ca="1">INDIRECT("'数据-取费表'!w"&amp;$G$1)</f>
        <v>0</v>
      </c>
      <c r="G9" s="1384"/>
      <c r="H9" s="304"/>
      <c r="I9" s="364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3.5499999999999997E-2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3358</v>
      </c>
      <c r="B45" s="1400"/>
      <c r="C45" s="1472" t="e">
        <f ca="1">ROUND((C68-C40)/10000,4)</f>
        <v>#DIV/0!</v>
      </c>
      <c r="D45" s="3432" t="s">
        <v>3359</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8" t="s">
        <v>837</v>
      </c>
      <c r="L53" s="3639"/>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3365</v>
      </c>
      <c r="E2" s="3444"/>
      <c r="F2" s="2846"/>
      <c r="G2" s="2847"/>
      <c r="H2" s="2848"/>
      <c r="I2" s="2849"/>
      <c r="J2" s="3649" t="s">
        <v>2321</v>
      </c>
      <c r="K2" s="3650"/>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51" t="s">
        <v>2331</v>
      </c>
      <c r="K3" s="3652"/>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51" t="s">
        <v>2333</v>
      </c>
      <c r="K4" s="3652"/>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57" t="s">
        <v>2337</v>
      </c>
      <c r="B6" s="3658"/>
      <c r="C6" s="3659"/>
      <c r="D6" s="2870"/>
      <c r="E6" s="2871"/>
      <c r="F6" s="2872"/>
      <c r="G6" s="2873"/>
      <c r="H6" s="2848"/>
      <c r="I6" s="2849"/>
      <c r="J6" s="3643">
        <v>1</v>
      </c>
      <c r="K6" s="3644"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43"/>
      <c r="K7" s="3645"/>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60" t="s">
        <v>2351</v>
      </c>
      <c r="C8" s="3661"/>
      <c r="D8" s="2889" t="s">
        <v>2352</v>
      </c>
      <c r="E8" s="2890" t="s">
        <v>2353</v>
      </c>
      <c r="F8" s="2891" t="s">
        <v>2354</v>
      </c>
      <c r="G8" s="2892"/>
      <c r="H8" s="2848"/>
      <c r="I8" s="2849"/>
      <c r="J8" s="3643"/>
      <c r="K8" s="3645"/>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60" t="s">
        <v>2357</v>
      </c>
      <c r="C9" s="3661"/>
      <c r="D9" s="2889">
        <f>ROUND(D6*E9,0)</f>
        <v>0</v>
      </c>
      <c r="E9" s="2893"/>
      <c r="F9" s="2894" t="s">
        <v>2358</v>
      </c>
      <c r="G9" s="2873"/>
      <c r="H9" s="2848"/>
      <c r="I9" s="2849"/>
      <c r="J9" s="3643"/>
      <c r="K9" s="3645"/>
      <c r="L9" s="2883" t="s">
        <v>2359</v>
      </c>
      <c r="M9" s="2884"/>
      <c r="N9" s="2860"/>
      <c r="O9" s="2885"/>
      <c r="P9" s="2885"/>
      <c r="Q9" s="2886">
        <v>365</v>
      </c>
      <c r="R9" s="2887">
        <f t="shared" si="0"/>
        <v>0</v>
      </c>
      <c r="S9" s="2841"/>
      <c r="T9" s="2841"/>
      <c r="U9" s="2841"/>
      <c r="V9" s="2849"/>
    </row>
    <row r="10" spans="1:22" s="2853" customFormat="1" ht="13.15" customHeight="1">
      <c r="A10" s="2888">
        <v>2</v>
      </c>
      <c r="B10" s="3660" t="s">
        <v>2360</v>
      </c>
      <c r="C10" s="3661"/>
      <c r="D10" s="2889">
        <f>ROUND(D6*E10,0)</f>
        <v>0</v>
      </c>
      <c r="E10" s="2893"/>
      <c r="F10" s="2894" t="s">
        <v>2361</v>
      </c>
      <c r="G10" s="2873"/>
      <c r="H10" s="2848"/>
      <c r="I10" s="2849"/>
      <c r="J10" s="3643"/>
      <c r="K10" s="3645"/>
      <c r="L10" s="2883" t="s">
        <v>2362</v>
      </c>
      <c r="M10" s="2884"/>
      <c r="N10" s="2860"/>
      <c r="O10" s="2885"/>
      <c r="P10" s="2885"/>
      <c r="Q10" s="2886">
        <v>365</v>
      </c>
      <c r="R10" s="2887">
        <f t="shared" si="0"/>
        <v>0</v>
      </c>
      <c r="S10" s="2841"/>
      <c r="T10" s="2841"/>
      <c r="U10" s="2841"/>
      <c r="V10" s="2849"/>
    </row>
    <row r="11" spans="1:22" s="2853" customFormat="1" ht="13.15" customHeight="1">
      <c r="A11" s="2888">
        <v>3</v>
      </c>
      <c r="B11" s="3660" t="s">
        <v>2363</v>
      </c>
      <c r="C11" s="3661"/>
      <c r="D11" s="2889">
        <f>D12+D14+D15+D16</f>
        <v>0</v>
      </c>
      <c r="E11" s="2895" t="e">
        <f>D11/D6</f>
        <v>#DIV/0!</v>
      </c>
      <c r="F11" s="2891"/>
      <c r="G11" s="2892"/>
      <c r="H11" s="2848"/>
      <c r="I11" s="2849"/>
      <c r="J11" s="3643"/>
      <c r="K11" s="3645"/>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3" t="s">
        <v>2366</v>
      </c>
      <c r="C12" s="3654"/>
      <c r="D12" s="2897">
        <f>ROUND(D13*1.2%*(1-30%),0)</f>
        <v>0</v>
      </c>
      <c r="E12" s="2898">
        <v>1.2E-2</v>
      </c>
      <c r="F12" s="2891" t="s">
        <v>2367</v>
      </c>
      <c r="G12" s="2892"/>
      <c r="H12" s="2848"/>
      <c r="I12" s="2849"/>
      <c r="J12" s="3643"/>
      <c r="K12" s="3645"/>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43"/>
      <c r="K13" s="3645"/>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3" t="s">
        <v>2372</v>
      </c>
      <c r="C14" s="3654"/>
      <c r="D14" s="2897">
        <f>ROUND(E14*B5/10000,0)</f>
        <v>0</v>
      </c>
      <c r="E14" s="2886"/>
      <c r="F14" s="2891" t="s">
        <v>2373</v>
      </c>
      <c r="G14" s="2892"/>
      <c r="H14" s="2848"/>
      <c r="I14" s="2849"/>
      <c r="J14" s="3643"/>
      <c r="K14" s="3646"/>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3" t="s">
        <v>2376</v>
      </c>
      <c r="C15" s="3654"/>
      <c r="D15" s="2897">
        <f>ROUND(D6*E15,0)</f>
        <v>0</v>
      </c>
      <c r="E15" s="2898">
        <v>5.5E-2</v>
      </c>
      <c r="F15" s="2891" t="s">
        <v>2377</v>
      </c>
      <c r="G15" s="2873"/>
      <c r="H15" s="2848"/>
      <c r="I15" s="2849"/>
      <c r="J15" s="3643">
        <v>2</v>
      </c>
      <c r="K15" s="3644"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3" t="s">
        <v>2385</v>
      </c>
      <c r="C16" s="3654"/>
      <c r="D16" s="2908">
        <f>D6*E16</f>
        <v>0</v>
      </c>
      <c r="E16" s="2909"/>
      <c r="F16" s="2894" t="s">
        <v>2386</v>
      </c>
      <c r="G16" s="2873"/>
      <c r="H16" s="2848"/>
      <c r="I16" s="2849"/>
      <c r="J16" s="3643"/>
      <c r="K16" s="3645"/>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55" t="s">
        <v>2388</v>
      </c>
      <c r="C17" s="3656"/>
      <c r="D17" s="2911">
        <f>ROUND(D6*E17,0)</f>
        <v>0</v>
      </c>
      <c r="E17" s="2912"/>
      <c r="F17" s="2913" t="s">
        <v>2389</v>
      </c>
      <c r="G17" s="2873"/>
      <c r="H17" s="2848"/>
      <c r="I17" s="2849"/>
      <c r="J17" s="3643"/>
      <c r="K17" s="3645"/>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43"/>
      <c r="K18" s="3645"/>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43"/>
      <c r="K19" s="3646"/>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3">
        <v>3</v>
      </c>
      <c r="K20" s="3644"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43"/>
      <c r="K21" s="3645"/>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43"/>
      <c r="K22" s="3645"/>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43"/>
      <c r="K23" s="3645"/>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43"/>
      <c r="K24" s="3646"/>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47">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48"/>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9" t="s">
        <v>2321</v>
      </c>
      <c r="K32" s="3650"/>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51" t="s">
        <v>2331</v>
      </c>
      <c r="K33" s="3652"/>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51" t="s">
        <v>2333</v>
      </c>
      <c r="K34" s="3652"/>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43">
        <v>1</v>
      </c>
      <c r="K36" s="3644"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43"/>
      <c r="K37" s="3645"/>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3"/>
      <c r="K38" s="3645"/>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43"/>
      <c r="K39" s="3645"/>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43"/>
      <c r="K40" s="3646"/>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47">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48"/>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1" sqref="E1"/>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5445</v>
      </c>
      <c r="C2" s="1872" t="s">
        <v>1651</v>
      </c>
      <c r="D2" s="1873" t="s">
        <v>1652</v>
      </c>
      <c r="E2" s="2607">
        <f>SUM(E6:E13)</f>
        <v>7284.24</v>
      </c>
      <c r="F2" s="2707"/>
      <c r="G2" s="1489"/>
      <c r="H2" s="1489"/>
      <c r="I2" s="1489"/>
      <c r="J2" s="1489"/>
      <c r="K2" s="1489"/>
      <c r="L2" s="1489"/>
      <c r="M2" s="1489"/>
      <c r="N2" s="1489"/>
      <c r="O2" s="1489"/>
      <c r="P2" s="1489"/>
      <c r="Q2" s="1489"/>
      <c r="R2" s="1489"/>
      <c r="S2" s="1489"/>
    </row>
    <row r="3" spans="1:22" ht="15.75">
      <c r="A3" s="1870" t="s">
        <v>686</v>
      </c>
      <c r="B3" s="2601">
        <f ca="1">ROUND(B2*10000/E2,0)</f>
        <v>7475</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2" t="s">
        <v>1654</v>
      </c>
      <c r="C5" s="3663"/>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5445</v>
      </c>
      <c r="C6" s="1872" t="s">
        <v>1651</v>
      </c>
      <c r="D6" s="2709"/>
      <c r="E6" s="2606">
        <f>IF(OR(A6=0,F6="否"),0,'数据-取费表'!K6+'数据-取费表'!S6)</f>
        <v>7284.24</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1" sqref="E1"/>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7284.24</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2" t="s">
        <v>1667</v>
      </c>
      <c r="D4" s="3683"/>
      <c r="E4" s="3684" t="s">
        <v>1668</v>
      </c>
      <c r="F4" s="3685"/>
      <c r="G4" s="3682" t="s">
        <v>1669</v>
      </c>
      <c r="H4" s="3683"/>
      <c r="I4" s="3682" t="s">
        <v>1670</v>
      </c>
      <c r="J4" s="3683"/>
      <c r="K4" s="1889" t="s">
        <v>1671</v>
      </c>
      <c r="L4" s="2715"/>
      <c r="M4" s="2716"/>
      <c r="N4" s="2716"/>
      <c r="O4" s="2716"/>
      <c r="P4" s="3686" t="s">
        <v>1672</v>
      </c>
      <c r="Q4" s="3687"/>
      <c r="R4" s="3692" t="s">
        <v>1668</v>
      </c>
      <c r="S4" s="3693"/>
      <c r="T4" s="3692" t="s">
        <v>1669</v>
      </c>
      <c r="U4" s="3693"/>
      <c r="V4" s="3698" t="s">
        <v>1670</v>
      </c>
      <c r="W4" s="3698"/>
      <c r="X4" s="1355"/>
      <c r="Y4" s="3692" t="s">
        <v>1672</v>
      </c>
      <c r="Z4" s="3693"/>
      <c r="AA4" s="3679" t="s">
        <v>1668</v>
      </c>
      <c r="AB4" s="3679" t="s">
        <v>1669</v>
      </c>
      <c r="AC4" s="3679" t="s">
        <v>1670</v>
      </c>
    </row>
    <row r="5" spans="1:29" ht="15">
      <c r="A5" s="358"/>
      <c r="B5" s="359"/>
      <c r="C5" s="3701" t="s">
        <v>1673</v>
      </c>
      <c r="D5" s="3702"/>
      <c r="E5" s="3708" t="s">
        <v>1674</v>
      </c>
      <c r="F5" s="3709"/>
      <c r="G5" s="3701" t="s">
        <v>1675</v>
      </c>
      <c r="H5" s="3702"/>
      <c r="I5" s="3701" t="s">
        <v>1676</v>
      </c>
      <c r="J5" s="3702"/>
      <c r="K5" s="1890"/>
      <c r="L5" s="2715"/>
      <c r="M5" s="2716"/>
      <c r="N5" s="2716"/>
      <c r="O5" s="2716"/>
      <c r="P5" s="3688"/>
      <c r="Q5" s="3689"/>
      <c r="R5" s="3694"/>
      <c r="S5" s="3695"/>
      <c r="T5" s="3694"/>
      <c r="U5" s="3695"/>
      <c r="V5" s="3698"/>
      <c r="W5" s="3698"/>
      <c r="X5" s="1355"/>
      <c r="Y5" s="3694"/>
      <c r="Z5" s="3695"/>
      <c r="AA5" s="3680"/>
      <c r="AB5" s="3680"/>
      <c r="AC5" s="3680"/>
    </row>
    <row r="6" spans="1:29" ht="15.75" thickBot="1">
      <c r="A6" s="360"/>
      <c r="B6" s="361"/>
      <c r="C6" s="3699" t="s">
        <v>1677</v>
      </c>
      <c r="D6" s="3700"/>
      <c r="E6" s="3706" t="s">
        <v>1677</v>
      </c>
      <c r="F6" s="3707"/>
      <c r="G6" s="3699" t="s">
        <v>1677</v>
      </c>
      <c r="H6" s="3700"/>
      <c r="I6" s="3699" t="s">
        <v>1677</v>
      </c>
      <c r="J6" s="3700"/>
      <c r="K6" s="1890" t="s">
        <v>1678</v>
      </c>
      <c r="L6" s="2715"/>
      <c r="M6" s="2716"/>
      <c r="N6" s="2716"/>
      <c r="O6" s="2716"/>
      <c r="P6" s="3690"/>
      <c r="Q6" s="3691"/>
      <c r="R6" s="3694"/>
      <c r="S6" s="3695"/>
      <c r="T6" s="3696"/>
      <c r="U6" s="3697"/>
      <c r="V6" s="3698"/>
      <c r="W6" s="3698"/>
      <c r="X6" s="1355"/>
      <c r="Y6" s="3696"/>
      <c r="Z6" s="3697"/>
      <c r="AA6" s="3681"/>
      <c r="AB6" s="3681"/>
      <c r="AC6" s="3681"/>
    </row>
    <row r="7" spans="1:29" s="108" customFormat="1" ht="15.75" thickBot="1">
      <c r="A7" s="362" t="s">
        <v>1679</v>
      </c>
      <c r="B7" s="363"/>
      <c r="C7" s="364">
        <f>'数据-取费表'!B2</f>
        <v>45135</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03" t="s">
        <v>1680</v>
      </c>
      <c r="Q7" s="3705"/>
      <c r="R7" s="701" t="s">
        <v>20</v>
      </c>
      <c r="S7" s="702">
        <f t="shared" ref="S7:S15" si="0">F7</f>
        <v>0</v>
      </c>
      <c r="T7" s="701" t="s">
        <v>20</v>
      </c>
      <c r="U7" s="702">
        <f t="shared" ref="U7:U15" si="1">H7</f>
        <v>0</v>
      </c>
      <c r="V7" s="701" t="s">
        <v>20</v>
      </c>
      <c r="W7" s="702">
        <f t="shared" ref="W7:W15" si="2">J7</f>
        <v>0</v>
      </c>
      <c r="X7" s="703"/>
      <c r="Y7" s="3703" t="s">
        <v>1680</v>
      </c>
      <c r="Z7" s="3704"/>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03" t="s">
        <v>1683</v>
      </c>
      <c r="Q8" s="3704"/>
      <c r="R8" s="701" t="s">
        <v>20</v>
      </c>
      <c r="S8" s="702">
        <f t="shared" si="0"/>
        <v>100</v>
      </c>
      <c r="T8" s="701" t="s">
        <v>20</v>
      </c>
      <c r="U8" s="702">
        <f t="shared" si="1"/>
        <v>100</v>
      </c>
      <c r="V8" s="701" t="s">
        <v>20</v>
      </c>
      <c r="W8" s="702">
        <f t="shared" si="2"/>
        <v>100</v>
      </c>
      <c r="X8" s="703"/>
      <c r="Y8" s="3703" t="s">
        <v>1683</v>
      </c>
      <c r="Z8" s="3704"/>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8"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8"/>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8"/>
      <c r="Q11" s="1343" t="str">
        <f t="shared" si="6"/>
        <v>容积率</v>
      </c>
      <c r="R11" s="701" t="s">
        <v>18</v>
      </c>
      <c r="S11" s="702" t="e">
        <f t="shared" si="0"/>
        <v>#N/A</v>
      </c>
      <c r="T11" s="701" t="s">
        <v>18</v>
      </c>
      <c r="U11" s="702" t="e">
        <f t="shared" si="1"/>
        <v>#N/A</v>
      </c>
      <c r="V11" s="701" t="s">
        <v>18</v>
      </c>
      <c r="W11" s="702" t="e">
        <f t="shared" si="2"/>
        <v>#N/A</v>
      </c>
      <c r="X11" s="703"/>
      <c r="Y11" s="354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8"/>
      <c r="Q12" s="1343">
        <f t="shared" si="6"/>
        <v>111</v>
      </c>
      <c r="R12" s="701" t="s">
        <v>18</v>
      </c>
      <c r="S12" s="702">
        <f t="shared" si="0"/>
        <v>100</v>
      </c>
      <c r="T12" s="701" t="s">
        <v>18</v>
      </c>
      <c r="U12" s="702">
        <f t="shared" si="1"/>
        <v>100</v>
      </c>
      <c r="V12" s="701" t="s">
        <v>18</v>
      </c>
      <c r="W12" s="702">
        <f t="shared" si="2"/>
        <v>100</v>
      </c>
      <c r="X12" s="703"/>
      <c r="Y12" s="354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8"/>
      <c r="Q13" s="1343">
        <f t="shared" si="6"/>
        <v>111</v>
      </c>
      <c r="R13" s="701" t="s">
        <v>18</v>
      </c>
      <c r="S13" s="702">
        <f t="shared" si="0"/>
        <v>100</v>
      </c>
      <c r="T13" s="701" t="s">
        <v>18</v>
      </c>
      <c r="U13" s="702">
        <f t="shared" si="1"/>
        <v>100</v>
      </c>
      <c r="V13" s="701" t="s">
        <v>18</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8"/>
      <c r="Q14" s="1343">
        <f t="shared" si="6"/>
        <v>111</v>
      </c>
      <c r="R14" s="701" t="s">
        <v>18</v>
      </c>
      <c r="S14" s="702">
        <f t="shared" si="0"/>
        <v>100</v>
      </c>
      <c r="T14" s="701" t="s">
        <v>18</v>
      </c>
      <c r="U14" s="702">
        <f t="shared" si="1"/>
        <v>100</v>
      </c>
      <c r="V14" s="701" t="s">
        <v>18</v>
      </c>
      <c r="W14" s="702">
        <f t="shared" si="2"/>
        <v>100</v>
      </c>
      <c r="X14" s="703"/>
      <c r="Y14" s="3542"/>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76" t="s">
        <v>1691</v>
      </c>
      <c r="Q15" s="1352" t="str">
        <f t="shared" si="6"/>
        <v>居住社区成熟度</v>
      </c>
      <c r="R15" s="705" t="s">
        <v>18</v>
      </c>
      <c r="S15" s="706">
        <f t="shared" si="0"/>
        <v>100</v>
      </c>
      <c r="T15" s="705" t="s">
        <v>18</v>
      </c>
      <c r="U15" s="706">
        <f t="shared" si="1"/>
        <v>100</v>
      </c>
      <c r="V15" s="705" t="s">
        <v>18</v>
      </c>
      <c r="W15" s="706">
        <f t="shared" si="2"/>
        <v>100</v>
      </c>
      <c r="X15" s="1355"/>
      <c r="Y15" s="3669"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77"/>
      <c r="Q16" s="1352"/>
      <c r="R16" s="705"/>
      <c r="S16" s="706"/>
      <c r="T16" s="705"/>
      <c r="U16" s="706"/>
      <c r="V16" s="705"/>
      <c r="W16" s="706"/>
      <c r="X16" s="1355"/>
      <c r="Y16" s="3670"/>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77"/>
      <c r="Q17" s="1352" t="str">
        <f>B17</f>
        <v>交通便捷度</v>
      </c>
      <c r="R17" s="705" t="s">
        <v>18</v>
      </c>
      <c r="S17" s="706">
        <f>F17</f>
        <v>100</v>
      </c>
      <c r="T17" s="705" t="s">
        <v>18</v>
      </c>
      <c r="U17" s="706">
        <f>H17</f>
        <v>100</v>
      </c>
      <c r="V17" s="705" t="s">
        <v>18</v>
      </c>
      <c r="W17" s="706">
        <f>J17</f>
        <v>100</v>
      </c>
      <c r="X17" s="1355"/>
      <c r="Y17" s="3670"/>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77"/>
      <c r="Q18" s="1352"/>
      <c r="R18" s="705"/>
      <c r="S18" s="706"/>
      <c r="T18" s="705"/>
      <c r="U18" s="706"/>
      <c r="V18" s="705"/>
      <c r="W18" s="706"/>
      <c r="X18" s="1355"/>
      <c r="Y18" s="3670"/>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77"/>
      <c r="Q19" s="1352" t="str">
        <f>B19</f>
        <v>公共配套设施</v>
      </c>
      <c r="R19" s="705" t="s">
        <v>18</v>
      </c>
      <c r="S19" s="706">
        <f>F19</f>
        <v>100</v>
      </c>
      <c r="T19" s="705" t="s">
        <v>18</v>
      </c>
      <c r="U19" s="706">
        <f>H19</f>
        <v>100</v>
      </c>
      <c r="V19" s="705" t="s">
        <v>18</v>
      </c>
      <c r="W19" s="706">
        <f>J19</f>
        <v>100</v>
      </c>
      <c r="X19" s="1355"/>
      <c r="Y19" s="3670"/>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77"/>
      <c r="Q20" s="1352"/>
      <c r="R20" s="705"/>
      <c r="S20" s="706"/>
      <c r="T20" s="705"/>
      <c r="U20" s="706"/>
      <c r="V20" s="705"/>
      <c r="W20" s="706"/>
      <c r="X20" s="1355"/>
      <c r="Y20" s="3670"/>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77"/>
      <c r="Q21" s="1352" t="str">
        <f>B21</f>
        <v>基础设施水平</v>
      </c>
      <c r="R21" s="705" t="s">
        <v>14</v>
      </c>
      <c r="S21" s="706">
        <f>F21</f>
        <v>100</v>
      </c>
      <c r="T21" s="705" t="s">
        <v>14</v>
      </c>
      <c r="U21" s="706">
        <f>H21</f>
        <v>100</v>
      </c>
      <c r="V21" s="705" t="s">
        <v>14</v>
      </c>
      <c r="W21" s="706">
        <f>J21</f>
        <v>100</v>
      </c>
      <c r="X21" s="1355"/>
      <c r="Y21" s="367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77"/>
      <c r="Q22" s="1352"/>
      <c r="R22" s="705"/>
      <c r="S22" s="706"/>
      <c r="T22" s="705"/>
      <c r="U22" s="706"/>
      <c r="V22" s="705"/>
      <c r="W22" s="706"/>
      <c r="X22" s="1355"/>
      <c r="Y22" s="3670"/>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77"/>
      <c r="Q23" s="1352" t="str">
        <f>B23</f>
        <v>自然及人文环境</v>
      </c>
      <c r="R23" s="705" t="s">
        <v>18</v>
      </c>
      <c r="S23" s="706">
        <f>F23</f>
        <v>100</v>
      </c>
      <c r="T23" s="705" t="s">
        <v>18</v>
      </c>
      <c r="U23" s="706">
        <f>H23</f>
        <v>100</v>
      </c>
      <c r="V23" s="705" t="s">
        <v>18</v>
      </c>
      <c r="W23" s="706">
        <f>J23</f>
        <v>100</v>
      </c>
      <c r="X23" s="1355"/>
      <c r="Y23" s="3670"/>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77"/>
      <c r="Q24" s="1352"/>
      <c r="R24" s="705"/>
      <c r="S24" s="706"/>
      <c r="T24" s="705"/>
      <c r="U24" s="706"/>
      <c r="V24" s="705"/>
      <c r="W24" s="706"/>
      <c r="X24" s="1355"/>
      <c r="Y24" s="3670"/>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77"/>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70"/>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77"/>
      <c r="Q26" s="1352" t="str">
        <f t="shared" si="11"/>
        <v>朝向</v>
      </c>
      <c r="R26" s="705" t="s">
        <v>18</v>
      </c>
      <c r="S26" s="706">
        <f t="shared" si="12"/>
        <v>100</v>
      </c>
      <c r="T26" s="705" t="s">
        <v>18</v>
      </c>
      <c r="U26" s="706">
        <f t="shared" si="13"/>
        <v>100</v>
      </c>
      <c r="V26" s="705" t="s">
        <v>18</v>
      </c>
      <c r="W26" s="706">
        <f t="shared" si="14"/>
        <v>100</v>
      </c>
      <c r="X26" s="1355"/>
      <c r="Y26" s="3670"/>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77"/>
      <c r="Q27" s="1343">
        <f t="shared" si="11"/>
        <v>111</v>
      </c>
      <c r="R27" s="701" t="s">
        <v>18</v>
      </c>
      <c r="S27" s="702">
        <f t="shared" si="12"/>
        <v>100</v>
      </c>
      <c r="T27" s="701" t="s">
        <v>18</v>
      </c>
      <c r="U27" s="702">
        <f t="shared" si="13"/>
        <v>100</v>
      </c>
      <c r="V27" s="701" t="s">
        <v>18</v>
      </c>
      <c r="W27" s="702">
        <f t="shared" si="14"/>
        <v>100</v>
      </c>
      <c r="X27" s="703"/>
      <c r="Y27" s="3670"/>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77"/>
      <c r="Q28" s="1352">
        <f t="shared" si="11"/>
        <v>111</v>
      </c>
      <c r="R28" s="705" t="s">
        <v>18</v>
      </c>
      <c r="S28" s="706">
        <f t="shared" si="12"/>
        <v>100</v>
      </c>
      <c r="T28" s="705" t="s">
        <v>18</v>
      </c>
      <c r="U28" s="706">
        <f t="shared" si="13"/>
        <v>100</v>
      </c>
      <c r="V28" s="705" t="s">
        <v>18</v>
      </c>
      <c r="W28" s="706">
        <f t="shared" si="14"/>
        <v>100</v>
      </c>
      <c r="X28" s="1355"/>
      <c r="Y28" s="3670"/>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77"/>
      <c r="Q29" s="1352">
        <f t="shared" si="11"/>
        <v>111</v>
      </c>
      <c r="R29" s="705" t="s">
        <v>18</v>
      </c>
      <c r="S29" s="706">
        <f t="shared" si="12"/>
        <v>100</v>
      </c>
      <c r="T29" s="705" t="s">
        <v>18</v>
      </c>
      <c r="U29" s="706">
        <f t="shared" si="13"/>
        <v>100</v>
      </c>
      <c r="V29" s="705" t="s">
        <v>18</v>
      </c>
      <c r="W29" s="706">
        <f t="shared" si="14"/>
        <v>100</v>
      </c>
      <c r="X29" s="1355"/>
      <c r="Y29" s="3670"/>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77"/>
      <c r="Q30" s="1352">
        <f t="shared" si="11"/>
        <v>111</v>
      </c>
      <c r="R30" s="705" t="s">
        <v>18</v>
      </c>
      <c r="S30" s="706">
        <f t="shared" si="12"/>
        <v>100</v>
      </c>
      <c r="T30" s="705" t="s">
        <v>18</v>
      </c>
      <c r="U30" s="706">
        <f t="shared" si="13"/>
        <v>100</v>
      </c>
      <c r="V30" s="705" t="s">
        <v>18</v>
      </c>
      <c r="W30" s="706">
        <f t="shared" si="14"/>
        <v>100</v>
      </c>
      <c r="X30" s="1355"/>
      <c r="Y30" s="3670"/>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77"/>
      <c r="Q31" s="1352">
        <f t="shared" si="11"/>
        <v>111</v>
      </c>
      <c r="R31" s="705" t="s">
        <v>18</v>
      </c>
      <c r="S31" s="706">
        <f t="shared" si="12"/>
        <v>100</v>
      </c>
      <c r="T31" s="705" t="s">
        <v>18</v>
      </c>
      <c r="U31" s="706">
        <f t="shared" si="13"/>
        <v>100</v>
      </c>
      <c r="V31" s="705" t="s">
        <v>18</v>
      </c>
      <c r="W31" s="706">
        <f t="shared" si="14"/>
        <v>100</v>
      </c>
      <c r="X31" s="1355"/>
      <c r="Y31" s="3670"/>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71" t="s">
        <v>1696</v>
      </c>
      <c r="Q32" s="1352" t="str">
        <f t="shared" si="11"/>
        <v>建筑类型</v>
      </c>
      <c r="R32" s="705" t="s">
        <v>18</v>
      </c>
      <c r="S32" s="706">
        <f t="shared" si="12"/>
        <v>100</v>
      </c>
      <c r="T32" s="705" t="s">
        <v>18</v>
      </c>
      <c r="U32" s="706">
        <f t="shared" si="13"/>
        <v>100</v>
      </c>
      <c r="V32" s="705" t="s">
        <v>18</v>
      </c>
      <c r="W32" s="706">
        <f t="shared" si="14"/>
        <v>100</v>
      </c>
      <c r="X32" s="1355"/>
      <c r="Y32" s="3674"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72"/>
      <c r="Q33" s="707" t="str">
        <f t="shared" si="11"/>
        <v>项目建筑规模</v>
      </c>
      <c r="R33" s="708" t="s">
        <v>18</v>
      </c>
      <c r="S33" s="709" t="e">
        <f t="shared" si="12"/>
        <v>#N/A</v>
      </c>
      <c r="T33" s="708" t="s">
        <v>18</v>
      </c>
      <c r="U33" s="709" t="e">
        <f t="shared" si="13"/>
        <v>#N/A</v>
      </c>
      <c r="V33" s="708" t="s">
        <v>18</v>
      </c>
      <c r="W33" s="709" t="e">
        <f t="shared" si="14"/>
        <v>#N/A</v>
      </c>
      <c r="X33" s="710"/>
      <c r="Y33" s="3674"/>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72"/>
      <c r="Q34" s="1352" t="str">
        <f t="shared" si="11"/>
        <v>建筑结构</v>
      </c>
      <c r="R34" s="705" t="s">
        <v>18</v>
      </c>
      <c r="S34" s="706">
        <f t="shared" si="12"/>
        <v>100</v>
      </c>
      <c r="T34" s="705" t="s">
        <v>18</v>
      </c>
      <c r="U34" s="706">
        <f t="shared" si="13"/>
        <v>100</v>
      </c>
      <c r="V34" s="705" t="s">
        <v>18</v>
      </c>
      <c r="W34" s="706">
        <f t="shared" si="14"/>
        <v>100</v>
      </c>
      <c r="X34" s="1355"/>
      <c r="Y34" s="3674"/>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72"/>
      <c r="Q35" s="1352" t="str">
        <f t="shared" si="11"/>
        <v>建筑品质</v>
      </c>
      <c r="R35" s="705" t="s">
        <v>18</v>
      </c>
      <c r="S35" s="706">
        <f t="shared" si="12"/>
        <v>100</v>
      </c>
      <c r="T35" s="705" t="s">
        <v>18</v>
      </c>
      <c r="U35" s="706">
        <f t="shared" si="13"/>
        <v>100</v>
      </c>
      <c r="V35" s="705" t="s">
        <v>18</v>
      </c>
      <c r="W35" s="706">
        <f t="shared" si="14"/>
        <v>100</v>
      </c>
      <c r="X35" s="1355"/>
      <c r="Y35" s="3674"/>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72"/>
      <c r="Q36" s="1352" t="str">
        <f t="shared" si="11"/>
        <v>公共部分装修</v>
      </c>
      <c r="R36" s="705" t="s">
        <v>18</v>
      </c>
      <c r="S36" s="706">
        <f t="shared" si="12"/>
        <v>100</v>
      </c>
      <c r="T36" s="705" t="s">
        <v>18</v>
      </c>
      <c r="U36" s="706">
        <f t="shared" si="13"/>
        <v>100</v>
      </c>
      <c r="V36" s="705" t="s">
        <v>18</v>
      </c>
      <c r="W36" s="706">
        <f t="shared" si="14"/>
        <v>100</v>
      </c>
      <c r="X36" s="1355"/>
      <c r="Y36" s="3674"/>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72"/>
      <c r="Q37" s="1343" t="str">
        <f t="shared" si="11"/>
        <v>成新度</v>
      </c>
      <c r="R37" s="701" t="s">
        <v>18</v>
      </c>
      <c r="S37" s="702" t="e">
        <f t="shared" si="12"/>
        <v>#N/A</v>
      </c>
      <c r="T37" s="701" t="s">
        <v>18</v>
      </c>
      <c r="U37" s="702" t="e">
        <f t="shared" si="13"/>
        <v>#N/A</v>
      </c>
      <c r="V37" s="701" t="s">
        <v>18</v>
      </c>
      <c r="W37" s="702" t="e">
        <f t="shared" si="14"/>
        <v>#N/A</v>
      </c>
      <c r="X37" s="703"/>
      <c r="Y37" s="3674"/>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72" t="s">
        <v>1696</v>
      </c>
      <c r="Q38" s="1352" t="str">
        <f t="shared" si="11"/>
        <v>物业管理</v>
      </c>
      <c r="R38" s="705" t="s">
        <v>18</v>
      </c>
      <c r="S38" s="706">
        <f t="shared" si="12"/>
        <v>100</v>
      </c>
      <c r="T38" s="705" t="s">
        <v>18</v>
      </c>
      <c r="U38" s="706">
        <f t="shared" si="13"/>
        <v>100</v>
      </c>
      <c r="V38" s="705" t="s">
        <v>18</v>
      </c>
      <c r="W38" s="706">
        <f t="shared" si="14"/>
        <v>100</v>
      </c>
      <c r="X38" s="1355"/>
      <c r="Y38" s="3674"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72"/>
      <c r="Q39" s="1352" t="str">
        <f t="shared" si="11"/>
        <v>市政基础设施</v>
      </c>
      <c r="R39" s="705" t="s">
        <v>18</v>
      </c>
      <c r="S39" s="706">
        <f t="shared" si="12"/>
        <v>100</v>
      </c>
      <c r="T39" s="705" t="s">
        <v>18</v>
      </c>
      <c r="U39" s="706">
        <f t="shared" si="13"/>
        <v>100</v>
      </c>
      <c r="V39" s="705" t="s">
        <v>18</v>
      </c>
      <c r="W39" s="706">
        <f t="shared" si="14"/>
        <v>100</v>
      </c>
      <c r="X39" s="1355"/>
      <c r="Y39" s="3674"/>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72"/>
      <c r="Q40" s="1352" t="str">
        <f t="shared" si="11"/>
        <v>房型</v>
      </c>
      <c r="R40" s="705" t="s">
        <v>18</v>
      </c>
      <c r="S40" s="706">
        <f t="shared" si="12"/>
        <v>100</v>
      </c>
      <c r="T40" s="705" t="s">
        <v>18</v>
      </c>
      <c r="U40" s="706">
        <f t="shared" si="13"/>
        <v>100</v>
      </c>
      <c r="V40" s="705" t="s">
        <v>18</v>
      </c>
      <c r="W40" s="706">
        <f t="shared" si="14"/>
        <v>100</v>
      </c>
      <c r="X40" s="1355"/>
      <c r="Y40" s="3674"/>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72"/>
      <c r="Q41" s="707" t="str">
        <f t="shared" si="11"/>
        <v>单套/主力户型建筑面积</v>
      </c>
      <c r="R41" s="708" t="s">
        <v>18</v>
      </c>
      <c r="S41" s="709">
        <f t="shared" si="12"/>
        <v>100</v>
      </c>
      <c r="T41" s="708" t="s">
        <v>18</v>
      </c>
      <c r="U41" s="709">
        <f t="shared" si="13"/>
        <v>100</v>
      </c>
      <c r="V41" s="708" t="s">
        <v>18</v>
      </c>
      <c r="W41" s="709">
        <f t="shared" si="14"/>
        <v>100</v>
      </c>
      <c r="X41" s="710"/>
      <c r="Y41" s="3674"/>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72"/>
      <c r="Q42" s="1352" t="str">
        <f t="shared" si="11"/>
        <v>内部装修</v>
      </c>
      <c r="R42" s="705" t="s">
        <v>18</v>
      </c>
      <c r="S42" s="706">
        <f t="shared" si="12"/>
        <v>100</v>
      </c>
      <c r="T42" s="705" t="s">
        <v>18</v>
      </c>
      <c r="U42" s="706">
        <f t="shared" si="13"/>
        <v>100</v>
      </c>
      <c r="V42" s="705" t="s">
        <v>18</v>
      </c>
      <c r="W42" s="706">
        <f t="shared" si="14"/>
        <v>100</v>
      </c>
      <c r="X42" s="1355"/>
      <c r="Y42" s="3674"/>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72"/>
      <c r="Q43" s="1352" t="str">
        <f t="shared" si="11"/>
        <v>内部装修维护情况</v>
      </c>
      <c r="R43" s="705" t="s">
        <v>18</v>
      </c>
      <c r="S43" s="706">
        <f t="shared" si="12"/>
        <v>100</v>
      </c>
      <c r="T43" s="705" t="s">
        <v>18</v>
      </c>
      <c r="U43" s="706">
        <f t="shared" si="13"/>
        <v>100</v>
      </c>
      <c r="V43" s="705" t="s">
        <v>18</v>
      </c>
      <c r="W43" s="706">
        <f t="shared" si="14"/>
        <v>100</v>
      </c>
      <c r="X43" s="1355"/>
      <c r="Y43" s="3674"/>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72"/>
      <c r="Q44" s="1343">
        <f t="shared" si="11"/>
        <v>111</v>
      </c>
      <c r="R44" s="701" t="s">
        <v>18</v>
      </c>
      <c r="S44" s="702">
        <f t="shared" si="12"/>
        <v>100</v>
      </c>
      <c r="T44" s="701" t="s">
        <v>18</v>
      </c>
      <c r="U44" s="702">
        <f t="shared" si="13"/>
        <v>100</v>
      </c>
      <c r="V44" s="701" t="s">
        <v>18</v>
      </c>
      <c r="W44" s="702">
        <f t="shared" si="14"/>
        <v>100</v>
      </c>
      <c r="X44" s="703"/>
      <c r="Y44" s="3674"/>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72"/>
      <c r="Q45" s="1352">
        <f t="shared" si="11"/>
        <v>111</v>
      </c>
      <c r="R45" s="705" t="s">
        <v>18</v>
      </c>
      <c r="S45" s="706">
        <f t="shared" si="12"/>
        <v>100</v>
      </c>
      <c r="T45" s="705" t="s">
        <v>18</v>
      </c>
      <c r="U45" s="706">
        <f t="shared" si="13"/>
        <v>100</v>
      </c>
      <c r="V45" s="705" t="s">
        <v>18</v>
      </c>
      <c r="W45" s="706">
        <f t="shared" si="14"/>
        <v>100</v>
      </c>
      <c r="X45" s="1355"/>
      <c r="Y45" s="3674"/>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73"/>
      <c r="Q46" s="1352">
        <f t="shared" si="11"/>
        <v>111</v>
      </c>
      <c r="R46" s="705" t="s">
        <v>17</v>
      </c>
      <c r="S46" s="706">
        <f t="shared" si="12"/>
        <v>100</v>
      </c>
      <c r="T46" s="705" t="s">
        <v>17</v>
      </c>
      <c r="U46" s="706">
        <f t="shared" si="13"/>
        <v>100</v>
      </c>
      <c r="V46" s="705" t="s">
        <v>17</v>
      </c>
      <c r="W46" s="706">
        <f t="shared" si="14"/>
        <v>100</v>
      </c>
      <c r="X46" s="1355"/>
      <c r="Y46" s="3675"/>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67" t="str">
        <f>A47</f>
        <v>成交单价（元/平方米）</v>
      </c>
      <c r="Q47" s="3667"/>
      <c r="R47" s="3668">
        <f>E47</f>
        <v>0</v>
      </c>
      <c r="S47" s="3668"/>
      <c r="T47" s="3668">
        <f>G47</f>
        <v>0</v>
      </c>
      <c r="U47" s="3668"/>
      <c r="V47" s="3668">
        <f>I47</f>
        <v>0</v>
      </c>
      <c r="W47" s="3668"/>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67" t="str">
        <f>A48</f>
        <v>比较价值（元/平方米）</v>
      </c>
      <c r="Q48" s="3667"/>
      <c r="R48" s="3668" t="e">
        <f>IF(F1="售价",ROUND(PRODUCT(R47,AA7:AA46),0),ROUND(PRODUCT(R47,AA7:AA46),1))</f>
        <v>#DIV/0!</v>
      </c>
      <c r="S48" s="3668"/>
      <c r="T48" s="3668" t="e">
        <f>IF(F1="售价",ROUND(PRODUCT(T47,AB7:AB46),0),ROUND(PRODUCT(T47,AB7:AB46),1))</f>
        <v>#DIV/0!</v>
      </c>
      <c r="U48" s="3668"/>
      <c r="V48" s="3668" t="e">
        <f>IF(F1="售价",ROUND(PRODUCT(V47,AC7:AC46),0),ROUND(PRODUCT(V47,AC7:AC46),1))</f>
        <v>#DIV/0!</v>
      </c>
      <c r="W48" s="3668"/>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64" t="str">
        <f>A49</f>
        <v>估价对象XX用房的比较价值（楼面单价，元/平方米）</v>
      </c>
      <c r="Q49" s="3665"/>
      <c r="R49" s="3666" t="e">
        <f>IF(F1="售价",ROUND(IF(D48="简单平均",AVERAGE(R48:V48),R48*F48+T48*H48+V48*J48),0),ROUND(IF(D48="简单平均",AVERAGE(R48:V48),R48*F48+T48*H48+V48*J48),1))</f>
        <v>#DIV/0!</v>
      </c>
      <c r="S49" s="3666"/>
      <c r="T49" s="3666"/>
      <c r="U49" s="3666"/>
      <c r="V49" s="3666"/>
      <c r="W49" s="366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2023-7</v>
      </c>
      <c r="D58" s="1185">
        <f>EDATE(C58,-1)</f>
        <v>45078</v>
      </c>
      <c r="E58" s="1185">
        <f>EDATE(D58,-1)</f>
        <v>45047</v>
      </c>
      <c r="F58" s="1185">
        <f t="shared" ref="F58:O58" si="19">EDATE(E58,-1)</f>
        <v>45017</v>
      </c>
      <c r="G58" s="1185">
        <f t="shared" si="19"/>
        <v>44986</v>
      </c>
      <c r="H58" s="1185">
        <f t="shared" si="19"/>
        <v>44958</v>
      </c>
      <c r="I58" s="1185">
        <f t="shared" si="19"/>
        <v>44927</v>
      </c>
      <c r="J58" s="1185">
        <f t="shared" si="19"/>
        <v>44896</v>
      </c>
      <c r="K58" s="1185">
        <f t="shared" si="19"/>
        <v>44866</v>
      </c>
      <c r="L58" s="1185">
        <f t="shared" si="19"/>
        <v>44835</v>
      </c>
      <c r="M58" s="1185">
        <f t="shared" si="19"/>
        <v>44805</v>
      </c>
      <c r="N58" s="1185">
        <f t="shared" si="19"/>
        <v>44774</v>
      </c>
      <c r="O58" s="1185">
        <f t="shared" si="19"/>
        <v>44743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7284.24</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92" t="s">
        <v>1771</v>
      </c>
      <c r="S4" s="3693"/>
      <c r="T4" s="3692" t="s">
        <v>1772</v>
      </c>
      <c r="U4" s="3693"/>
      <c r="V4" s="3698" t="s">
        <v>1773</v>
      </c>
      <c r="W4" s="3698"/>
      <c r="X4" s="1355"/>
      <c r="Y4" s="3692" t="s">
        <v>1775</v>
      </c>
      <c r="Z4" s="3693"/>
      <c r="AA4" s="3679" t="s">
        <v>1771</v>
      </c>
      <c r="AB4" s="3698" t="s">
        <v>1772</v>
      </c>
      <c r="AC4" s="3679" t="s">
        <v>1773</v>
      </c>
    </row>
    <row r="5" spans="1:29" ht="15">
      <c r="A5" s="358"/>
      <c r="B5" s="359"/>
      <c r="C5" s="3701" t="s">
        <v>1673</v>
      </c>
      <c r="D5" s="3702"/>
      <c r="E5" s="3708" t="s">
        <v>1674</v>
      </c>
      <c r="F5" s="3709"/>
      <c r="G5" s="3701" t="s">
        <v>1675</v>
      </c>
      <c r="H5" s="3702"/>
      <c r="I5" s="3701" t="s">
        <v>1676</v>
      </c>
      <c r="J5" s="3702"/>
      <c r="K5" s="559"/>
      <c r="L5" s="2715"/>
      <c r="M5" s="2716"/>
      <c r="N5" s="2716"/>
      <c r="O5" s="2716"/>
      <c r="P5" s="3688"/>
      <c r="Q5" s="3689"/>
      <c r="R5" s="3694"/>
      <c r="S5" s="3695"/>
      <c r="T5" s="3694"/>
      <c r="U5" s="3695"/>
      <c r="V5" s="3698"/>
      <c r="W5" s="3698"/>
      <c r="X5" s="1355"/>
      <c r="Y5" s="3694"/>
      <c r="Z5" s="3695"/>
      <c r="AA5" s="3680"/>
      <c r="AB5" s="3698"/>
      <c r="AC5" s="3680"/>
    </row>
    <row r="6" spans="1:29" ht="15.75" thickBot="1">
      <c r="A6" s="360"/>
      <c r="B6" s="361"/>
      <c r="C6" s="3699" t="s">
        <v>1677</v>
      </c>
      <c r="D6" s="3700"/>
      <c r="E6" s="3706" t="s">
        <v>1677</v>
      </c>
      <c r="F6" s="3707"/>
      <c r="G6" s="3699" t="s">
        <v>1677</v>
      </c>
      <c r="H6" s="3700"/>
      <c r="I6" s="3699" t="s">
        <v>1677</v>
      </c>
      <c r="J6" s="3700"/>
      <c r="K6" s="559" t="s">
        <v>1678</v>
      </c>
      <c r="L6" s="2715"/>
      <c r="M6" s="2716"/>
      <c r="N6" s="2716"/>
      <c r="O6" s="2716"/>
      <c r="P6" s="3690"/>
      <c r="Q6" s="3691"/>
      <c r="R6" s="3694"/>
      <c r="S6" s="3695"/>
      <c r="T6" s="3696"/>
      <c r="U6" s="3697"/>
      <c r="V6" s="3698"/>
      <c r="W6" s="3698"/>
      <c r="X6" s="1355"/>
      <c r="Y6" s="3696"/>
      <c r="Z6" s="3697"/>
      <c r="AA6" s="3681"/>
      <c r="AB6" s="3698"/>
      <c r="AC6" s="3681"/>
    </row>
    <row r="7" spans="1:29" s="108" customFormat="1" ht="15.75" thickBot="1">
      <c r="A7" s="362" t="s">
        <v>1679</v>
      </c>
      <c r="B7" s="363"/>
      <c r="C7" s="364">
        <f>'数据-取费表'!B2</f>
        <v>45135</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03" t="s">
        <v>1680</v>
      </c>
      <c r="Q7" s="3705"/>
      <c r="R7" s="701" t="s">
        <v>14</v>
      </c>
      <c r="S7" s="702">
        <f t="shared" ref="S7:S15" si="0">F7</f>
        <v>0</v>
      </c>
      <c r="T7" s="701" t="s">
        <v>14</v>
      </c>
      <c r="U7" s="702">
        <f t="shared" ref="U7:U15" si="1">H7</f>
        <v>0</v>
      </c>
      <c r="V7" s="701" t="s">
        <v>14</v>
      </c>
      <c r="W7" s="702">
        <f t="shared" ref="W7:W15" si="2">J7</f>
        <v>0</v>
      </c>
      <c r="X7" s="703"/>
      <c r="Y7" s="3703" t="s">
        <v>1680</v>
      </c>
      <c r="Z7" s="3704"/>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03" t="s">
        <v>1683</v>
      </c>
      <c r="Q8" s="3704"/>
      <c r="R8" s="701" t="s">
        <v>14</v>
      </c>
      <c r="S8" s="702">
        <f t="shared" si="0"/>
        <v>100</v>
      </c>
      <c r="T8" s="701" t="s">
        <v>14</v>
      </c>
      <c r="U8" s="702">
        <f t="shared" si="1"/>
        <v>100</v>
      </c>
      <c r="V8" s="701" t="s">
        <v>14</v>
      </c>
      <c r="W8" s="702">
        <f t="shared" si="2"/>
        <v>100</v>
      </c>
      <c r="X8" s="703"/>
      <c r="Y8" s="3703" t="s">
        <v>1683</v>
      </c>
      <c r="Z8" s="3704"/>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8"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8"/>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8"/>
      <c r="Q11" s="1343" t="str">
        <f t="shared" si="6"/>
        <v>容积率</v>
      </c>
      <c r="R11" s="701" t="s">
        <v>14</v>
      </c>
      <c r="S11" s="702" t="e">
        <f t="shared" si="0"/>
        <v>#N/A</v>
      </c>
      <c r="T11" s="701" t="s">
        <v>14</v>
      </c>
      <c r="U11" s="702" t="e">
        <f t="shared" si="1"/>
        <v>#N/A</v>
      </c>
      <c r="V11" s="701" t="s">
        <v>14</v>
      </c>
      <c r="W11" s="702" t="e">
        <f t="shared" si="2"/>
        <v>#N/A</v>
      </c>
      <c r="X11" s="703"/>
      <c r="Y11" s="354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8"/>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8"/>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8"/>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76" t="s">
        <v>1691</v>
      </c>
      <c r="Q15" s="1352" t="str">
        <f t="shared" si="6"/>
        <v>商业繁华度</v>
      </c>
      <c r="R15" s="705" t="s">
        <v>14</v>
      </c>
      <c r="S15" s="706">
        <f t="shared" si="0"/>
        <v>100</v>
      </c>
      <c r="T15" s="705" t="s">
        <v>14</v>
      </c>
      <c r="U15" s="706">
        <f t="shared" si="1"/>
        <v>100</v>
      </c>
      <c r="V15" s="705" t="s">
        <v>14</v>
      </c>
      <c r="W15" s="706">
        <f t="shared" si="2"/>
        <v>100</v>
      </c>
      <c r="X15" s="1355"/>
      <c r="Y15" s="3669"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77"/>
      <c r="Q16" s="1352"/>
      <c r="R16" s="705"/>
      <c r="S16" s="706"/>
      <c r="T16" s="705"/>
      <c r="U16" s="706"/>
      <c r="V16" s="705"/>
      <c r="W16" s="706"/>
      <c r="X16" s="1355"/>
      <c r="Y16" s="3670"/>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77"/>
      <c r="Q17" s="1352" t="str">
        <f>B17</f>
        <v>交通便捷度</v>
      </c>
      <c r="R17" s="705" t="s">
        <v>14</v>
      </c>
      <c r="S17" s="706">
        <f>F17</f>
        <v>100</v>
      </c>
      <c r="T17" s="705" t="s">
        <v>14</v>
      </c>
      <c r="U17" s="706">
        <f>H17</f>
        <v>100</v>
      </c>
      <c r="V17" s="705" t="s">
        <v>14</v>
      </c>
      <c r="W17" s="706">
        <f>J17</f>
        <v>100</v>
      </c>
      <c r="X17" s="1355"/>
      <c r="Y17" s="367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77"/>
      <c r="Q18" s="1352"/>
      <c r="R18" s="705"/>
      <c r="S18" s="706"/>
      <c r="T18" s="705"/>
      <c r="U18" s="706"/>
      <c r="V18" s="705"/>
      <c r="W18" s="706"/>
      <c r="X18" s="1355"/>
      <c r="Y18" s="3670"/>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77"/>
      <c r="Q19" s="1352" t="str">
        <f>B19</f>
        <v>公共配套设施</v>
      </c>
      <c r="R19" s="705" t="s">
        <v>14</v>
      </c>
      <c r="S19" s="706">
        <f>F19</f>
        <v>100</v>
      </c>
      <c r="T19" s="705" t="s">
        <v>14</v>
      </c>
      <c r="U19" s="706">
        <f>H19</f>
        <v>100</v>
      </c>
      <c r="V19" s="705" t="s">
        <v>14</v>
      </c>
      <c r="W19" s="706">
        <f>J19</f>
        <v>100</v>
      </c>
      <c r="X19" s="1355"/>
      <c r="Y19" s="367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77"/>
      <c r="Q20" s="1352"/>
      <c r="R20" s="705"/>
      <c r="S20" s="706"/>
      <c r="T20" s="705"/>
      <c r="U20" s="706"/>
      <c r="V20" s="705"/>
      <c r="W20" s="706"/>
      <c r="X20" s="1355"/>
      <c r="Y20" s="3670"/>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77"/>
      <c r="Q21" s="1352" t="str">
        <f>B21</f>
        <v>基础设施水平</v>
      </c>
      <c r="R21" s="705" t="s">
        <v>14</v>
      </c>
      <c r="S21" s="706">
        <f>F21</f>
        <v>100</v>
      </c>
      <c r="T21" s="705" t="s">
        <v>14</v>
      </c>
      <c r="U21" s="706">
        <f>H21</f>
        <v>100</v>
      </c>
      <c r="V21" s="705" t="s">
        <v>14</v>
      </c>
      <c r="W21" s="706">
        <f>J21</f>
        <v>100</v>
      </c>
      <c r="X21" s="1355"/>
      <c r="Y21" s="367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77"/>
      <c r="Q22" s="1352"/>
      <c r="R22" s="705"/>
      <c r="S22" s="706"/>
      <c r="T22" s="705"/>
      <c r="U22" s="706"/>
      <c r="V22" s="705"/>
      <c r="W22" s="706"/>
      <c r="X22" s="1355"/>
      <c r="Y22" s="3670"/>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77"/>
      <c r="Q23" s="1352" t="str">
        <f>B23</f>
        <v>自然及人文环境</v>
      </c>
      <c r="R23" s="705" t="s">
        <v>14</v>
      </c>
      <c r="S23" s="706">
        <f>F23</f>
        <v>100</v>
      </c>
      <c r="T23" s="705" t="s">
        <v>14</v>
      </c>
      <c r="U23" s="706">
        <f>H23</f>
        <v>100</v>
      </c>
      <c r="V23" s="705" t="s">
        <v>14</v>
      </c>
      <c r="W23" s="706">
        <f>J23</f>
        <v>100</v>
      </c>
      <c r="X23" s="1355"/>
      <c r="Y23" s="3670"/>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77"/>
      <c r="Q24" s="1352"/>
      <c r="R24" s="705"/>
      <c r="S24" s="706"/>
      <c r="T24" s="705"/>
      <c r="U24" s="706"/>
      <c r="V24" s="705"/>
      <c r="W24" s="706"/>
      <c r="X24" s="1355"/>
      <c r="Y24" s="3670"/>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77"/>
      <c r="Q25" s="1352" t="str">
        <f t="shared" ref="Q25:Q46" si="11">B25</f>
        <v>临街状况</v>
      </c>
      <c r="R25" s="705" t="s">
        <v>14</v>
      </c>
      <c r="S25" s="706">
        <f>F25</f>
        <v>100</v>
      </c>
      <c r="T25" s="705" t="s">
        <v>14</v>
      </c>
      <c r="U25" s="706">
        <f>H25</f>
        <v>100</v>
      </c>
      <c r="V25" s="705" t="s">
        <v>14</v>
      </c>
      <c r="W25" s="706">
        <f>J25</f>
        <v>100</v>
      </c>
      <c r="X25" s="1355"/>
      <c r="Y25" s="3670"/>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77"/>
      <c r="Q26" s="1352" t="str">
        <f t="shared" si="11"/>
        <v>平面位置/可视性</v>
      </c>
      <c r="R26" s="705" t="s">
        <v>14</v>
      </c>
      <c r="S26" s="706">
        <f>F26</f>
        <v>100</v>
      </c>
      <c r="T26" s="705" t="s">
        <v>14</v>
      </c>
      <c r="U26" s="706">
        <f>H26</f>
        <v>100</v>
      </c>
      <c r="V26" s="705" t="s">
        <v>14</v>
      </c>
      <c r="W26" s="706">
        <f>J26</f>
        <v>100</v>
      </c>
      <c r="X26" s="1355"/>
      <c r="Y26" s="3670"/>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77"/>
      <c r="Q27" s="1343" t="str">
        <f t="shared" si="11"/>
        <v>人流量</v>
      </c>
      <c r="R27" s="701" t="s">
        <v>14</v>
      </c>
      <c r="S27" s="702">
        <f>F27</f>
        <v>100</v>
      </c>
      <c r="T27" s="701" t="s">
        <v>14</v>
      </c>
      <c r="U27" s="702">
        <f>H27</f>
        <v>100</v>
      </c>
      <c r="V27" s="701" t="s">
        <v>14</v>
      </c>
      <c r="W27" s="702">
        <f>J27</f>
        <v>100</v>
      </c>
      <c r="X27" s="703"/>
      <c r="Y27" s="3670"/>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77"/>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70"/>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77"/>
      <c r="Q29" s="1352">
        <f t="shared" si="11"/>
        <v>111</v>
      </c>
      <c r="R29" s="705" t="s">
        <v>14</v>
      </c>
      <c r="S29" s="706">
        <f t="shared" si="12"/>
        <v>100</v>
      </c>
      <c r="T29" s="705" t="s">
        <v>14</v>
      </c>
      <c r="U29" s="706">
        <f t="shared" si="13"/>
        <v>100</v>
      </c>
      <c r="V29" s="705" t="s">
        <v>14</v>
      </c>
      <c r="W29" s="706">
        <f t="shared" si="14"/>
        <v>100</v>
      </c>
      <c r="X29" s="1355"/>
      <c r="Y29" s="3670"/>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77"/>
      <c r="Q30" s="1352">
        <f t="shared" si="11"/>
        <v>111</v>
      </c>
      <c r="R30" s="705" t="s">
        <v>14</v>
      </c>
      <c r="S30" s="706">
        <f t="shared" si="12"/>
        <v>100</v>
      </c>
      <c r="T30" s="705" t="s">
        <v>14</v>
      </c>
      <c r="U30" s="706">
        <f t="shared" si="13"/>
        <v>100</v>
      </c>
      <c r="V30" s="705" t="s">
        <v>14</v>
      </c>
      <c r="W30" s="706">
        <f t="shared" si="14"/>
        <v>100</v>
      </c>
      <c r="X30" s="1355"/>
      <c r="Y30" s="3670"/>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77"/>
      <c r="Q31" s="1352">
        <f t="shared" si="11"/>
        <v>111</v>
      </c>
      <c r="R31" s="705" t="s">
        <v>14</v>
      </c>
      <c r="S31" s="706">
        <f t="shared" si="12"/>
        <v>100</v>
      </c>
      <c r="T31" s="705" t="s">
        <v>14</v>
      </c>
      <c r="U31" s="706">
        <f t="shared" si="13"/>
        <v>100</v>
      </c>
      <c r="V31" s="705" t="s">
        <v>14</v>
      </c>
      <c r="W31" s="706">
        <f t="shared" si="14"/>
        <v>100</v>
      </c>
      <c r="X31" s="1355"/>
      <c r="Y31" s="3670"/>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71" t="s">
        <v>1696</v>
      </c>
      <c r="Q32" s="1352" t="str">
        <f t="shared" si="11"/>
        <v>商业类型</v>
      </c>
      <c r="R32" s="705" t="s">
        <v>14</v>
      </c>
      <c r="S32" s="706">
        <f t="shared" si="12"/>
        <v>100</v>
      </c>
      <c r="T32" s="705" t="s">
        <v>14</v>
      </c>
      <c r="U32" s="706">
        <f t="shared" si="13"/>
        <v>100</v>
      </c>
      <c r="V32" s="705" t="s">
        <v>14</v>
      </c>
      <c r="W32" s="706">
        <f t="shared" si="14"/>
        <v>100</v>
      </c>
      <c r="X32" s="1355"/>
      <c r="Y32" s="3674"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72"/>
      <c r="Q33" s="707" t="str">
        <f t="shared" si="11"/>
        <v>项目建筑规模</v>
      </c>
      <c r="R33" s="708" t="s">
        <v>14</v>
      </c>
      <c r="S33" s="709" t="e">
        <f t="shared" si="12"/>
        <v>#N/A</v>
      </c>
      <c r="T33" s="708" t="s">
        <v>14</v>
      </c>
      <c r="U33" s="709" t="e">
        <f t="shared" si="13"/>
        <v>#N/A</v>
      </c>
      <c r="V33" s="708" t="s">
        <v>14</v>
      </c>
      <c r="W33" s="709" t="e">
        <f t="shared" si="14"/>
        <v>#N/A</v>
      </c>
      <c r="X33" s="710"/>
      <c r="Y33" s="3674"/>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72"/>
      <c r="Q34" s="1352" t="str">
        <f t="shared" si="11"/>
        <v>建筑结构</v>
      </c>
      <c r="R34" s="705" t="s">
        <v>14</v>
      </c>
      <c r="S34" s="706">
        <f t="shared" si="12"/>
        <v>100</v>
      </c>
      <c r="T34" s="705" t="s">
        <v>14</v>
      </c>
      <c r="U34" s="706">
        <f t="shared" si="13"/>
        <v>100</v>
      </c>
      <c r="V34" s="705" t="s">
        <v>14</v>
      </c>
      <c r="W34" s="706">
        <f t="shared" si="14"/>
        <v>100</v>
      </c>
      <c r="X34" s="1355"/>
      <c r="Y34" s="3674"/>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72"/>
      <c r="Q35" s="1352" t="str">
        <f t="shared" si="11"/>
        <v>公共部分装修</v>
      </c>
      <c r="R35" s="705" t="s">
        <v>14</v>
      </c>
      <c r="S35" s="706">
        <f t="shared" si="12"/>
        <v>100</v>
      </c>
      <c r="T35" s="705" t="s">
        <v>14</v>
      </c>
      <c r="U35" s="706">
        <f t="shared" si="13"/>
        <v>100</v>
      </c>
      <c r="V35" s="705" t="s">
        <v>14</v>
      </c>
      <c r="W35" s="706">
        <f t="shared" si="14"/>
        <v>100</v>
      </c>
      <c r="X35" s="1355"/>
      <c r="Y35" s="3674"/>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72"/>
      <c r="Q36" s="1352" t="str">
        <f t="shared" si="11"/>
        <v>成新度</v>
      </c>
      <c r="R36" s="705" t="s">
        <v>14</v>
      </c>
      <c r="S36" s="706" t="e">
        <f t="shared" si="12"/>
        <v>#N/A</v>
      </c>
      <c r="T36" s="705" t="s">
        <v>14</v>
      </c>
      <c r="U36" s="706" t="e">
        <f t="shared" si="13"/>
        <v>#N/A</v>
      </c>
      <c r="V36" s="705" t="s">
        <v>14</v>
      </c>
      <c r="W36" s="706" t="e">
        <f t="shared" si="14"/>
        <v>#N/A</v>
      </c>
      <c r="X36" s="1355"/>
      <c r="Y36" s="3674"/>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72"/>
      <c r="Q37" s="1343" t="str">
        <f t="shared" si="11"/>
        <v>市政基础设施</v>
      </c>
      <c r="R37" s="701" t="s">
        <v>14</v>
      </c>
      <c r="S37" s="702">
        <f t="shared" si="12"/>
        <v>100</v>
      </c>
      <c r="T37" s="701" t="s">
        <v>14</v>
      </c>
      <c r="U37" s="702">
        <f t="shared" si="13"/>
        <v>100</v>
      </c>
      <c r="V37" s="701" t="s">
        <v>14</v>
      </c>
      <c r="W37" s="702">
        <f t="shared" si="14"/>
        <v>100</v>
      </c>
      <c r="X37" s="703"/>
      <c r="Y37" s="3674"/>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72" t="s">
        <v>1696</v>
      </c>
      <c r="Q38" s="1352" t="str">
        <f t="shared" si="11"/>
        <v>业态</v>
      </c>
      <c r="R38" s="705" t="s">
        <v>14</v>
      </c>
      <c r="S38" s="706">
        <f t="shared" si="12"/>
        <v>100</v>
      </c>
      <c r="T38" s="705" t="s">
        <v>14</v>
      </c>
      <c r="U38" s="706">
        <f t="shared" si="13"/>
        <v>100</v>
      </c>
      <c r="V38" s="705" t="s">
        <v>14</v>
      </c>
      <c r="W38" s="706">
        <f t="shared" si="14"/>
        <v>100</v>
      </c>
      <c r="X38" s="1355"/>
      <c r="Y38" s="3674"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72"/>
      <c r="Q39" s="1352" t="str">
        <f t="shared" si="11"/>
        <v>层高</v>
      </c>
      <c r="R39" s="705" t="s">
        <v>14</v>
      </c>
      <c r="S39" s="706">
        <f t="shared" si="12"/>
        <v>100</v>
      </c>
      <c r="T39" s="705" t="s">
        <v>14</v>
      </c>
      <c r="U39" s="706">
        <f t="shared" si="13"/>
        <v>100</v>
      </c>
      <c r="V39" s="705" t="s">
        <v>14</v>
      </c>
      <c r="W39" s="706">
        <f t="shared" si="14"/>
        <v>100</v>
      </c>
      <c r="X39" s="1355"/>
      <c r="Y39" s="3674"/>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72"/>
      <c r="Q40" s="1352" t="str">
        <f t="shared" si="11"/>
        <v>单套建筑面积</v>
      </c>
      <c r="R40" s="705" t="s">
        <v>14</v>
      </c>
      <c r="S40" s="706">
        <f t="shared" si="12"/>
        <v>100</v>
      </c>
      <c r="T40" s="705" t="s">
        <v>14</v>
      </c>
      <c r="U40" s="706">
        <f t="shared" si="13"/>
        <v>100</v>
      </c>
      <c r="V40" s="705" t="s">
        <v>14</v>
      </c>
      <c r="W40" s="706">
        <f t="shared" si="14"/>
        <v>100</v>
      </c>
      <c r="X40" s="1355"/>
      <c r="Y40" s="3674"/>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72"/>
      <c r="Q41" s="707" t="str">
        <f t="shared" si="11"/>
        <v>进深比</v>
      </c>
      <c r="R41" s="708" t="s">
        <v>14</v>
      </c>
      <c r="S41" s="709">
        <f t="shared" si="12"/>
        <v>100</v>
      </c>
      <c r="T41" s="708" t="s">
        <v>14</v>
      </c>
      <c r="U41" s="709">
        <f t="shared" si="13"/>
        <v>100</v>
      </c>
      <c r="V41" s="708" t="s">
        <v>14</v>
      </c>
      <c r="W41" s="709">
        <f t="shared" si="14"/>
        <v>100</v>
      </c>
      <c r="X41" s="710"/>
      <c r="Y41" s="3674"/>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72"/>
      <c r="Q42" s="1352" t="str">
        <f t="shared" si="11"/>
        <v>内部装修</v>
      </c>
      <c r="R42" s="705" t="s">
        <v>14</v>
      </c>
      <c r="S42" s="706">
        <f t="shared" si="12"/>
        <v>100</v>
      </c>
      <c r="T42" s="705" t="s">
        <v>14</v>
      </c>
      <c r="U42" s="706">
        <f t="shared" si="13"/>
        <v>100</v>
      </c>
      <c r="V42" s="705" t="s">
        <v>14</v>
      </c>
      <c r="W42" s="706">
        <f t="shared" si="14"/>
        <v>100</v>
      </c>
      <c r="X42" s="1355"/>
      <c r="Y42" s="3674"/>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72"/>
      <c r="Q43" s="1352" t="str">
        <f t="shared" si="11"/>
        <v>内部装修维护情况</v>
      </c>
      <c r="R43" s="705" t="s">
        <v>14</v>
      </c>
      <c r="S43" s="706">
        <f t="shared" si="12"/>
        <v>100</v>
      </c>
      <c r="T43" s="705" t="s">
        <v>14</v>
      </c>
      <c r="U43" s="706">
        <f t="shared" si="13"/>
        <v>100</v>
      </c>
      <c r="V43" s="705" t="s">
        <v>14</v>
      </c>
      <c r="W43" s="706">
        <f t="shared" si="14"/>
        <v>100</v>
      </c>
      <c r="X43" s="1355"/>
      <c r="Y43" s="3674"/>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72"/>
      <c r="Q44" s="1343">
        <f t="shared" si="11"/>
        <v>111</v>
      </c>
      <c r="R44" s="701" t="s">
        <v>14</v>
      </c>
      <c r="S44" s="702">
        <f t="shared" si="12"/>
        <v>100</v>
      </c>
      <c r="T44" s="701" t="s">
        <v>14</v>
      </c>
      <c r="U44" s="702">
        <f t="shared" si="13"/>
        <v>100</v>
      </c>
      <c r="V44" s="701" t="s">
        <v>14</v>
      </c>
      <c r="W44" s="702">
        <f t="shared" si="14"/>
        <v>100</v>
      </c>
      <c r="X44" s="703"/>
      <c r="Y44" s="3674"/>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72"/>
      <c r="Q45" s="1352">
        <f t="shared" si="11"/>
        <v>111</v>
      </c>
      <c r="R45" s="705" t="s">
        <v>14</v>
      </c>
      <c r="S45" s="706">
        <f t="shared" si="12"/>
        <v>100</v>
      </c>
      <c r="T45" s="705" t="s">
        <v>14</v>
      </c>
      <c r="U45" s="706">
        <f t="shared" si="13"/>
        <v>100</v>
      </c>
      <c r="V45" s="705" t="s">
        <v>14</v>
      </c>
      <c r="W45" s="706">
        <f t="shared" si="14"/>
        <v>100</v>
      </c>
      <c r="X45" s="1355"/>
      <c r="Y45" s="3674"/>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73"/>
      <c r="Q46" s="1352">
        <f t="shared" si="11"/>
        <v>111</v>
      </c>
      <c r="R46" s="705" t="s">
        <v>14</v>
      </c>
      <c r="S46" s="706">
        <f t="shared" si="12"/>
        <v>100</v>
      </c>
      <c r="T46" s="705" t="s">
        <v>14</v>
      </c>
      <c r="U46" s="706">
        <f t="shared" si="13"/>
        <v>100</v>
      </c>
      <c r="V46" s="705" t="s">
        <v>14</v>
      </c>
      <c r="W46" s="706">
        <f t="shared" si="14"/>
        <v>100</v>
      </c>
      <c r="X46" s="1355"/>
      <c r="Y46" s="3675"/>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67" t="str">
        <f>A47</f>
        <v>成交单价（元/平方米）</v>
      </c>
      <c r="Q47" s="3667"/>
      <c r="R47" s="3698">
        <f>E47</f>
        <v>0</v>
      </c>
      <c r="S47" s="3698"/>
      <c r="T47" s="3698">
        <f>G47</f>
        <v>0</v>
      </c>
      <c r="U47" s="3698"/>
      <c r="V47" s="3698">
        <f>I47</f>
        <v>0</v>
      </c>
      <c r="W47" s="3698"/>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67" t="str">
        <f>A48</f>
        <v>比较价值（元/平方米）</v>
      </c>
      <c r="Q48" s="3667"/>
      <c r="R48" s="3668" t="e">
        <f>IF(F1="售价",ROUND(PRODUCT(R47,AA7:AA46),0),ROUND(PRODUCT(R47,AA7:AA46),1))</f>
        <v>#DIV/0!</v>
      </c>
      <c r="S48" s="3668"/>
      <c r="T48" s="3668" t="e">
        <f>IF(F1="售价",ROUND(PRODUCT(T47,AB7:AB46),0),ROUND(PRODUCT(T47,AB7:AB46),1))</f>
        <v>#DIV/0!</v>
      </c>
      <c r="U48" s="3668"/>
      <c r="V48" s="3668" t="e">
        <f>IF(F1="售价",ROUND(PRODUCT(V47,AC7:AC46),0),ROUND(PRODUCT(V47,AC7:AC46),1))</f>
        <v>#DIV/0!</v>
      </c>
      <c r="W48" s="3668"/>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64" t="str">
        <f>A49</f>
        <v>估价对象XX用房的比较价值（楼面单价，元/平方米）</v>
      </c>
      <c r="Q49" s="3665"/>
      <c r="R49" s="3666" t="e">
        <f>IF(F1="售价",ROUND(IF(D48="简单平均",AVERAGE(R48:V48),R48*F48+T48*H48+V48*J48),0),ROUND(IF(D48="简单平均",AVERAGE(R48:V48),R48*F48+T48*H48+V48*J48),1))</f>
        <v>#DIV/0!</v>
      </c>
      <c r="S49" s="3666"/>
      <c r="T49" s="3666"/>
      <c r="U49" s="3666"/>
      <c r="V49" s="3666"/>
      <c r="W49" s="366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2023-7</v>
      </c>
      <c r="D58" s="1185">
        <f>EDATE(C58,-1)</f>
        <v>45078</v>
      </c>
      <c r="E58" s="1185">
        <f t="shared" ref="E58:N58" si="16">EDATE(D58,-1)</f>
        <v>45047</v>
      </c>
      <c r="F58" s="1185">
        <f t="shared" si="16"/>
        <v>45017</v>
      </c>
      <c r="G58" s="1185">
        <f t="shared" si="16"/>
        <v>44986</v>
      </c>
      <c r="H58" s="1185">
        <f t="shared" si="16"/>
        <v>44958</v>
      </c>
      <c r="I58" s="1185">
        <f t="shared" si="16"/>
        <v>44927</v>
      </c>
      <c r="J58" s="1185">
        <f t="shared" si="16"/>
        <v>44896</v>
      </c>
      <c r="K58" s="1185">
        <f t="shared" si="16"/>
        <v>44866</v>
      </c>
      <c r="L58" s="1185">
        <f t="shared" si="16"/>
        <v>44835</v>
      </c>
      <c r="M58" s="1185">
        <f t="shared" si="16"/>
        <v>44805</v>
      </c>
      <c r="N58" s="1185">
        <f t="shared" si="16"/>
        <v>44774</v>
      </c>
      <c r="O58" s="1185">
        <f>EDATE(N58,-1)</f>
        <v>44743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7284.24</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716" t="s">
        <v>1775</v>
      </c>
      <c r="Q4" s="3717"/>
      <c r="R4" s="3720" t="s">
        <v>1771</v>
      </c>
      <c r="S4" s="3721"/>
      <c r="T4" s="3720" t="s">
        <v>1772</v>
      </c>
      <c r="U4" s="3721"/>
      <c r="V4" s="3722" t="s">
        <v>1773</v>
      </c>
      <c r="W4" s="3722"/>
      <c r="X4" s="1958"/>
      <c r="Y4" s="3720" t="s">
        <v>1775</v>
      </c>
      <c r="Z4" s="3721"/>
      <c r="AA4" s="3724" t="s">
        <v>1771</v>
      </c>
      <c r="AB4" s="3724" t="s">
        <v>1772</v>
      </c>
      <c r="AC4" s="3713" t="s">
        <v>1773</v>
      </c>
    </row>
    <row r="5" spans="1:29" ht="15">
      <c r="A5" s="358"/>
      <c r="B5" s="359"/>
      <c r="C5" s="3701" t="s">
        <v>1673</v>
      </c>
      <c r="D5" s="3702"/>
      <c r="E5" s="3708" t="s">
        <v>1674</v>
      </c>
      <c r="F5" s="3709"/>
      <c r="G5" s="3701" t="s">
        <v>1675</v>
      </c>
      <c r="H5" s="3702"/>
      <c r="I5" s="3701" t="s">
        <v>1676</v>
      </c>
      <c r="J5" s="3702"/>
      <c r="K5" s="559"/>
      <c r="L5" s="2715"/>
      <c r="M5" s="2716"/>
      <c r="N5" s="2716"/>
      <c r="O5" s="2716"/>
      <c r="P5" s="3718"/>
      <c r="Q5" s="3689"/>
      <c r="R5" s="3694"/>
      <c r="S5" s="3695"/>
      <c r="T5" s="3694"/>
      <c r="U5" s="3695"/>
      <c r="V5" s="3698"/>
      <c r="W5" s="3698"/>
      <c r="X5" s="1355"/>
      <c r="Y5" s="3694"/>
      <c r="Z5" s="3695"/>
      <c r="AA5" s="3680"/>
      <c r="AB5" s="3680"/>
      <c r="AC5" s="3714"/>
    </row>
    <row r="6" spans="1:29" ht="15.75" thickBot="1">
      <c r="A6" s="360"/>
      <c r="B6" s="361"/>
      <c r="C6" s="3699" t="s">
        <v>1677</v>
      </c>
      <c r="D6" s="3700"/>
      <c r="E6" s="3706" t="s">
        <v>1677</v>
      </c>
      <c r="F6" s="3707"/>
      <c r="G6" s="3699" t="s">
        <v>1677</v>
      </c>
      <c r="H6" s="3700"/>
      <c r="I6" s="3699" t="s">
        <v>1677</v>
      </c>
      <c r="J6" s="3700"/>
      <c r="K6" s="559" t="s">
        <v>1678</v>
      </c>
      <c r="L6" s="2715"/>
      <c r="M6" s="2716"/>
      <c r="N6" s="2716"/>
      <c r="O6" s="2716"/>
      <c r="P6" s="3719"/>
      <c r="Q6" s="3691"/>
      <c r="R6" s="3694"/>
      <c r="S6" s="3695"/>
      <c r="T6" s="3696"/>
      <c r="U6" s="3697"/>
      <c r="V6" s="3698"/>
      <c r="W6" s="3698"/>
      <c r="X6" s="1355"/>
      <c r="Y6" s="3696"/>
      <c r="Z6" s="3697"/>
      <c r="AA6" s="3681"/>
      <c r="AB6" s="3681"/>
      <c r="AC6" s="3715"/>
    </row>
    <row r="7" spans="1:29" s="108" customFormat="1" ht="15.75" thickBot="1">
      <c r="A7" s="362" t="s">
        <v>1679</v>
      </c>
      <c r="B7" s="363"/>
      <c r="C7" s="364">
        <f>'数据-取费表'!B2</f>
        <v>45135</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3" t="s">
        <v>1680</v>
      </c>
      <c r="Q7" s="3705"/>
      <c r="R7" s="701" t="s">
        <v>14</v>
      </c>
      <c r="S7" s="702">
        <f t="shared" ref="S7:S15" si="0">F7</f>
        <v>0</v>
      </c>
      <c r="T7" s="701" t="s">
        <v>14</v>
      </c>
      <c r="U7" s="702">
        <f t="shared" ref="U7:U15" si="1">H7</f>
        <v>0</v>
      </c>
      <c r="V7" s="701" t="s">
        <v>14</v>
      </c>
      <c r="W7" s="702">
        <f t="shared" ref="W7:W15" si="2">J7</f>
        <v>0</v>
      </c>
      <c r="X7" s="703"/>
      <c r="Y7" s="3703" t="s">
        <v>1680</v>
      </c>
      <c r="Z7" s="3704"/>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3" t="s">
        <v>1683</v>
      </c>
      <c r="Q8" s="3704"/>
      <c r="R8" s="701" t="s">
        <v>14</v>
      </c>
      <c r="S8" s="702">
        <f t="shared" si="0"/>
        <v>100</v>
      </c>
      <c r="T8" s="701" t="s">
        <v>14</v>
      </c>
      <c r="U8" s="702">
        <f t="shared" si="1"/>
        <v>100</v>
      </c>
      <c r="V8" s="701" t="s">
        <v>14</v>
      </c>
      <c r="W8" s="702">
        <f t="shared" si="2"/>
        <v>100</v>
      </c>
      <c r="X8" s="703"/>
      <c r="Y8" s="3703" t="s">
        <v>1683</v>
      </c>
      <c r="Z8" s="3704"/>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8"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8"/>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8"/>
      <c r="Q11" s="1343" t="str">
        <f t="shared" si="6"/>
        <v>容积率</v>
      </c>
      <c r="R11" s="701" t="s">
        <v>14</v>
      </c>
      <c r="S11" s="702">
        <f t="shared" si="0"/>
        <v>100</v>
      </c>
      <c r="T11" s="701" t="s">
        <v>14</v>
      </c>
      <c r="U11" s="702">
        <f t="shared" si="1"/>
        <v>100</v>
      </c>
      <c r="V11" s="701" t="s">
        <v>14</v>
      </c>
      <c r="W11" s="702">
        <f t="shared" si="2"/>
        <v>100</v>
      </c>
      <c r="X11" s="703"/>
      <c r="Y11" s="354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8"/>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8"/>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8"/>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676" t="s">
        <v>1691</v>
      </c>
      <c r="Q15" s="1352" t="str">
        <f t="shared" si="6"/>
        <v>办公集聚程度</v>
      </c>
      <c r="R15" s="705" t="s">
        <v>14</v>
      </c>
      <c r="S15" s="706">
        <f t="shared" si="0"/>
        <v>100</v>
      </c>
      <c r="T15" s="705" t="s">
        <v>14</v>
      </c>
      <c r="U15" s="706">
        <f t="shared" si="1"/>
        <v>100</v>
      </c>
      <c r="V15" s="705" t="s">
        <v>14</v>
      </c>
      <c r="W15" s="706">
        <f t="shared" si="2"/>
        <v>100</v>
      </c>
      <c r="X15" s="1355"/>
      <c r="Y15" s="3669"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677"/>
      <c r="Q16" s="1352"/>
      <c r="R16" s="705"/>
      <c r="S16" s="706"/>
      <c r="T16" s="705"/>
      <c r="U16" s="706"/>
      <c r="V16" s="705"/>
      <c r="W16" s="706"/>
      <c r="X16" s="1355"/>
      <c r="Y16" s="3670"/>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677"/>
      <c r="Q17" s="1352" t="str">
        <f>B17</f>
        <v>交通便捷度</v>
      </c>
      <c r="R17" s="705" t="s">
        <v>14</v>
      </c>
      <c r="S17" s="706">
        <f>F17</f>
        <v>100</v>
      </c>
      <c r="T17" s="705" t="s">
        <v>14</v>
      </c>
      <c r="U17" s="706">
        <f>H17</f>
        <v>100</v>
      </c>
      <c r="V17" s="705" t="s">
        <v>14</v>
      </c>
      <c r="W17" s="706">
        <f>J17</f>
        <v>100</v>
      </c>
      <c r="X17" s="1355"/>
      <c r="Y17" s="3670"/>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677"/>
      <c r="Q18" s="1352"/>
      <c r="R18" s="705"/>
      <c r="S18" s="706"/>
      <c r="T18" s="705"/>
      <c r="U18" s="706"/>
      <c r="V18" s="705"/>
      <c r="W18" s="706"/>
      <c r="X18" s="1355"/>
      <c r="Y18" s="3670"/>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77"/>
      <c r="Q19" s="1352" t="str">
        <f>B19</f>
        <v>公共配套设施</v>
      </c>
      <c r="R19" s="705" t="s">
        <v>14</v>
      </c>
      <c r="S19" s="706">
        <f>F19</f>
        <v>100</v>
      </c>
      <c r="T19" s="705" t="s">
        <v>14</v>
      </c>
      <c r="U19" s="706">
        <f>H19</f>
        <v>100</v>
      </c>
      <c r="V19" s="705" t="s">
        <v>14</v>
      </c>
      <c r="W19" s="706">
        <f>J19</f>
        <v>100</v>
      </c>
      <c r="X19" s="1355"/>
      <c r="Y19" s="3670"/>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677"/>
      <c r="Q20" s="1352"/>
      <c r="R20" s="705"/>
      <c r="S20" s="706"/>
      <c r="T20" s="705"/>
      <c r="U20" s="706"/>
      <c r="V20" s="705"/>
      <c r="W20" s="706"/>
      <c r="X20" s="1355"/>
      <c r="Y20" s="3670"/>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77"/>
      <c r="Q21" s="1352" t="str">
        <f>B21</f>
        <v>基础设施水平</v>
      </c>
      <c r="R21" s="705" t="s">
        <v>14</v>
      </c>
      <c r="S21" s="706">
        <f>F21</f>
        <v>100</v>
      </c>
      <c r="T21" s="705" t="s">
        <v>14</v>
      </c>
      <c r="U21" s="706">
        <f>H21</f>
        <v>100</v>
      </c>
      <c r="V21" s="705" t="s">
        <v>14</v>
      </c>
      <c r="W21" s="706">
        <f>J21</f>
        <v>100</v>
      </c>
      <c r="X21" s="1355"/>
      <c r="Y21" s="3670"/>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677"/>
      <c r="Q22" s="1352"/>
      <c r="R22" s="705"/>
      <c r="S22" s="706"/>
      <c r="T22" s="705"/>
      <c r="U22" s="706"/>
      <c r="V22" s="705"/>
      <c r="W22" s="706"/>
      <c r="X22" s="1355"/>
      <c r="Y22" s="3670"/>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77"/>
      <c r="Q23" s="1352" t="str">
        <f>B23</f>
        <v>环境质量</v>
      </c>
      <c r="R23" s="705" t="s">
        <v>14</v>
      </c>
      <c r="S23" s="706">
        <f>F23</f>
        <v>100</v>
      </c>
      <c r="T23" s="705" t="s">
        <v>14</v>
      </c>
      <c r="U23" s="706">
        <f>H23</f>
        <v>100</v>
      </c>
      <c r="V23" s="705" t="s">
        <v>14</v>
      </c>
      <c r="W23" s="706">
        <f>J23</f>
        <v>100</v>
      </c>
      <c r="X23" s="1355"/>
      <c r="Y23" s="3670"/>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677"/>
      <c r="Q24" s="1352"/>
      <c r="R24" s="705"/>
      <c r="S24" s="706"/>
      <c r="T24" s="705"/>
      <c r="U24" s="706"/>
      <c r="V24" s="705"/>
      <c r="W24" s="706"/>
      <c r="X24" s="1355"/>
      <c r="Y24" s="3670"/>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77"/>
      <c r="Q25" s="1352" t="str">
        <f>B25</f>
        <v>毗邻道路的类型与等级</v>
      </c>
      <c r="R25" s="705" t="s">
        <v>14</v>
      </c>
      <c r="S25" s="706">
        <f>F25</f>
        <v>100</v>
      </c>
      <c r="T25" s="705" t="s">
        <v>14</v>
      </c>
      <c r="U25" s="706">
        <f>H25</f>
        <v>100</v>
      </c>
      <c r="V25" s="705" t="s">
        <v>14</v>
      </c>
      <c r="W25" s="706">
        <f>J25</f>
        <v>100</v>
      </c>
      <c r="X25" s="1355"/>
      <c r="Y25" s="3670"/>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77"/>
      <c r="Q26" s="1352"/>
      <c r="R26" s="705"/>
      <c r="S26" s="706"/>
      <c r="T26" s="705"/>
      <c r="U26" s="706"/>
      <c r="V26" s="705"/>
      <c r="W26" s="706"/>
      <c r="X26" s="1355"/>
      <c r="Y26" s="3670"/>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677"/>
      <c r="Q27" s="1352" t="str">
        <f t="shared" ref="Q27:Q47" si="11">B27</f>
        <v>楼层</v>
      </c>
      <c r="R27" s="705" t="s">
        <v>14</v>
      </c>
      <c r="S27" s="706">
        <f>F27</f>
        <v>100</v>
      </c>
      <c r="T27" s="705" t="s">
        <v>14</v>
      </c>
      <c r="U27" s="706">
        <f>H27</f>
        <v>100</v>
      </c>
      <c r="V27" s="705" t="s">
        <v>14</v>
      </c>
      <c r="W27" s="706">
        <f>J27</f>
        <v>100</v>
      </c>
      <c r="X27" s="1355"/>
      <c r="Y27" s="3670"/>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77"/>
      <c r="Q28" s="1343" t="str">
        <f t="shared" si="11"/>
        <v>朝向</v>
      </c>
      <c r="R28" s="701" t="s">
        <v>14</v>
      </c>
      <c r="S28" s="702">
        <f>F28</f>
        <v>100</v>
      </c>
      <c r="T28" s="701" t="s">
        <v>14</v>
      </c>
      <c r="U28" s="702">
        <f>H28</f>
        <v>100</v>
      </c>
      <c r="V28" s="701" t="s">
        <v>14</v>
      </c>
      <c r="W28" s="702">
        <f>J28</f>
        <v>100</v>
      </c>
      <c r="X28" s="703"/>
      <c r="Y28" s="3670"/>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77"/>
      <c r="Q29" s="1352">
        <f t="shared" si="11"/>
        <v>111</v>
      </c>
      <c r="R29" s="705" t="s">
        <v>14</v>
      </c>
      <c r="S29" s="706">
        <f t="shared" ref="S29:S47" si="12">F29</f>
        <v>100</v>
      </c>
      <c r="T29" s="705" t="s">
        <v>14</v>
      </c>
      <c r="U29" s="706">
        <f t="shared" ref="U29:U47" si="13">H29</f>
        <v>100</v>
      </c>
      <c r="V29" s="705" t="s">
        <v>14</v>
      </c>
      <c r="W29" s="706">
        <f t="shared" ref="W29:W47" si="14">J29</f>
        <v>100</v>
      </c>
      <c r="X29" s="1355"/>
      <c r="Y29" s="3670"/>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77"/>
      <c r="Q30" s="1352">
        <f t="shared" si="11"/>
        <v>111</v>
      </c>
      <c r="R30" s="705" t="s">
        <v>14</v>
      </c>
      <c r="S30" s="706">
        <f t="shared" si="12"/>
        <v>100</v>
      </c>
      <c r="T30" s="705" t="s">
        <v>14</v>
      </c>
      <c r="U30" s="706">
        <f t="shared" si="13"/>
        <v>100</v>
      </c>
      <c r="V30" s="705" t="s">
        <v>14</v>
      </c>
      <c r="W30" s="706">
        <f t="shared" si="14"/>
        <v>100</v>
      </c>
      <c r="X30" s="1355"/>
      <c r="Y30" s="3670"/>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77"/>
      <c r="Q31" s="1352">
        <f t="shared" si="11"/>
        <v>111</v>
      </c>
      <c r="R31" s="705" t="s">
        <v>14</v>
      </c>
      <c r="S31" s="706">
        <f t="shared" si="12"/>
        <v>100</v>
      </c>
      <c r="T31" s="705" t="s">
        <v>14</v>
      </c>
      <c r="U31" s="706">
        <f t="shared" si="13"/>
        <v>100</v>
      </c>
      <c r="V31" s="705" t="s">
        <v>14</v>
      </c>
      <c r="W31" s="706">
        <f t="shared" si="14"/>
        <v>100</v>
      </c>
      <c r="X31" s="1355"/>
      <c r="Y31" s="3670"/>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77"/>
      <c r="Q32" s="1352">
        <f t="shared" si="11"/>
        <v>111</v>
      </c>
      <c r="R32" s="705" t="s">
        <v>14</v>
      </c>
      <c r="S32" s="706">
        <f t="shared" si="12"/>
        <v>100</v>
      </c>
      <c r="T32" s="705" t="s">
        <v>14</v>
      </c>
      <c r="U32" s="706">
        <f t="shared" si="13"/>
        <v>100</v>
      </c>
      <c r="V32" s="705" t="s">
        <v>14</v>
      </c>
      <c r="W32" s="706">
        <f t="shared" si="14"/>
        <v>100</v>
      </c>
      <c r="X32" s="1355"/>
      <c r="Y32" s="3670"/>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71" t="s">
        <v>1696</v>
      </c>
      <c r="Q33" s="1352" t="str">
        <f t="shared" si="11"/>
        <v>建筑类型</v>
      </c>
      <c r="R33" s="705" t="s">
        <v>14</v>
      </c>
      <c r="S33" s="706">
        <f t="shared" si="12"/>
        <v>100</v>
      </c>
      <c r="T33" s="705" t="s">
        <v>14</v>
      </c>
      <c r="U33" s="706">
        <f t="shared" si="13"/>
        <v>100</v>
      </c>
      <c r="V33" s="705" t="s">
        <v>14</v>
      </c>
      <c r="W33" s="706">
        <f t="shared" si="14"/>
        <v>100</v>
      </c>
      <c r="X33" s="1355"/>
      <c r="Y33" s="3674"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72"/>
      <c r="Q34" s="707" t="str">
        <f t="shared" si="11"/>
        <v>项目建筑规模</v>
      </c>
      <c r="R34" s="708" t="s">
        <v>14</v>
      </c>
      <c r="S34" s="709" t="e">
        <f t="shared" si="12"/>
        <v>#N/A</v>
      </c>
      <c r="T34" s="708" t="s">
        <v>14</v>
      </c>
      <c r="U34" s="709" t="e">
        <f t="shared" si="13"/>
        <v>#N/A</v>
      </c>
      <c r="V34" s="708" t="s">
        <v>14</v>
      </c>
      <c r="W34" s="709" t="e">
        <f t="shared" si="14"/>
        <v>#N/A</v>
      </c>
      <c r="X34" s="710"/>
      <c r="Y34" s="3674"/>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72"/>
      <c r="Q35" s="1352" t="str">
        <f t="shared" si="11"/>
        <v>建筑结构</v>
      </c>
      <c r="R35" s="705" t="s">
        <v>14</v>
      </c>
      <c r="S35" s="706">
        <f t="shared" si="12"/>
        <v>100</v>
      </c>
      <c r="T35" s="705" t="s">
        <v>14</v>
      </c>
      <c r="U35" s="706">
        <f t="shared" si="13"/>
        <v>100</v>
      </c>
      <c r="V35" s="705" t="s">
        <v>14</v>
      </c>
      <c r="W35" s="706">
        <f t="shared" si="14"/>
        <v>100</v>
      </c>
      <c r="X35" s="1355"/>
      <c r="Y35" s="3674"/>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72"/>
      <c r="Q36" s="1352" t="str">
        <f t="shared" si="11"/>
        <v>公共部分装修</v>
      </c>
      <c r="R36" s="705" t="s">
        <v>14</v>
      </c>
      <c r="S36" s="706">
        <f t="shared" si="12"/>
        <v>100</v>
      </c>
      <c r="T36" s="705" t="s">
        <v>14</v>
      </c>
      <c r="U36" s="706">
        <f t="shared" si="13"/>
        <v>100</v>
      </c>
      <c r="V36" s="705" t="s">
        <v>14</v>
      </c>
      <c r="W36" s="706">
        <f t="shared" si="14"/>
        <v>100</v>
      </c>
      <c r="X36" s="1355"/>
      <c r="Y36" s="3674"/>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72"/>
      <c r="Q37" s="1352" t="str">
        <f t="shared" si="11"/>
        <v>成新度</v>
      </c>
      <c r="R37" s="705" t="s">
        <v>14</v>
      </c>
      <c r="S37" s="706" t="e">
        <f t="shared" si="12"/>
        <v>#N/A</v>
      </c>
      <c r="T37" s="705" t="s">
        <v>14</v>
      </c>
      <c r="U37" s="706" t="e">
        <f t="shared" si="13"/>
        <v>#N/A</v>
      </c>
      <c r="V37" s="705" t="s">
        <v>14</v>
      </c>
      <c r="W37" s="706" t="e">
        <f t="shared" si="14"/>
        <v>#N/A</v>
      </c>
      <c r="X37" s="1355"/>
      <c r="Y37" s="3674"/>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72"/>
      <c r="Q38" s="1343" t="str">
        <f t="shared" si="11"/>
        <v>写字楼等级</v>
      </c>
      <c r="R38" s="701" t="s">
        <v>14</v>
      </c>
      <c r="S38" s="702">
        <f t="shared" si="12"/>
        <v>100</v>
      </c>
      <c r="T38" s="701" t="s">
        <v>14</v>
      </c>
      <c r="U38" s="702">
        <f t="shared" si="13"/>
        <v>100</v>
      </c>
      <c r="V38" s="701" t="s">
        <v>14</v>
      </c>
      <c r="W38" s="702">
        <f t="shared" si="14"/>
        <v>100</v>
      </c>
      <c r="X38" s="703"/>
      <c r="Y38" s="3674"/>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72" t="s">
        <v>1696</v>
      </c>
      <c r="Q39" s="1352" t="str">
        <f t="shared" si="11"/>
        <v>物业管理</v>
      </c>
      <c r="R39" s="705" t="s">
        <v>14</v>
      </c>
      <c r="S39" s="706">
        <f t="shared" si="12"/>
        <v>100</v>
      </c>
      <c r="T39" s="705" t="s">
        <v>14</v>
      </c>
      <c r="U39" s="706">
        <f t="shared" si="13"/>
        <v>100</v>
      </c>
      <c r="V39" s="705" t="s">
        <v>14</v>
      </c>
      <c r="W39" s="706">
        <f t="shared" si="14"/>
        <v>100</v>
      </c>
      <c r="X39" s="1355"/>
      <c r="Y39" s="3674"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72"/>
      <c r="Q40" s="1352" t="str">
        <f t="shared" si="11"/>
        <v>市政基础设施</v>
      </c>
      <c r="R40" s="705" t="s">
        <v>14</v>
      </c>
      <c r="S40" s="706">
        <f t="shared" si="12"/>
        <v>100</v>
      </c>
      <c r="T40" s="705" t="s">
        <v>14</v>
      </c>
      <c r="U40" s="706">
        <f t="shared" si="13"/>
        <v>100</v>
      </c>
      <c r="V40" s="705" t="s">
        <v>14</v>
      </c>
      <c r="W40" s="706">
        <f t="shared" si="14"/>
        <v>100</v>
      </c>
      <c r="X40" s="1355"/>
      <c r="Y40" s="3674"/>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72"/>
      <c r="Q41" s="1352" t="str">
        <f t="shared" si="11"/>
        <v>层高</v>
      </c>
      <c r="R41" s="705" t="s">
        <v>14</v>
      </c>
      <c r="S41" s="706">
        <f t="shared" si="12"/>
        <v>100</v>
      </c>
      <c r="T41" s="705" t="s">
        <v>14</v>
      </c>
      <c r="U41" s="706">
        <f t="shared" si="13"/>
        <v>100</v>
      </c>
      <c r="V41" s="705" t="s">
        <v>14</v>
      </c>
      <c r="W41" s="706">
        <f t="shared" si="14"/>
        <v>100</v>
      </c>
      <c r="X41" s="1355"/>
      <c r="Y41" s="3674"/>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72"/>
      <c r="Q42" s="707" t="str">
        <f t="shared" si="11"/>
        <v>单套建筑面积</v>
      </c>
      <c r="R42" s="708" t="s">
        <v>14</v>
      </c>
      <c r="S42" s="709">
        <f t="shared" si="12"/>
        <v>100</v>
      </c>
      <c r="T42" s="708" t="s">
        <v>14</v>
      </c>
      <c r="U42" s="709">
        <f t="shared" si="13"/>
        <v>100</v>
      </c>
      <c r="V42" s="708" t="s">
        <v>14</v>
      </c>
      <c r="W42" s="709">
        <f t="shared" si="14"/>
        <v>100</v>
      </c>
      <c r="X42" s="710"/>
      <c r="Y42" s="3674"/>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72"/>
      <c r="Q43" s="1352" t="str">
        <f t="shared" si="11"/>
        <v>内部装修</v>
      </c>
      <c r="R43" s="705" t="s">
        <v>14</v>
      </c>
      <c r="S43" s="706">
        <f t="shared" si="12"/>
        <v>100</v>
      </c>
      <c r="T43" s="705" t="s">
        <v>14</v>
      </c>
      <c r="U43" s="706">
        <f t="shared" si="13"/>
        <v>100</v>
      </c>
      <c r="V43" s="705" t="s">
        <v>14</v>
      </c>
      <c r="W43" s="706">
        <f t="shared" si="14"/>
        <v>100</v>
      </c>
      <c r="X43" s="1355"/>
      <c r="Y43" s="3674"/>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72"/>
      <c r="Q44" s="1352" t="str">
        <f t="shared" si="11"/>
        <v>内部装修维护情况</v>
      </c>
      <c r="R44" s="705" t="s">
        <v>14</v>
      </c>
      <c r="S44" s="706">
        <f t="shared" si="12"/>
        <v>100</v>
      </c>
      <c r="T44" s="705" t="s">
        <v>14</v>
      </c>
      <c r="U44" s="706">
        <f t="shared" si="13"/>
        <v>100</v>
      </c>
      <c r="V44" s="705" t="s">
        <v>14</v>
      </c>
      <c r="W44" s="706">
        <f t="shared" si="14"/>
        <v>100</v>
      </c>
      <c r="X44" s="1355"/>
      <c r="Y44" s="3674"/>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72"/>
      <c r="Q45" s="1343">
        <f t="shared" si="11"/>
        <v>111</v>
      </c>
      <c r="R45" s="701" t="s">
        <v>14</v>
      </c>
      <c r="S45" s="702">
        <f t="shared" si="12"/>
        <v>100</v>
      </c>
      <c r="T45" s="701" t="s">
        <v>14</v>
      </c>
      <c r="U45" s="702">
        <f t="shared" si="13"/>
        <v>100</v>
      </c>
      <c r="V45" s="701" t="s">
        <v>14</v>
      </c>
      <c r="W45" s="702">
        <f t="shared" si="14"/>
        <v>100</v>
      </c>
      <c r="X45" s="703"/>
      <c r="Y45" s="3674"/>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72"/>
      <c r="Q46" s="1352">
        <f t="shared" si="11"/>
        <v>111</v>
      </c>
      <c r="R46" s="705" t="s">
        <v>14</v>
      </c>
      <c r="S46" s="706">
        <f t="shared" si="12"/>
        <v>100</v>
      </c>
      <c r="T46" s="705" t="s">
        <v>14</v>
      </c>
      <c r="U46" s="706">
        <f t="shared" si="13"/>
        <v>100</v>
      </c>
      <c r="V46" s="705" t="s">
        <v>14</v>
      </c>
      <c r="W46" s="706">
        <f t="shared" si="14"/>
        <v>100</v>
      </c>
      <c r="X46" s="1355"/>
      <c r="Y46" s="3674"/>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73"/>
      <c r="Q47" s="1352">
        <f t="shared" si="11"/>
        <v>111</v>
      </c>
      <c r="R47" s="705" t="s">
        <v>14</v>
      </c>
      <c r="S47" s="706">
        <f t="shared" si="12"/>
        <v>100</v>
      </c>
      <c r="T47" s="705" t="s">
        <v>14</v>
      </c>
      <c r="U47" s="706">
        <f t="shared" si="13"/>
        <v>100</v>
      </c>
      <c r="V47" s="705" t="s">
        <v>14</v>
      </c>
      <c r="W47" s="706">
        <f t="shared" si="14"/>
        <v>100</v>
      </c>
      <c r="X47" s="1355"/>
      <c r="Y47" s="3675"/>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78" t="str">
        <f>A48</f>
        <v>成交单价（元/平方米）</v>
      </c>
      <c r="Q48" s="3667"/>
      <c r="R48" s="3668">
        <f>E48</f>
        <v>0</v>
      </c>
      <c r="S48" s="3668"/>
      <c r="T48" s="3668">
        <f>G48</f>
        <v>0</v>
      </c>
      <c r="U48" s="3668"/>
      <c r="V48" s="3668">
        <f>I48</f>
        <v>0</v>
      </c>
      <c r="W48" s="3668"/>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78" t="str">
        <f>A49</f>
        <v>比较价值（元/平方米）</v>
      </c>
      <c r="Q49" s="3667"/>
      <c r="R49" s="3668" t="e">
        <f>IF(F1="售价",ROUND(PRODUCT(R48,AA7:AA47),0),ROUND(PRODUCT(R48,AA7:AA47),1))</f>
        <v>#DIV/0!</v>
      </c>
      <c r="S49" s="3668"/>
      <c r="T49" s="3668" t="e">
        <f>IF(F1="售价",ROUND(PRODUCT(T48,AB7:AB47),0),ROUND(PRODUCT(T48,AB7:AB47),1))</f>
        <v>#DIV/0!</v>
      </c>
      <c r="U49" s="3668"/>
      <c r="V49" s="3668" t="e">
        <f>IF(F1="售价",ROUND(PRODUCT(V48,AC7:AC47),0),ROUND(PRODUCT(V48,AC7:AC47),1))</f>
        <v>#DIV/0!</v>
      </c>
      <c r="W49" s="3668"/>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10" t="str">
        <f>A50</f>
        <v>估价对象XX用房的比较价值（楼面单价，元/平方米）</v>
      </c>
      <c r="Q50" s="3711"/>
      <c r="R50" s="3712" t="e">
        <f>IF(F1="售价",ROUND(IF(D49="简单平均",AVERAGE(R49:V49),R49*F49+T49*H49+V49*J49),0),ROUND(IF(D49="简单平均",AVERAGE(R49:V49),R49*F49+T49*H49+V49*J49),1))</f>
        <v>#DIV/0!</v>
      </c>
      <c r="S50" s="3712"/>
      <c r="T50" s="3712"/>
      <c r="U50" s="3712"/>
      <c r="V50" s="3712"/>
      <c r="W50" s="3712"/>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2023-7</v>
      </c>
      <c r="D59" s="1185">
        <f>EDATE(C59,-1)</f>
        <v>45078</v>
      </c>
      <c r="E59" s="1185">
        <f>EDATE(D59,-1)</f>
        <v>45047</v>
      </c>
      <c r="F59" s="1185">
        <f t="shared" ref="F59:O59" si="16">EDATE(E59,-1)</f>
        <v>45017</v>
      </c>
      <c r="G59" s="1185">
        <f t="shared" si="16"/>
        <v>44986</v>
      </c>
      <c r="H59" s="1185">
        <f t="shared" si="16"/>
        <v>44958</v>
      </c>
      <c r="I59" s="1185">
        <f t="shared" si="16"/>
        <v>44927</v>
      </c>
      <c r="J59" s="1185">
        <f t="shared" si="16"/>
        <v>44896</v>
      </c>
      <c r="K59" s="1185">
        <f t="shared" si="16"/>
        <v>44866</v>
      </c>
      <c r="L59" s="1185">
        <f t="shared" si="16"/>
        <v>44835</v>
      </c>
      <c r="M59" s="1185">
        <f t="shared" si="16"/>
        <v>44805</v>
      </c>
      <c r="N59" s="1185">
        <f t="shared" si="16"/>
        <v>44774</v>
      </c>
      <c r="O59" s="1185">
        <f t="shared" si="16"/>
        <v>44743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7284.24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913"/>
      <c r="M4" s="914"/>
      <c r="N4" s="914"/>
      <c r="O4" s="914"/>
      <c r="P4" s="3686" t="s">
        <v>1775</v>
      </c>
      <c r="Q4" s="3687"/>
      <c r="R4" s="3692" t="s">
        <v>1771</v>
      </c>
      <c r="S4" s="3693"/>
      <c r="T4" s="3692" t="s">
        <v>1772</v>
      </c>
      <c r="U4" s="3693"/>
      <c r="V4" s="3698" t="s">
        <v>1773</v>
      </c>
      <c r="W4" s="3698"/>
      <c r="X4" s="1355"/>
      <c r="Y4" s="3692" t="s">
        <v>1775</v>
      </c>
      <c r="Z4" s="3693"/>
      <c r="AA4" s="3679" t="s">
        <v>1771</v>
      </c>
      <c r="AB4" s="3680" t="s">
        <v>1772</v>
      </c>
      <c r="AC4" s="3679" t="s">
        <v>1773</v>
      </c>
    </row>
    <row r="5" spans="1:29" ht="15">
      <c r="A5" s="358"/>
      <c r="B5" s="359"/>
      <c r="C5" s="3701" t="s">
        <v>1673</v>
      </c>
      <c r="D5" s="3702"/>
      <c r="E5" s="3708" t="s">
        <v>1674</v>
      </c>
      <c r="F5" s="3709"/>
      <c r="G5" s="3701" t="s">
        <v>1675</v>
      </c>
      <c r="H5" s="3702"/>
      <c r="I5" s="3701" t="s">
        <v>1676</v>
      </c>
      <c r="J5" s="3702"/>
      <c r="K5" s="559"/>
      <c r="L5" s="913"/>
      <c r="M5" s="914"/>
      <c r="N5" s="914"/>
      <c r="O5" s="914"/>
      <c r="P5" s="3688"/>
      <c r="Q5" s="3689"/>
      <c r="R5" s="3694"/>
      <c r="S5" s="3695"/>
      <c r="T5" s="3694"/>
      <c r="U5" s="3695"/>
      <c r="V5" s="3698"/>
      <c r="W5" s="3698"/>
      <c r="X5" s="1355"/>
      <c r="Y5" s="3694"/>
      <c r="Z5" s="3695"/>
      <c r="AA5" s="3680"/>
      <c r="AB5" s="3680"/>
      <c r="AC5" s="3680"/>
    </row>
    <row r="6" spans="1:29" ht="15.75" thickBot="1">
      <c r="A6" s="360"/>
      <c r="B6" s="361"/>
      <c r="C6" s="3699" t="s">
        <v>1677</v>
      </c>
      <c r="D6" s="3700"/>
      <c r="E6" s="3706" t="s">
        <v>1677</v>
      </c>
      <c r="F6" s="3707"/>
      <c r="G6" s="3699" t="s">
        <v>1677</v>
      </c>
      <c r="H6" s="3700"/>
      <c r="I6" s="3699" t="s">
        <v>1677</v>
      </c>
      <c r="J6" s="3700"/>
      <c r="K6" s="559" t="s">
        <v>1678</v>
      </c>
      <c r="L6" s="913"/>
      <c r="M6" s="914"/>
      <c r="N6" s="914"/>
      <c r="O6" s="914"/>
      <c r="P6" s="3690"/>
      <c r="Q6" s="3691"/>
      <c r="R6" s="3694"/>
      <c r="S6" s="3695"/>
      <c r="T6" s="3696"/>
      <c r="U6" s="3697"/>
      <c r="V6" s="3698"/>
      <c r="W6" s="3698"/>
      <c r="X6" s="1355"/>
      <c r="Y6" s="3696"/>
      <c r="Z6" s="3697"/>
      <c r="AA6" s="3681"/>
      <c r="AB6" s="3681"/>
      <c r="AC6" s="3681"/>
    </row>
    <row r="7" spans="1:29" s="108" customFormat="1" ht="15.75" thickBot="1">
      <c r="A7" s="362" t="s">
        <v>1679</v>
      </c>
      <c r="B7" s="363"/>
      <c r="C7" s="364">
        <f>'数据-取费表'!B2</f>
        <v>45135</v>
      </c>
      <c r="D7" s="365">
        <v>100</v>
      </c>
      <c r="E7" s="366"/>
      <c r="F7" s="367">
        <f>SUMIF(52:52,YEAR(E7)&amp;"-"&amp;MONTH(E7),53:53)</f>
        <v>0</v>
      </c>
      <c r="G7" s="366"/>
      <c r="H7" s="365">
        <f>SUMIF(52:52,YEAR(G7)&amp;"-"&amp;MONTH(G7),53:53)</f>
        <v>0</v>
      </c>
      <c r="I7" s="366"/>
      <c r="J7" s="365">
        <f>SUMIF(52:52,YEAR(I7)&amp;"-"&amp;MONTH(I7),53:53)</f>
        <v>0</v>
      </c>
      <c r="K7" s="560"/>
      <c r="L7" s="915"/>
      <c r="M7" s="916"/>
      <c r="N7" s="916"/>
      <c r="O7" s="916"/>
      <c r="P7" s="3703" t="s">
        <v>1680</v>
      </c>
      <c r="Q7" s="3705"/>
      <c r="R7" s="701" t="s">
        <v>14</v>
      </c>
      <c r="S7" s="702">
        <f t="shared" ref="S7:S15" si="0">F7</f>
        <v>0</v>
      </c>
      <c r="T7" s="701" t="s">
        <v>14</v>
      </c>
      <c r="U7" s="702">
        <f t="shared" ref="U7:U15" si="1">H7</f>
        <v>0</v>
      </c>
      <c r="V7" s="701" t="s">
        <v>14</v>
      </c>
      <c r="W7" s="702">
        <f t="shared" ref="W7:W15" si="2">J7</f>
        <v>0</v>
      </c>
      <c r="X7" s="703"/>
      <c r="Y7" s="3703" t="s">
        <v>1680</v>
      </c>
      <c r="Z7" s="3704"/>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3" t="s">
        <v>1683</v>
      </c>
      <c r="Q8" s="3704"/>
      <c r="R8" s="701" t="s">
        <v>14</v>
      </c>
      <c r="S8" s="702">
        <f t="shared" si="0"/>
        <v>100</v>
      </c>
      <c r="T8" s="701" t="s">
        <v>14</v>
      </c>
      <c r="U8" s="702">
        <f t="shared" si="1"/>
        <v>100</v>
      </c>
      <c r="V8" s="701" t="s">
        <v>14</v>
      </c>
      <c r="W8" s="702">
        <f t="shared" si="2"/>
        <v>100</v>
      </c>
      <c r="X8" s="703"/>
      <c r="Y8" s="3703" t="s">
        <v>1683</v>
      </c>
      <c r="Z8" s="3704"/>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7"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67"/>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7"/>
      <c r="Q11" s="1343" t="str">
        <f t="shared" si="6"/>
        <v>容积率</v>
      </c>
      <c r="R11" s="701" t="s">
        <v>14</v>
      </c>
      <c r="S11" s="702">
        <f t="shared" si="0"/>
        <v>100</v>
      </c>
      <c r="T11" s="701" t="s">
        <v>14</v>
      </c>
      <c r="U11" s="702">
        <f t="shared" si="1"/>
        <v>100</v>
      </c>
      <c r="V11" s="701" t="s">
        <v>14</v>
      </c>
      <c r="W11" s="702">
        <f t="shared" si="2"/>
        <v>100</v>
      </c>
      <c r="X11" s="703"/>
      <c r="Y11" s="354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7"/>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7"/>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7"/>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9" t="s">
        <v>1691</v>
      </c>
      <c r="Q15" s="1352" t="str">
        <f t="shared" si="6"/>
        <v>产业集聚程度</v>
      </c>
      <c r="R15" s="705" t="s">
        <v>14</v>
      </c>
      <c r="S15" s="706">
        <f t="shared" si="0"/>
        <v>100</v>
      </c>
      <c r="T15" s="705" t="s">
        <v>14</v>
      </c>
      <c r="U15" s="706">
        <f t="shared" si="1"/>
        <v>100</v>
      </c>
      <c r="V15" s="705" t="s">
        <v>14</v>
      </c>
      <c r="W15" s="706">
        <f t="shared" si="2"/>
        <v>100</v>
      </c>
      <c r="X15" s="1355"/>
      <c r="Y15" s="3669"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70"/>
      <c r="Q16" s="1352"/>
      <c r="R16" s="705"/>
      <c r="S16" s="706"/>
      <c r="T16" s="705"/>
      <c r="U16" s="706"/>
      <c r="V16" s="705"/>
      <c r="W16" s="706"/>
      <c r="X16" s="1355"/>
      <c r="Y16" s="3670"/>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70"/>
      <c r="Q17" s="1352" t="str">
        <f>B17</f>
        <v>交通便捷度</v>
      </c>
      <c r="R17" s="705" t="s">
        <v>14</v>
      </c>
      <c r="S17" s="706">
        <f>F17</f>
        <v>100</v>
      </c>
      <c r="T17" s="705" t="s">
        <v>14</v>
      </c>
      <c r="U17" s="706">
        <f>H17</f>
        <v>100</v>
      </c>
      <c r="V17" s="705" t="s">
        <v>14</v>
      </c>
      <c r="W17" s="706">
        <f>J17</f>
        <v>100</v>
      </c>
      <c r="X17" s="1355"/>
      <c r="Y17" s="367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70"/>
      <c r="Q18" s="1352"/>
      <c r="R18" s="705"/>
      <c r="S18" s="706"/>
      <c r="T18" s="705"/>
      <c r="U18" s="706"/>
      <c r="V18" s="705"/>
      <c r="W18" s="706"/>
      <c r="X18" s="1355"/>
      <c r="Y18" s="3670"/>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70"/>
      <c r="Q19" s="1352" t="str">
        <f>B19</f>
        <v>公共配套设施</v>
      </c>
      <c r="R19" s="705" t="s">
        <v>14</v>
      </c>
      <c r="S19" s="706">
        <f>F19</f>
        <v>100</v>
      </c>
      <c r="T19" s="705" t="s">
        <v>14</v>
      </c>
      <c r="U19" s="706">
        <f>H19</f>
        <v>100</v>
      </c>
      <c r="V19" s="705" t="s">
        <v>14</v>
      </c>
      <c r="W19" s="706">
        <f>J19</f>
        <v>100</v>
      </c>
      <c r="X19" s="1355"/>
      <c r="Y19" s="367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70"/>
      <c r="Q20" s="1352"/>
      <c r="R20" s="705"/>
      <c r="S20" s="706"/>
      <c r="T20" s="705"/>
      <c r="U20" s="706"/>
      <c r="V20" s="705"/>
      <c r="W20" s="706"/>
      <c r="X20" s="1355"/>
      <c r="Y20" s="3670"/>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70"/>
      <c r="Q21" s="1352" t="str">
        <f>B21</f>
        <v>基础设施水平</v>
      </c>
      <c r="R21" s="705" t="s">
        <v>14</v>
      </c>
      <c r="S21" s="706">
        <f>F21</f>
        <v>100</v>
      </c>
      <c r="T21" s="705" t="s">
        <v>14</v>
      </c>
      <c r="U21" s="706">
        <f>H21</f>
        <v>100</v>
      </c>
      <c r="V21" s="705" t="s">
        <v>14</v>
      </c>
      <c r="W21" s="706">
        <f>J21</f>
        <v>100</v>
      </c>
      <c r="X21" s="1355"/>
      <c r="Y21" s="367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70"/>
      <c r="Q22" s="1352"/>
      <c r="R22" s="705"/>
      <c r="S22" s="706"/>
      <c r="T22" s="705"/>
      <c r="U22" s="706"/>
      <c r="V22" s="705"/>
      <c r="W22" s="706"/>
      <c r="X22" s="1355"/>
      <c r="Y22" s="3670"/>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70"/>
      <c r="Q23" s="1352" t="str">
        <f>B23</f>
        <v>环境质量</v>
      </c>
      <c r="R23" s="705" t="s">
        <v>14</v>
      </c>
      <c r="S23" s="706">
        <f>F23</f>
        <v>100</v>
      </c>
      <c r="T23" s="705" t="s">
        <v>14</v>
      </c>
      <c r="U23" s="706">
        <f>H23</f>
        <v>100</v>
      </c>
      <c r="V23" s="705" t="s">
        <v>14</v>
      </c>
      <c r="W23" s="706">
        <f>J23</f>
        <v>100</v>
      </c>
      <c r="X23" s="1355"/>
      <c r="Y23" s="3670"/>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70"/>
      <c r="Q24" s="1352"/>
      <c r="R24" s="705"/>
      <c r="S24" s="706"/>
      <c r="T24" s="705"/>
      <c r="U24" s="706"/>
      <c r="V24" s="705"/>
      <c r="W24" s="706"/>
      <c r="X24" s="1355"/>
      <c r="Y24" s="3670"/>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70"/>
      <c r="Q25" s="1352">
        <f>B25</f>
        <v>111</v>
      </c>
      <c r="R25" s="705" t="s">
        <v>14</v>
      </c>
      <c r="S25" s="706">
        <f>F25</f>
        <v>100</v>
      </c>
      <c r="T25" s="705" t="s">
        <v>14</v>
      </c>
      <c r="U25" s="706">
        <f>H25</f>
        <v>100</v>
      </c>
      <c r="V25" s="705" t="s">
        <v>14</v>
      </c>
      <c r="W25" s="706">
        <f>J25</f>
        <v>100</v>
      </c>
      <c r="X25" s="1355"/>
      <c r="Y25" s="3670"/>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70"/>
      <c r="Q26" s="1352">
        <f t="shared" ref="Q26:Q40" si="11">B26</f>
        <v>111</v>
      </c>
      <c r="R26" s="705" t="s">
        <v>14</v>
      </c>
      <c r="S26" s="706">
        <f>F26</f>
        <v>100</v>
      </c>
      <c r="T26" s="705" t="s">
        <v>14</v>
      </c>
      <c r="U26" s="706">
        <f>H26</f>
        <v>100</v>
      </c>
      <c r="V26" s="705" t="s">
        <v>14</v>
      </c>
      <c r="W26" s="706">
        <f>J26</f>
        <v>100</v>
      </c>
      <c r="X26" s="1355"/>
      <c r="Y26" s="3670"/>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70"/>
      <c r="Q27" s="1343">
        <f t="shared" si="11"/>
        <v>111</v>
      </c>
      <c r="R27" s="701" t="s">
        <v>14</v>
      </c>
      <c r="S27" s="702">
        <f>F27</f>
        <v>100</v>
      </c>
      <c r="T27" s="701" t="s">
        <v>14</v>
      </c>
      <c r="U27" s="702">
        <f>H27</f>
        <v>100</v>
      </c>
      <c r="V27" s="701" t="s">
        <v>14</v>
      </c>
      <c r="W27" s="702">
        <f>J27</f>
        <v>100</v>
      </c>
      <c r="X27" s="703"/>
      <c r="Y27" s="3670"/>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70"/>
      <c r="Q28" s="1352">
        <f t="shared" si="11"/>
        <v>111</v>
      </c>
      <c r="R28" s="705" t="s">
        <v>14</v>
      </c>
      <c r="S28" s="706">
        <f t="shared" ref="S28:S40" si="12">F28</f>
        <v>100</v>
      </c>
      <c r="T28" s="705" t="s">
        <v>14</v>
      </c>
      <c r="U28" s="706">
        <f t="shared" ref="U28:U40" si="13">H28</f>
        <v>100</v>
      </c>
      <c r="V28" s="705" t="s">
        <v>14</v>
      </c>
      <c r="W28" s="706">
        <f t="shared" ref="W28:W40" si="14">J28</f>
        <v>100</v>
      </c>
      <c r="X28" s="1355"/>
      <c r="Y28" s="3670"/>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5" t="s">
        <v>1696</v>
      </c>
      <c r="Q29" s="1352" t="str">
        <f t="shared" si="11"/>
        <v>建筑类型</v>
      </c>
      <c r="R29" s="705" t="s">
        <v>14</v>
      </c>
      <c r="S29" s="706">
        <f t="shared" si="12"/>
        <v>100</v>
      </c>
      <c r="T29" s="705" t="s">
        <v>14</v>
      </c>
      <c r="U29" s="706">
        <f t="shared" si="13"/>
        <v>100</v>
      </c>
      <c r="V29" s="705" t="s">
        <v>14</v>
      </c>
      <c r="W29" s="706">
        <f t="shared" si="14"/>
        <v>100</v>
      </c>
      <c r="X29" s="1355"/>
      <c r="Y29" s="3674"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4"/>
      <c r="Q30" s="707" t="str">
        <f t="shared" si="11"/>
        <v>项目建筑规模</v>
      </c>
      <c r="R30" s="708" t="s">
        <v>14</v>
      </c>
      <c r="S30" s="709" t="e">
        <f t="shared" si="12"/>
        <v>#N/A</v>
      </c>
      <c r="T30" s="708" t="s">
        <v>14</v>
      </c>
      <c r="U30" s="709" t="e">
        <f t="shared" si="13"/>
        <v>#N/A</v>
      </c>
      <c r="V30" s="708" t="s">
        <v>14</v>
      </c>
      <c r="W30" s="709" t="e">
        <f t="shared" si="14"/>
        <v>#N/A</v>
      </c>
      <c r="X30" s="710"/>
      <c r="Y30" s="3674"/>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4"/>
      <c r="Q31" s="1352" t="str">
        <f t="shared" si="11"/>
        <v>建筑结构</v>
      </c>
      <c r="R31" s="705" t="s">
        <v>14</v>
      </c>
      <c r="S31" s="706">
        <f t="shared" si="12"/>
        <v>100</v>
      </c>
      <c r="T31" s="705" t="s">
        <v>14</v>
      </c>
      <c r="U31" s="706">
        <f t="shared" si="13"/>
        <v>100</v>
      </c>
      <c r="V31" s="705" t="s">
        <v>14</v>
      </c>
      <c r="W31" s="706">
        <f t="shared" si="14"/>
        <v>100</v>
      </c>
      <c r="X31" s="1355"/>
      <c r="Y31" s="3674"/>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4"/>
      <c r="Q32" s="1352" t="str">
        <f t="shared" si="11"/>
        <v>公共部分装修</v>
      </c>
      <c r="R32" s="705" t="s">
        <v>14</v>
      </c>
      <c r="S32" s="706">
        <f t="shared" si="12"/>
        <v>100</v>
      </c>
      <c r="T32" s="705" t="s">
        <v>14</v>
      </c>
      <c r="U32" s="706">
        <f t="shared" si="13"/>
        <v>100</v>
      </c>
      <c r="V32" s="705" t="s">
        <v>14</v>
      </c>
      <c r="W32" s="706">
        <f t="shared" si="14"/>
        <v>100</v>
      </c>
      <c r="X32" s="1355"/>
      <c r="Y32" s="3674"/>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4"/>
      <c r="Q33" s="1352" t="str">
        <f t="shared" si="11"/>
        <v>成新度</v>
      </c>
      <c r="R33" s="705" t="s">
        <v>14</v>
      </c>
      <c r="S33" s="706" t="e">
        <f t="shared" si="12"/>
        <v>#N/A</v>
      </c>
      <c r="T33" s="705" t="s">
        <v>14</v>
      </c>
      <c r="U33" s="706" t="e">
        <f t="shared" si="13"/>
        <v>#N/A</v>
      </c>
      <c r="V33" s="705" t="s">
        <v>14</v>
      </c>
      <c r="W33" s="706" t="e">
        <f t="shared" si="14"/>
        <v>#N/A</v>
      </c>
      <c r="X33" s="1355"/>
      <c r="Y33" s="3674"/>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4"/>
      <c r="Q34" s="1343" t="str">
        <f t="shared" si="11"/>
        <v>物业管理</v>
      </c>
      <c r="R34" s="701" t="s">
        <v>14</v>
      </c>
      <c r="S34" s="702">
        <f t="shared" si="12"/>
        <v>100</v>
      </c>
      <c r="T34" s="701" t="s">
        <v>14</v>
      </c>
      <c r="U34" s="702">
        <f t="shared" si="13"/>
        <v>100</v>
      </c>
      <c r="V34" s="701" t="s">
        <v>14</v>
      </c>
      <c r="W34" s="702">
        <f t="shared" si="14"/>
        <v>100</v>
      </c>
      <c r="X34" s="703"/>
      <c r="Y34" s="3674"/>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4" t="s">
        <v>1696</v>
      </c>
      <c r="Q35" s="1352" t="str">
        <f t="shared" si="11"/>
        <v>市政基础设施</v>
      </c>
      <c r="R35" s="705" t="s">
        <v>14</v>
      </c>
      <c r="S35" s="706">
        <f t="shared" si="12"/>
        <v>100</v>
      </c>
      <c r="T35" s="705" t="s">
        <v>14</v>
      </c>
      <c r="U35" s="706">
        <f t="shared" si="13"/>
        <v>100</v>
      </c>
      <c r="V35" s="705" t="s">
        <v>14</v>
      </c>
      <c r="W35" s="706">
        <f t="shared" si="14"/>
        <v>100</v>
      </c>
      <c r="X35" s="1355"/>
      <c r="Y35" s="3674"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4"/>
      <c r="Q36" s="1352" t="str">
        <f t="shared" si="11"/>
        <v>内部装修</v>
      </c>
      <c r="R36" s="705" t="s">
        <v>14</v>
      </c>
      <c r="S36" s="706">
        <f t="shared" si="12"/>
        <v>100</v>
      </c>
      <c r="T36" s="705" t="s">
        <v>14</v>
      </c>
      <c r="U36" s="706">
        <f t="shared" si="13"/>
        <v>100</v>
      </c>
      <c r="V36" s="705" t="s">
        <v>14</v>
      </c>
      <c r="W36" s="706">
        <f t="shared" si="14"/>
        <v>100</v>
      </c>
      <c r="X36" s="1355"/>
      <c r="Y36" s="3674"/>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4"/>
      <c r="Q37" s="1352" t="str">
        <f t="shared" si="11"/>
        <v>内部装修状况</v>
      </c>
      <c r="R37" s="705" t="s">
        <v>14</v>
      </c>
      <c r="S37" s="706">
        <f t="shared" si="12"/>
        <v>100</v>
      </c>
      <c r="T37" s="705" t="s">
        <v>14</v>
      </c>
      <c r="U37" s="706">
        <f t="shared" si="13"/>
        <v>100</v>
      </c>
      <c r="V37" s="705" t="s">
        <v>14</v>
      </c>
      <c r="W37" s="706">
        <f t="shared" si="14"/>
        <v>100</v>
      </c>
      <c r="X37" s="1355"/>
      <c r="Y37" s="3674"/>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4"/>
      <c r="Q38" s="707">
        <f t="shared" si="11"/>
        <v>111</v>
      </c>
      <c r="R38" s="708" t="s">
        <v>14</v>
      </c>
      <c r="S38" s="709">
        <f t="shared" si="12"/>
        <v>100</v>
      </c>
      <c r="T38" s="708" t="s">
        <v>14</v>
      </c>
      <c r="U38" s="709">
        <f t="shared" si="13"/>
        <v>100</v>
      </c>
      <c r="V38" s="708" t="s">
        <v>14</v>
      </c>
      <c r="W38" s="709">
        <f t="shared" si="14"/>
        <v>100</v>
      </c>
      <c r="X38" s="710"/>
      <c r="Y38" s="3674"/>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4"/>
      <c r="Q39" s="1352">
        <f t="shared" si="11"/>
        <v>111</v>
      </c>
      <c r="R39" s="705" t="s">
        <v>14</v>
      </c>
      <c r="S39" s="706">
        <f t="shared" si="12"/>
        <v>100</v>
      </c>
      <c r="T39" s="705" t="s">
        <v>14</v>
      </c>
      <c r="U39" s="706">
        <f t="shared" si="13"/>
        <v>100</v>
      </c>
      <c r="V39" s="705" t="s">
        <v>14</v>
      </c>
      <c r="W39" s="706">
        <f t="shared" si="14"/>
        <v>100</v>
      </c>
      <c r="X39" s="1355"/>
      <c r="Y39" s="3674"/>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5"/>
      <c r="Q40" s="1352">
        <f t="shared" si="11"/>
        <v>111</v>
      </c>
      <c r="R40" s="705" t="s">
        <v>14</v>
      </c>
      <c r="S40" s="706">
        <f t="shared" si="12"/>
        <v>100</v>
      </c>
      <c r="T40" s="705" t="s">
        <v>14</v>
      </c>
      <c r="U40" s="706">
        <f t="shared" si="13"/>
        <v>100</v>
      </c>
      <c r="V40" s="705" t="s">
        <v>14</v>
      </c>
      <c r="W40" s="706">
        <f t="shared" si="14"/>
        <v>100</v>
      </c>
      <c r="X40" s="1355"/>
      <c r="Y40" s="3675"/>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7" t="str">
        <f>A41</f>
        <v>成交单价（元/平方米）</v>
      </c>
      <c r="Q41" s="3667"/>
      <c r="R41" s="3668">
        <f>E41</f>
        <v>0</v>
      </c>
      <c r="S41" s="3668"/>
      <c r="T41" s="3668">
        <f>G41</f>
        <v>0</v>
      </c>
      <c r="U41" s="3668"/>
      <c r="V41" s="3668">
        <f>I41</f>
        <v>0</v>
      </c>
      <c r="W41" s="3668"/>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7" t="str">
        <f>A42</f>
        <v>比较价值（元/平方米）</v>
      </c>
      <c r="Q42" s="3667"/>
      <c r="R42" s="3668" t="e">
        <f>IF(F1="售价",ROUND(PRODUCT(R41,AA7:AA40),0),ROUND(PRODUCT(R41,AA7:AA40),1))</f>
        <v>#DIV/0!</v>
      </c>
      <c r="S42" s="3668"/>
      <c r="T42" s="3668" t="e">
        <f>IF(F1="售价",ROUND(PRODUCT(T41,AB7:AB40),0),ROUND(PRODUCT(T41,AB7:AB40),1))</f>
        <v>#DIV/0!</v>
      </c>
      <c r="U42" s="3668"/>
      <c r="V42" s="3668" t="e">
        <f>IF(F1="售价",ROUND(PRODUCT(V41,AC7:AC40),0),ROUND(PRODUCT(V41,AC7:AC40),1))</f>
        <v>#DIV/0!</v>
      </c>
      <c r="W42" s="3668"/>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4" t="str">
        <f>A43</f>
        <v>估价对象XX用房的比较价值（楼面单价，元/平方米）</v>
      </c>
      <c r="Q43" s="3665"/>
      <c r="R43" s="3666" t="e">
        <f>IF(F1="售价",ROUND(IF(D42="简单平均",AVERAGE(R42:V42),R42*F42+T42*H42+V42*J42),0),ROUND(IF(D42="简单平均",AVERAGE(R42:V42),R42*F42+T42*H42+V42*J42),1))</f>
        <v>#DIV/0!</v>
      </c>
      <c r="S43" s="3666"/>
      <c r="T43" s="3666"/>
      <c r="U43" s="3666"/>
      <c r="V43" s="3666"/>
      <c r="W43" s="3666"/>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2023-7</v>
      </c>
      <c r="D52" s="1185">
        <f>EDATE(C52,-1)</f>
        <v>45078</v>
      </c>
      <c r="E52" s="1185">
        <f t="shared" ref="E52:O52" si="16">EDATE(D52,-1)</f>
        <v>45047</v>
      </c>
      <c r="F52" s="1185">
        <f t="shared" si="16"/>
        <v>45017</v>
      </c>
      <c r="G52" s="1185">
        <f t="shared" si="16"/>
        <v>44986</v>
      </c>
      <c r="H52" s="1185">
        <f t="shared" si="16"/>
        <v>44958</v>
      </c>
      <c r="I52" s="1185">
        <f t="shared" si="16"/>
        <v>44927</v>
      </c>
      <c r="J52" s="1185">
        <f t="shared" si="16"/>
        <v>44896</v>
      </c>
      <c r="K52" s="1185">
        <f t="shared" si="16"/>
        <v>44866</v>
      </c>
      <c r="L52" s="1185">
        <f t="shared" si="16"/>
        <v>44835</v>
      </c>
      <c r="M52" s="1185">
        <f t="shared" si="16"/>
        <v>44805</v>
      </c>
      <c r="N52" s="1185">
        <f t="shared" si="16"/>
        <v>44774</v>
      </c>
      <c r="O52" s="1185">
        <f t="shared" si="16"/>
        <v>44743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估价对象为北京市房地产，为所有。根据《国有土地使用证》[]，估价对象（分摊）出让国有建设用地使用权面积为0平方米，建筑面积为7284.24平方米。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估价对象为北京市房地产,属开发建设的，该项目尚在开发建设中。根据《国有土地使用证》[]，估价对象（分摊）出让国有建设用地使用权面积为0平方米，规划建筑面积为7284.24平方米。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2023年7月28日（评估专业人员实地查勘之日）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28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92" t="s">
        <v>1771</v>
      </c>
      <c r="S4" s="3693"/>
      <c r="T4" s="3692" t="s">
        <v>1772</v>
      </c>
      <c r="U4" s="3693"/>
      <c r="V4" s="3698" t="s">
        <v>1773</v>
      </c>
      <c r="W4" s="3698"/>
      <c r="X4" s="1355"/>
      <c r="Y4" s="3692" t="s">
        <v>1775</v>
      </c>
      <c r="Z4" s="3693"/>
      <c r="AA4" s="3679" t="s">
        <v>1771</v>
      </c>
      <c r="AB4" s="3680" t="s">
        <v>1772</v>
      </c>
      <c r="AC4" s="3679" t="s">
        <v>1773</v>
      </c>
    </row>
    <row r="5" spans="1:29" ht="15">
      <c r="A5" s="358"/>
      <c r="B5" s="359"/>
      <c r="C5" s="3701" t="s">
        <v>1673</v>
      </c>
      <c r="D5" s="3702"/>
      <c r="E5" s="3708" t="s">
        <v>1674</v>
      </c>
      <c r="F5" s="3709"/>
      <c r="G5" s="3701" t="s">
        <v>1675</v>
      </c>
      <c r="H5" s="3702"/>
      <c r="I5" s="3701" t="s">
        <v>1676</v>
      </c>
      <c r="J5" s="3702"/>
      <c r="K5" s="559"/>
      <c r="L5" s="2715"/>
      <c r="M5" s="2716"/>
      <c r="N5" s="2716"/>
      <c r="O5" s="2716"/>
      <c r="P5" s="3688"/>
      <c r="Q5" s="3689"/>
      <c r="R5" s="3694"/>
      <c r="S5" s="3695"/>
      <c r="T5" s="3694"/>
      <c r="U5" s="3695"/>
      <c r="V5" s="3698"/>
      <c r="W5" s="3698"/>
      <c r="X5" s="1355"/>
      <c r="Y5" s="3694"/>
      <c r="Z5" s="3695"/>
      <c r="AA5" s="3680"/>
      <c r="AB5" s="3680"/>
      <c r="AC5" s="3680"/>
    </row>
    <row r="6" spans="1:29" ht="15.75" thickBot="1">
      <c r="A6" s="360"/>
      <c r="B6" s="361"/>
      <c r="C6" s="3699" t="s">
        <v>1677</v>
      </c>
      <c r="D6" s="3700"/>
      <c r="E6" s="3706" t="s">
        <v>1677</v>
      </c>
      <c r="F6" s="3707"/>
      <c r="G6" s="3699" t="s">
        <v>1677</v>
      </c>
      <c r="H6" s="3700"/>
      <c r="I6" s="3699" t="s">
        <v>1677</v>
      </c>
      <c r="J6" s="3700"/>
      <c r="K6" s="559" t="s">
        <v>1678</v>
      </c>
      <c r="L6" s="2715"/>
      <c r="M6" s="2716"/>
      <c r="N6" s="2716"/>
      <c r="O6" s="2716"/>
      <c r="P6" s="3690"/>
      <c r="Q6" s="3691"/>
      <c r="R6" s="3694"/>
      <c r="S6" s="3695"/>
      <c r="T6" s="3696"/>
      <c r="U6" s="3697"/>
      <c r="V6" s="3698"/>
      <c r="W6" s="3698"/>
      <c r="X6" s="1355"/>
      <c r="Y6" s="3696"/>
      <c r="Z6" s="3697"/>
      <c r="AA6" s="3681"/>
      <c r="AB6" s="3681"/>
      <c r="AC6" s="3681"/>
    </row>
    <row r="7" spans="1:29" s="108" customFormat="1" ht="15.75" thickBot="1">
      <c r="A7" s="362" t="s">
        <v>1679</v>
      </c>
      <c r="B7" s="363"/>
      <c r="C7" s="364">
        <f>'数据-取费表'!B2</f>
        <v>45135</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03" t="s">
        <v>1680</v>
      </c>
      <c r="Q7" s="3705"/>
      <c r="R7" s="701" t="s">
        <v>14</v>
      </c>
      <c r="S7" s="702">
        <f t="shared" ref="S7:S14" si="0">F7</f>
        <v>0</v>
      </c>
      <c r="T7" s="701" t="s">
        <v>14</v>
      </c>
      <c r="U7" s="702">
        <f t="shared" ref="U7:U14" si="1">H7</f>
        <v>0</v>
      </c>
      <c r="V7" s="701" t="s">
        <v>14</v>
      </c>
      <c r="W7" s="702">
        <f t="shared" ref="W7:W14" si="2">J7</f>
        <v>0</v>
      </c>
      <c r="X7" s="703"/>
      <c r="Y7" s="3703" t="s">
        <v>1680</v>
      </c>
      <c r="Z7" s="3704"/>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03" t="s">
        <v>1683</v>
      </c>
      <c r="Q8" s="3704"/>
      <c r="R8" s="701" t="s">
        <v>14</v>
      </c>
      <c r="S8" s="702">
        <f t="shared" si="0"/>
        <v>100</v>
      </c>
      <c r="T8" s="701" t="s">
        <v>14</v>
      </c>
      <c r="U8" s="702">
        <f t="shared" si="1"/>
        <v>100</v>
      </c>
      <c r="V8" s="701" t="s">
        <v>14</v>
      </c>
      <c r="W8" s="702">
        <f t="shared" si="2"/>
        <v>100</v>
      </c>
      <c r="X8" s="703"/>
      <c r="Y8" s="3703" t="s">
        <v>1683</v>
      </c>
      <c r="Z8" s="3704"/>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67" t="s">
        <v>1686</v>
      </c>
      <c r="Q9" s="1343" t="str">
        <f t="shared" ref="Q9:Q14" si="6">B9</f>
        <v>用途</v>
      </c>
      <c r="R9" s="701" t="s">
        <v>14</v>
      </c>
      <c r="S9" s="702">
        <f t="shared" si="0"/>
        <v>100</v>
      </c>
      <c r="T9" s="701" t="s">
        <v>14</v>
      </c>
      <c r="U9" s="702">
        <f t="shared" si="1"/>
        <v>100</v>
      </c>
      <c r="V9" s="701" t="s">
        <v>14</v>
      </c>
      <c r="W9" s="702">
        <f t="shared" si="2"/>
        <v>100</v>
      </c>
      <c r="X9" s="703"/>
      <c r="Y9" s="3542"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67"/>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67"/>
      <c r="Q11" s="1343">
        <f t="shared" si="6"/>
        <v>111</v>
      </c>
      <c r="R11" s="701" t="s">
        <v>14</v>
      </c>
      <c r="S11" s="702">
        <f t="shared" si="0"/>
        <v>100</v>
      </c>
      <c r="T11" s="701" t="s">
        <v>14</v>
      </c>
      <c r="U11" s="702">
        <f t="shared" si="1"/>
        <v>100</v>
      </c>
      <c r="V11" s="701" t="s">
        <v>14</v>
      </c>
      <c r="W11" s="702">
        <f t="shared" si="2"/>
        <v>100</v>
      </c>
      <c r="X11" s="703"/>
      <c r="Y11" s="354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67"/>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67"/>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69" t="s">
        <v>1691</v>
      </c>
      <c r="Q14" s="1352" t="str">
        <f t="shared" si="6"/>
        <v>交通便捷度</v>
      </c>
      <c r="R14" s="705" t="s">
        <v>14</v>
      </c>
      <c r="S14" s="706">
        <f t="shared" si="0"/>
        <v>100</v>
      </c>
      <c r="T14" s="705" t="s">
        <v>14</v>
      </c>
      <c r="U14" s="706">
        <f t="shared" si="1"/>
        <v>100</v>
      </c>
      <c r="V14" s="705" t="s">
        <v>14</v>
      </c>
      <c r="W14" s="706">
        <f t="shared" si="2"/>
        <v>100</v>
      </c>
      <c r="X14" s="1355"/>
      <c r="Y14" s="3669"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70"/>
      <c r="Q15" s="1352"/>
      <c r="R15" s="705"/>
      <c r="S15" s="706"/>
      <c r="T15" s="705"/>
      <c r="U15" s="706"/>
      <c r="V15" s="705"/>
      <c r="W15" s="706"/>
      <c r="X15" s="1355"/>
      <c r="Y15" s="3670"/>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70"/>
      <c r="Q16" s="1352" t="str">
        <f>B16</f>
        <v>公共配套设施</v>
      </c>
      <c r="R16" s="705" t="s">
        <v>14</v>
      </c>
      <c r="S16" s="706">
        <f>F16</f>
        <v>100</v>
      </c>
      <c r="T16" s="705" t="s">
        <v>14</v>
      </c>
      <c r="U16" s="706">
        <f>H16</f>
        <v>100</v>
      </c>
      <c r="V16" s="705" t="s">
        <v>14</v>
      </c>
      <c r="W16" s="706">
        <f>J16</f>
        <v>100</v>
      </c>
      <c r="X16" s="1355"/>
      <c r="Y16" s="3670"/>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70"/>
      <c r="Q17" s="1352"/>
      <c r="R17" s="705"/>
      <c r="S17" s="706"/>
      <c r="T17" s="705"/>
      <c r="U17" s="706"/>
      <c r="V17" s="705"/>
      <c r="W17" s="706"/>
      <c r="X17" s="1355"/>
      <c r="Y17" s="3670"/>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70"/>
      <c r="Q18" s="1352" t="str">
        <f>B18</f>
        <v>基础设施水平</v>
      </c>
      <c r="R18" s="705" t="s">
        <v>14</v>
      </c>
      <c r="S18" s="706">
        <f>F18</f>
        <v>100</v>
      </c>
      <c r="T18" s="705" t="s">
        <v>14</v>
      </c>
      <c r="U18" s="706">
        <f>H18</f>
        <v>100</v>
      </c>
      <c r="V18" s="705" t="s">
        <v>14</v>
      </c>
      <c r="W18" s="706">
        <f>J18</f>
        <v>100</v>
      </c>
      <c r="X18" s="1355"/>
      <c r="Y18" s="3670"/>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70"/>
      <c r="Q19" s="1352"/>
      <c r="R19" s="705"/>
      <c r="S19" s="706"/>
      <c r="T19" s="705"/>
      <c r="U19" s="706"/>
      <c r="V19" s="705"/>
      <c r="W19" s="706"/>
      <c r="X19" s="1355"/>
      <c r="Y19" s="3670"/>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70"/>
      <c r="Q20" s="1352" t="str">
        <f>B20</f>
        <v>自然及人文环境</v>
      </c>
      <c r="R20" s="705" t="s">
        <v>14</v>
      </c>
      <c r="S20" s="706">
        <f>F20</f>
        <v>100</v>
      </c>
      <c r="T20" s="705" t="s">
        <v>14</v>
      </c>
      <c r="U20" s="706">
        <f>H20</f>
        <v>100</v>
      </c>
      <c r="V20" s="705" t="s">
        <v>14</v>
      </c>
      <c r="W20" s="706">
        <f>J20</f>
        <v>100</v>
      </c>
      <c r="X20" s="1355"/>
      <c r="Y20" s="3670"/>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70"/>
      <c r="Q21" s="1352"/>
      <c r="R21" s="705"/>
      <c r="S21" s="706"/>
      <c r="T21" s="705"/>
      <c r="U21" s="706"/>
      <c r="V21" s="705"/>
      <c r="W21" s="706"/>
      <c r="X21" s="1355"/>
      <c r="Y21" s="3670"/>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70"/>
      <c r="Q22" s="1352" t="str">
        <f>B22</f>
        <v>楼层</v>
      </c>
      <c r="R22" s="705" t="s">
        <v>14</v>
      </c>
      <c r="S22" s="706">
        <f>F22</f>
        <v>100</v>
      </c>
      <c r="T22" s="705" t="s">
        <v>14</v>
      </c>
      <c r="U22" s="706">
        <f>H22</f>
        <v>100</v>
      </c>
      <c r="V22" s="705" t="s">
        <v>14</v>
      </c>
      <c r="W22" s="706">
        <f>J22</f>
        <v>100</v>
      </c>
      <c r="X22" s="1355"/>
      <c r="Y22" s="3670"/>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70"/>
      <c r="Q23" s="1352">
        <f>B23</f>
        <v>111</v>
      </c>
      <c r="R23" s="705" t="s">
        <v>14</v>
      </c>
      <c r="S23" s="706">
        <f>F23</f>
        <v>100</v>
      </c>
      <c r="T23" s="705" t="s">
        <v>14</v>
      </c>
      <c r="U23" s="706">
        <f>H23</f>
        <v>100</v>
      </c>
      <c r="V23" s="705" t="s">
        <v>14</v>
      </c>
      <c r="W23" s="706">
        <f>J23</f>
        <v>100</v>
      </c>
      <c r="X23" s="1355"/>
      <c r="Y23" s="3670"/>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70"/>
      <c r="Q24" s="1352">
        <f t="shared" ref="Q24:Q36" si="11">B24</f>
        <v>111</v>
      </c>
      <c r="R24" s="705" t="s">
        <v>14</v>
      </c>
      <c r="S24" s="706">
        <f>F24</f>
        <v>100</v>
      </c>
      <c r="T24" s="705" t="s">
        <v>14</v>
      </c>
      <c r="U24" s="706">
        <f>H24</f>
        <v>100</v>
      </c>
      <c r="V24" s="705" t="s">
        <v>14</v>
      </c>
      <c r="W24" s="706">
        <f>J24</f>
        <v>100</v>
      </c>
      <c r="X24" s="1355"/>
      <c r="Y24" s="3670"/>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70"/>
      <c r="Q25" s="1343">
        <f t="shared" si="11"/>
        <v>111</v>
      </c>
      <c r="R25" s="701" t="s">
        <v>14</v>
      </c>
      <c r="S25" s="702">
        <f>F25</f>
        <v>100</v>
      </c>
      <c r="T25" s="701" t="s">
        <v>14</v>
      </c>
      <c r="U25" s="702">
        <f>H25</f>
        <v>100</v>
      </c>
      <c r="V25" s="701" t="s">
        <v>14</v>
      </c>
      <c r="W25" s="702">
        <f>J25</f>
        <v>100</v>
      </c>
      <c r="X25" s="703"/>
      <c r="Y25" s="3670"/>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4"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74"/>
      <c r="Q27" s="707" t="str">
        <f t="shared" si="11"/>
        <v>项目停车位配比</v>
      </c>
      <c r="R27" s="708" t="s">
        <v>14</v>
      </c>
      <c r="S27" s="709">
        <f t="shared" si="12"/>
        <v>100</v>
      </c>
      <c r="T27" s="708" t="s">
        <v>14</v>
      </c>
      <c r="U27" s="709">
        <f t="shared" si="13"/>
        <v>100</v>
      </c>
      <c r="V27" s="708" t="s">
        <v>14</v>
      </c>
      <c r="W27" s="709">
        <f t="shared" si="14"/>
        <v>100</v>
      </c>
      <c r="X27" s="710"/>
      <c r="Y27" s="3674"/>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74"/>
      <c r="Q28" s="1352" t="str">
        <f t="shared" si="11"/>
        <v>公共部分装修</v>
      </c>
      <c r="R28" s="705" t="s">
        <v>14</v>
      </c>
      <c r="S28" s="706">
        <f t="shared" si="12"/>
        <v>100</v>
      </c>
      <c r="T28" s="705" t="s">
        <v>14</v>
      </c>
      <c r="U28" s="706">
        <f t="shared" si="13"/>
        <v>100</v>
      </c>
      <c r="V28" s="705" t="s">
        <v>14</v>
      </c>
      <c r="W28" s="706">
        <f t="shared" si="14"/>
        <v>100</v>
      </c>
      <c r="X28" s="1355"/>
      <c r="Y28" s="3674"/>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74"/>
      <c r="Q29" s="1352" t="str">
        <f t="shared" si="11"/>
        <v>成新率</v>
      </c>
      <c r="R29" s="705" t="s">
        <v>14</v>
      </c>
      <c r="S29" s="706" t="e">
        <f t="shared" si="12"/>
        <v>#N/A</v>
      </c>
      <c r="T29" s="705" t="s">
        <v>14</v>
      </c>
      <c r="U29" s="706" t="e">
        <f t="shared" si="13"/>
        <v>#N/A</v>
      </c>
      <c r="V29" s="705" t="s">
        <v>14</v>
      </c>
      <c r="W29" s="706" t="e">
        <f t="shared" si="14"/>
        <v>#N/A</v>
      </c>
      <c r="X29" s="1355"/>
      <c r="Y29" s="3674"/>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74"/>
      <c r="Q30" s="1352" t="str">
        <f t="shared" si="11"/>
        <v>物业等级</v>
      </c>
      <c r="R30" s="705" t="s">
        <v>14</v>
      </c>
      <c r="S30" s="706">
        <f t="shared" si="12"/>
        <v>100</v>
      </c>
      <c r="T30" s="705" t="s">
        <v>14</v>
      </c>
      <c r="U30" s="706">
        <f t="shared" si="13"/>
        <v>100</v>
      </c>
      <c r="V30" s="705" t="s">
        <v>14</v>
      </c>
      <c r="W30" s="706">
        <f t="shared" si="14"/>
        <v>100</v>
      </c>
      <c r="X30" s="1355"/>
      <c r="Y30" s="3674"/>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74"/>
      <c r="Q31" s="1343" t="str">
        <f t="shared" si="11"/>
        <v>停车位面积</v>
      </c>
      <c r="R31" s="701" t="s">
        <v>14</v>
      </c>
      <c r="S31" s="702" t="e">
        <f t="shared" si="12"/>
        <v>#N/A</v>
      </c>
      <c r="T31" s="701" t="s">
        <v>14</v>
      </c>
      <c r="U31" s="702" t="e">
        <f t="shared" si="13"/>
        <v>#N/A</v>
      </c>
      <c r="V31" s="701" t="s">
        <v>14</v>
      </c>
      <c r="W31" s="702" t="e">
        <f t="shared" si="14"/>
        <v>#N/A</v>
      </c>
      <c r="X31" s="703"/>
      <c r="Y31" s="3674"/>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74" t="s">
        <v>1696</v>
      </c>
      <c r="Q32" s="1352" t="str">
        <f t="shared" si="11"/>
        <v>车位类型</v>
      </c>
      <c r="R32" s="705" t="s">
        <v>14</v>
      </c>
      <c r="S32" s="706">
        <f t="shared" si="12"/>
        <v>100</v>
      </c>
      <c r="T32" s="705" t="s">
        <v>14</v>
      </c>
      <c r="U32" s="706">
        <f t="shared" si="13"/>
        <v>100</v>
      </c>
      <c r="V32" s="705" t="s">
        <v>14</v>
      </c>
      <c r="W32" s="706">
        <f t="shared" si="14"/>
        <v>100</v>
      </c>
      <c r="X32" s="1355"/>
      <c r="Y32" s="3674"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74"/>
      <c r="Q33" s="1352" t="str">
        <f t="shared" si="11"/>
        <v>是否直接入户</v>
      </c>
      <c r="R33" s="705" t="s">
        <v>14</v>
      </c>
      <c r="S33" s="706">
        <f t="shared" si="12"/>
        <v>100</v>
      </c>
      <c r="T33" s="705" t="s">
        <v>14</v>
      </c>
      <c r="U33" s="706">
        <f t="shared" si="13"/>
        <v>100</v>
      </c>
      <c r="V33" s="705" t="s">
        <v>14</v>
      </c>
      <c r="W33" s="706">
        <f t="shared" si="14"/>
        <v>100</v>
      </c>
      <c r="X33" s="1355"/>
      <c r="Y33" s="3674"/>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74"/>
      <c r="Q34" s="1352">
        <f t="shared" si="11"/>
        <v>111</v>
      </c>
      <c r="R34" s="705" t="s">
        <v>14</v>
      </c>
      <c r="S34" s="706">
        <f t="shared" si="12"/>
        <v>100</v>
      </c>
      <c r="T34" s="705" t="s">
        <v>14</v>
      </c>
      <c r="U34" s="706">
        <f t="shared" si="13"/>
        <v>100</v>
      </c>
      <c r="V34" s="705" t="s">
        <v>14</v>
      </c>
      <c r="W34" s="706">
        <f t="shared" si="14"/>
        <v>100</v>
      </c>
      <c r="X34" s="1355"/>
      <c r="Y34" s="3674"/>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74"/>
      <c r="Q35" s="707">
        <f t="shared" si="11"/>
        <v>111</v>
      </c>
      <c r="R35" s="708" t="s">
        <v>14</v>
      </c>
      <c r="S35" s="709">
        <f t="shared" si="12"/>
        <v>100</v>
      </c>
      <c r="T35" s="708" t="s">
        <v>14</v>
      </c>
      <c r="U35" s="709">
        <f t="shared" si="13"/>
        <v>100</v>
      </c>
      <c r="V35" s="708" t="s">
        <v>14</v>
      </c>
      <c r="W35" s="709">
        <f t="shared" si="14"/>
        <v>100</v>
      </c>
      <c r="X35" s="710"/>
      <c r="Y35" s="3674"/>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74"/>
      <c r="Q36" s="1352">
        <f t="shared" si="11"/>
        <v>111</v>
      </c>
      <c r="R36" s="705" t="s">
        <v>14</v>
      </c>
      <c r="S36" s="706">
        <f t="shared" si="12"/>
        <v>100</v>
      </c>
      <c r="T36" s="705" t="s">
        <v>14</v>
      </c>
      <c r="U36" s="706">
        <f t="shared" si="13"/>
        <v>100</v>
      </c>
      <c r="V36" s="705" t="s">
        <v>14</v>
      </c>
      <c r="W36" s="706">
        <f t="shared" si="14"/>
        <v>100</v>
      </c>
      <c r="X36" s="1355"/>
      <c r="Y36" s="3674"/>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4"/>
      <c r="M37" s="2725"/>
      <c r="N37" s="2716"/>
      <c r="O37" s="2725"/>
      <c r="P37" s="3667" t="str">
        <f>A37</f>
        <v>成交单价</v>
      </c>
      <c r="Q37" s="3667"/>
      <c r="R37" s="3668">
        <f>E37</f>
        <v>0</v>
      </c>
      <c r="S37" s="3668"/>
      <c r="T37" s="3668">
        <f>G37</f>
        <v>0</v>
      </c>
      <c r="U37" s="3668"/>
      <c r="V37" s="3668">
        <f>I37</f>
        <v>0</v>
      </c>
      <c r="W37" s="3668"/>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67" t="str">
        <f>A38</f>
        <v>比较价值（元/平方米）</v>
      </c>
      <c r="Q38" s="3667"/>
      <c r="R38" s="3668" t="e">
        <f>IF(F1="售价",ROUND(PRODUCT(R37,AA7:AA36),0),ROUND(PRODUCT(R37,AA7:AA36),1))</f>
        <v>#DIV/0!</v>
      </c>
      <c r="S38" s="3668"/>
      <c r="T38" s="3668" t="e">
        <f>IF(F1="售价",ROUND(PRODUCT(T37,AB7:AB36),0),ROUND(PRODUCT(T37,AB7:AB36),1))</f>
        <v>#DIV/0!</v>
      </c>
      <c r="U38" s="3668"/>
      <c r="V38" s="3668" t="e">
        <f>IF(F1="售价",ROUND(PRODUCT(V37,AC7:AC36),0),ROUND(PRODUCT(V37,AC7:AC36),1))</f>
        <v>#DIV/0!</v>
      </c>
      <c r="W38" s="3668"/>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64" t="str">
        <f>A39</f>
        <v>估价对象XX用房的比较价值（楼面单价，元/平方米）</v>
      </c>
      <c r="Q39" s="3665"/>
      <c r="R39" s="3726" t="e">
        <f>IF(F1="售价",ROUND(IF(D38="简单平均",AVERAGE(R38:W38),R38*F38+T38*H38+V38*J38),0),ROUND(IF(D38="简单平均",AVERAGE(R38:V38),R38*F38+T38*H38+V38*J38),1))</f>
        <v>#DIV/0!</v>
      </c>
      <c r="S39" s="3726"/>
      <c r="T39" s="3726"/>
      <c r="U39" s="3726"/>
      <c r="V39" s="3726"/>
      <c r="W39" s="372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2023-7</v>
      </c>
      <c r="D48" s="1185">
        <f>EDATE(C48,-1)</f>
        <v>45078</v>
      </c>
      <c r="E48" s="1185">
        <f t="shared" ref="E48:O48" si="16">EDATE(D48,-1)</f>
        <v>45047</v>
      </c>
      <c r="F48" s="1185">
        <f t="shared" si="16"/>
        <v>45017</v>
      </c>
      <c r="G48" s="1185">
        <f t="shared" si="16"/>
        <v>44986</v>
      </c>
      <c r="H48" s="1185">
        <f t="shared" si="16"/>
        <v>44958</v>
      </c>
      <c r="I48" s="1185">
        <f t="shared" si="16"/>
        <v>44927</v>
      </c>
      <c r="J48" s="1185">
        <f t="shared" si="16"/>
        <v>44896</v>
      </c>
      <c r="K48" s="1185">
        <f t="shared" si="16"/>
        <v>44866</v>
      </c>
      <c r="L48" s="1185">
        <f t="shared" si="16"/>
        <v>44835</v>
      </c>
      <c r="M48" s="1185">
        <f t="shared" si="16"/>
        <v>44805</v>
      </c>
      <c r="N48" s="1185">
        <f t="shared" si="16"/>
        <v>44774</v>
      </c>
      <c r="O48" s="1185">
        <f t="shared" si="16"/>
        <v>44743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H3" sqref="H3"/>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92" t="s">
        <v>1771</v>
      </c>
      <c r="S4" s="3693"/>
      <c r="T4" s="3692" t="s">
        <v>1772</v>
      </c>
      <c r="U4" s="3693"/>
      <c r="V4" s="3698" t="s">
        <v>1773</v>
      </c>
      <c r="W4" s="3698"/>
      <c r="X4" s="1355"/>
      <c r="Y4" s="3692" t="s">
        <v>1775</v>
      </c>
      <c r="Z4" s="3693"/>
      <c r="AA4" s="3679" t="s">
        <v>1771</v>
      </c>
      <c r="AB4" s="3680" t="s">
        <v>1772</v>
      </c>
      <c r="AC4" s="3679" t="s">
        <v>1773</v>
      </c>
    </row>
    <row r="5" spans="1:29" ht="15">
      <c r="A5" s="358"/>
      <c r="B5" s="359"/>
      <c r="C5" s="3701" t="s">
        <v>1673</v>
      </c>
      <c r="D5" s="3702"/>
      <c r="E5" s="3708" t="s">
        <v>1674</v>
      </c>
      <c r="F5" s="3709"/>
      <c r="G5" s="3701" t="s">
        <v>1675</v>
      </c>
      <c r="H5" s="3702"/>
      <c r="I5" s="3701" t="s">
        <v>1676</v>
      </c>
      <c r="J5" s="3702"/>
      <c r="K5" s="559"/>
      <c r="L5" s="2715"/>
      <c r="M5" s="2716"/>
      <c r="N5" s="2716"/>
      <c r="O5" s="2716"/>
      <c r="P5" s="3688"/>
      <c r="Q5" s="3689"/>
      <c r="R5" s="3694"/>
      <c r="S5" s="3695"/>
      <c r="T5" s="3694"/>
      <c r="U5" s="3695"/>
      <c r="V5" s="3698"/>
      <c r="W5" s="3698"/>
      <c r="X5" s="1355"/>
      <c r="Y5" s="3694"/>
      <c r="Z5" s="3695"/>
      <c r="AA5" s="3680"/>
      <c r="AB5" s="3680"/>
      <c r="AC5" s="3680"/>
    </row>
    <row r="6" spans="1:29" ht="15.75" thickBot="1">
      <c r="A6" s="360"/>
      <c r="B6" s="361"/>
      <c r="C6" s="3699" t="s">
        <v>1677</v>
      </c>
      <c r="D6" s="3700"/>
      <c r="E6" s="3706" t="s">
        <v>1677</v>
      </c>
      <c r="F6" s="3707"/>
      <c r="G6" s="3699" t="s">
        <v>1677</v>
      </c>
      <c r="H6" s="3700"/>
      <c r="I6" s="3699" t="s">
        <v>1677</v>
      </c>
      <c r="J6" s="3700"/>
      <c r="K6" s="559" t="s">
        <v>1678</v>
      </c>
      <c r="L6" s="2715"/>
      <c r="M6" s="2716"/>
      <c r="N6" s="2716"/>
      <c r="O6" s="2716"/>
      <c r="P6" s="3690"/>
      <c r="Q6" s="3691"/>
      <c r="R6" s="3694"/>
      <c r="S6" s="3695"/>
      <c r="T6" s="3696"/>
      <c r="U6" s="3697"/>
      <c r="V6" s="3698"/>
      <c r="W6" s="3698"/>
      <c r="X6" s="1355"/>
      <c r="Y6" s="3696"/>
      <c r="Z6" s="3697"/>
      <c r="AA6" s="3681"/>
      <c r="AB6" s="3681"/>
      <c r="AC6" s="3681"/>
    </row>
    <row r="7" spans="1:29" s="108" customFormat="1" ht="15.75" thickBot="1">
      <c r="A7" s="362" t="s">
        <v>1679</v>
      </c>
      <c r="B7" s="363"/>
      <c r="C7" s="364">
        <f>'数据-取费表'!B2</f>
        <v>45135</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03" t="s">
        <v>1680</v>
      </c>
      <c r="Q7" s="3705"/>
      <c r="R7" s="701" t="s">
        <v>14</v>
      </c>
      <c r="S7" s="702">
        <f t="shared" ref="S7:S14" si="0">F7</f>
        <v>0</v>
      </c>
      <c r="T7" s="701" t="s">
        <v>14</v>
      </c>
      <c r="U7" s="702">
        <f t="shared" ref="U7:U14" si="1">H7</f>
        <v>0</v>
      </c>
      <c r="V7" s="701" t="s">
        <v>14</v>
      </c>
      <c r="W7" s="702">
        <f t="shared" ref="W7:W14" si="2">J7</f>
        <v>0</v>
      </c>
      <c r="X7" s="703"/>
      <c r="Y7" s="3703" t="s">
        <v>1680</v>
      </c>
      <c r="Z7" s="3704"/>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03" t="s">
        <v>1683</v>
      </c>
      <c r="Q8" s="3704"/>
      <c r="R8" s="701" t="s">
        <v>14</v>
      </c>
      <c r="S8" s="702">
        <f t="shared" si="0"/>
        <v>100</v>
      </c>
      <c r="T8" s="701" t="s">
        <v>14</v>
      </c>
      <c r="U8" s="702">
        <f t="shared" si="1"/>
        <v>100</v>
      </c>
      <c r="V8" s="701" t="s">
        <v>14</v>
      </c>
      <c r="W8" s="702">
        <f t="shared" si="2"/>
        <v>100</v>
      </c>
      <c r="X8" s="703"/>
      <c r="Y8" s="3703" t="s">
        <v>1683</v>
      </c>
      <c r="Z8" s="3704"/>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67" t="s">
        <v>1686</v>
      </c>
      <c r="Q9" s="1343" t="str">
        <f t="shared" ref="Q9:Q14" si="6">B9</f>
        <v>用途</v>
      </c>
      <c r="R9" s="701" t="s">
        <v>14</v>
      </c>
      <c r="S9" s="702">
        <f t="shared" si="0"/>
        <v>100</v>
      </c>
      <c r="T9" s="701" t="s">
        <v>14</v>
      </c>
      <c r="U9" s="702">
        <f t="shared" si="1"/>
        <v>100</v>
      </c>
      <c r="V9" s="701" t="s">
        <v>14</v>
      </c>
      <c r="W9" s="702">
        <f t="shared" si="2"/>
        <v>100</v>
      </c>
      <c r="X9" s="703"/>
      <c r="Y9" s="3542"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67"/>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67"/>
      <c r="Q11" s="1343">
        <f t="shared" si="6"/>
        <v>111</v>
      </c>
      <c r="R11" s="701" t="s">
        <v>14</v>
      </c>
      <c r="S11" s="702">
        <f t="shared" si="0"/>
        <v>100</v>
      </c>
      <c r="T11" s="701" t="s">
        <v>14</v>
      </c>
      <c r="U11" s="702">
        <f t="shared" si="1"/>
        <v>100</v>
      </c>
      <c r="V11" s="701" t="s">
        <v>14</v>
      </c>
      <c r="W11" s="702">
        <f t="shared" si="2"/>
        <v>100</v>
      </c>
      <c r="X11" s="703"/>
      <c r="Y11" s="354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67"/>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67"/>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69" t="s">
        <v>1691</v>
      </c>
      <c r="Q14" s="1352" t="str">
        <f t="shared" si="6"/>
        <v>交通便捷度</v>
      </c>
      <c r="R14" s="705" t="s">
        <v>14</v>
      </c>
      <c r="S14" s="706">
        <f t="shared" si="0"/>
        <v>100</v>
      </c>
      <c r="T14" s="705" t="s">
        <v>14</v>
      </c>
      <c r="U14" s="706">
        <f t="shared" si="1"/>
        <v>100</v>
      </c>
      <c r="V14" s="705" t="s">
        <v>14</v>
      </c>
      <c r="W14" s="706">
        <f t="shared" si="2"/>
        <v>100</v>
      </c>
      <c r="X14" s="1355"/>
      <c r="Y14" s="3669"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70"/>
      <c r="Q15" s="1352"/>
      <c r="R15" s="705"/>
      <c r="S15" s="706"/>
      <c r="T15" s="705"/>
      <c r="U15" s="706"/>
      <c r="V15" s="705"/>
      <c r="W15" s="706"/>
      <c r="X15" s="1355"/>
      <c r="Y15" s="3670"/>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70"/>
      <c r="Q16" s="1352" t="str">
        <f>B16</f>
        <v>公共配套设施</v>
      </c>
      <c r="R16" s="705" t="s">
        <v>14</v>
      </c>
      <c r="S16" s="706">
        <f>F16</f>
        <v>100</v>
      </c>
      <c r="T16" s="705" t="s">
        <v>14</v>
      </c>
      <c r="U16" s="706">
        <f>H16</f>
        <v>100</v>
      </c>
      <c r="V16" s="705" t="s">
        <v>14</v>
      </c>
      <c r="W16" s="706">
        <f>J16</f>
        <v>100</v>
      </c>
      <c r="X16" s="1355"/>
      <c r="Y16" s="3670"/>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70"/>
      <c r="Q17" s="1352"/>
      <c r="R17" s="705"/>
      <c r="S17" s="706"/>
      <c r="T17" s="705"/>
      <c r="U17" s="706"/>
      <c r="V17" s="705"/>
      <c r="W17" s="706"/>
      <c r="X17" s="1355"/>
      <c r="Y17" s="3670"/>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70"/>
      <c r="Q18" s="1352" t="str">
        <f>B18</f>
        <v>基础设施水平</v>
      </c>
      <c r="R18" s="705" t="s">
        <v>14</v>
      </c>
      <c r="S18" s="706">
        <f>F18</f>
        <v>100</v>
      </c>
      <c r="T18" s="705" t="s">
        <v>14</v>
      </c>
      <c r="U18" s="706">
        <f>H18</f>
        <v>100</v>
      </c>
      <c r="V18" s="705" t="s">
        <v>14</v>
      </c>
      <c r="W18" s="706">
        <f>J18</f>
        <v>100</v>
      </c>
      <c r="X18" s="1355"/>
      <c r="Y18" s="3670"/>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70"/>
      <c r="Q19" s="1352"/>
      <c r="R19" s="705"/>
      <c r="S19" s="706"/>
      <c r="T19" s="705"/>
      <c r="U19" s="706"/>
      <c r="V19" s="705"/>
      <c r="W19" s="706"/>
      <c r="X19" s="1355"/>
      <c r="Y19" s="3670"/>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70"/>
      <c r="Q20" s="1352" t="str">
        <f>B20</f>
        <v>自然及人文环境</v>
      </c>
      <c r="R20" s="705" t="s">
        <v>14</v>
      </c>
      <c r="S20" s="706">
        <f>F20</f>
        <v>100</v>
      </c>
      <c r="T20" s="705" t="s">
        <v>14</v>
      </c>
      <c r="U20" s="706">
        <f>H20</f>
        <v>100</v>
      </c>
      <c r="V20" s="705" t="s">
        <v>14</v>
      </c>
      <c r="W20" s="706">
        <f>J20</f>
        <v>100</v>
      </c>
      <c r="X20" s="1355"/>
      <c r="Y20" s="3670"/>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70"/>
      <c r="Q21" s="1352"/>
      <c r="R21" s="705"/>
      <c r="S21" s="706"/>
      <c r="T21" s="705"/>
      <c r="U21" s="706"/>
      <c r="V21" s="705"/>
      <c r="W21" s="706"/>
      <c r="X21" s="1355"/>
      <c r="Y21" s="3670"/>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70"/>
      <c r="Q22" s="1352" t="str">
        <f>B22</f>
        <v>楼层</v>
      </c>
      <c r="R22" s="705" t="s">
        <v>14</v>
      </c>
      <c r="S22" s="706">
        <f>F22</f>
        <v>100</v>
      </c>
      <c r="T22" s="705" t="s">
        <v>14</v>
      </c>
      <c r="U22" s="706">
        <f>H22</f>
        <v>100</v>
      </c>
      <c r="V22" s="705" t="s">
        <v>14</v>
      </c>
      <c r="W22" s="706">
        <f>J22</f>
        <v>100</v>
      </c>
      <c r="X22" s="1355"/>
      <c r="Y22" s="3670"/>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70"/>
      <c r="Q23" s="1352">
        <f>B23</f>
        <v>111</v>
      </c>
      <c r="R23" s="705" t="s">
        <v>14</v>
      </c>
      <c r="S23" s="706">
        <f>F23</f>
        <v>100</v>
      </c>
      <c r="T23" s="705" t="s">
        <v>14</v>
      </c>
      <c r="U23" s="706">
        <f>H23</f>
        <v>100</v>
      </c>
      <c r="V23" s="705" t="s">
        <v>14</v>
      </c>
      <c r="W23" s="706">
        <f>J23</f>
        <v>100</v>
      </c>
      <c r="X23" s="1355"/>
      <c r="Y23" s="3670"/>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70"/>
      <c r="Q24" s="1352">
        <f t="shared" ref="Q24:Q34" si="11">B24</f>
        <v>111</v>
      </c>
      <c r="R24" s="705" t="s">
        <v>14</v>
      </c>
      <c r="S24" s="706">
        <f>F24</f>
        <v>100</v>
      </c>
      <c r="T24" s="705" t="s">
        <v>14</v>
      </c>
      <c r="U24" s="706">
        <f>H24</f>
        <v>100</v>
      </c>
      <c r="V24" s="705" t="s">
        <v>14</v>
      </c>
      <c r="W24" s="706">
        <f>J24</f>
        <v>100</v>
      </c>
      <c r="X24" s="1355"/>
      <c r="Y24" s="3670"/>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70"/>
      <c r="Q25" s="1343">
        <f t="shared" si="11"/>
        <v>111</v>
      </c>
      <c r="R25" s="701" t="s">
        <v>14</v>
      </c>
      <c r="S25" s="702">
        <f>F25</f>
        <v>100</v>
      </c>
      <c r="T25" s="701" t="s">
        <v>14</v>
      </c>
      <c r="U25" s="702">
        <f>H25</f>
        <v>100</v>
      </c>
      <c r="V25" s="701" t="s">
        <v>14</v>
      </c>
      <c r="W25" s="702">
        <f>J25</f>
        <v>100</v>
      </c>
      <c r="X25" s="703"/>
      <c r="Y25" s="3670"/>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4"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74"/>
      <c r="Q27" s="707" t="str">
        <f t="shared" si="11"/>
        <v>成新率</v>
      </c>
      <c r="R27" s="708" t="s">
        <v>14</v>
      </c>
      <c r="S27" s="709" t="e">
        <f t="shared" si="12"/>
        <v>#N/A</v>
      </c>
      <c r="T27" s="708" t="s">
        <v>14</v>
      </c>
      <c r="U27" s="709" t="e">
        <f t="shared" si="13"/>
        <v>#N/A</v>
      </c>
      <c r="V27" s="708" t="s">
        <v>14</v>
      </c>
      <c r="W27" s="709" t="e">
        <f t="shared" si="14"/>
        <v>#N/A</v>
      </c>
      <c r="X27" s="710"/>
      <c r="Y27" s="3674"/>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74"/>
      <c r="Q28" s="1352" t="str">
        <f t="shared" si="11"/>
        <v>物业等级</v>
      </c>
      <c r="R28" s="705" t="s">
        <v>14</v>
      </c>
      <c r="S28" s="706">
        <f t="shared" si="12"/>
        <v>100</v>
      </c>
      <c r="T28" s="705" t="s">
        <v>14</v>
      </c>
      <c r="U28" s="706">
        <f t="shared" si="13"/>
        <v>100</v>
      </c>
      <c r="V28" s="705" t="s">
        <v>14</v>
      </c>
      <c r="W28" s="706">
        <f t="shared" si="14"/>
        <v>100</v>
      </c>
      <c r="X28" s="1355"/>
      <c r="Y28" s="3674"/>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74"/>
      <c r="Q29" s="1352" t="str">
        <f t="shared" si="11"/>
        <v>有无电梯</v>
      </c>
      <c r="R29" s="705" t="s">
        <v>14</v>
      </c>
      <c r="S29" s="706">
        <f t="shared" si="12"/>
        <v>100</v>
      </c>
      <c r="T29" s="705" t="s">
        <v>14</v>
      </c>
      <c r="U29" s="706">
        <f t="shared" si="13"/>
        <v>100</v>
      </c>
      <c r="V29" s="705" t="s">
        <v>14</v>
      </c>
      <c r="W29" s="706">
        <f t="shared" si="14"/>
        <v>100</v>
      </c>
      <c r="X29" s="1355"/>
      <c r="Y29" s="3674"/>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74"/>
      <c r="Q30" s="1352" t="str">
        <f t="shared" si="11"/>
        <v>建筑面积</v>
      </c>
      <c r="R30" s="705" t="s">
        <v>14</v>
      </c>
      <c r="S30" s="706" t="e">
        <f t="shared" si="12"/>
        <v>#N/A</v>
      </c>
      <c r="T30" s="705" t="s">
        <v>14</v>
      </c>
      <c r="U30" s="706" t="e">
        <f t="shared" si="13"/>
        <v>#N/A</v>
      </c>
      <c r="V30" s="705" t="s">
        <v>14</v>
      </c>
      <c r="W30" s="706" t="e">
        <f t="shared" si="14"/>
        <v>#N/A</v>
      </c>
      <c r="X30" s="1355"/>
      <c r="Y30" s="3674"/>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74"/>
      <c r="Q31" s="1343" t="str">
        <f t="shared" si="11"/>
        <v>是否封闭</v>
      </c>
      <c r="R31" s="701" t="s">
        <v>14</v>
      </c>
      <c r="S31" s="702">
        <f t="shared" si="12"/>
        <v>100</v>
      </c>
      <c r="T31" s="701" t="s">
        <v>14</v>
      </c>
      <c r="U31" s="702">
        <f t="shared" si="13"/>
        <v>100</v>
      </c>
      <c r="V31" s="701" t="s">
        <v>14</v>
      </c>
      <c r="W31" s="702">
        <f t="shared" si="14"/>
        <v>100</v>
      </c>
      <c r="X31" s="703"/>
      <c r="Y31" s="3674"/>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74" t="s">
        <v>1696</v>
      </c>
      <c r="Q32" s="1352">
        <f t="shared" si="11"/>
        <v>111</v>
      </c>
      <c r="R32" s="705" t="s">
        <v>14</v>
      </c>
      <c r="S32" s="706">
        <f t="shared" si="12"/>
        <v>100</v>
      </c>
      <c r="T32" s="705" t="s">
        <v>14</v>
      </c>
      <c r="U32" s="706">
        <f t="shared" si="13"/>
        <v>100</v>
      </c>
      <c r="V32" s="705" t="s">
        <v>14</v>
      </c>
      <c r="W32" s="706">
        <f t="shared" si="14"/>
        <v>100</v>
      </c>
      <c r="X32" s="1355"/>
      <c r="Y32" s="3674"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74"/>
      <c r="Q33" s="1352">
        <f t="shared" si="11"/>
        <v>111</v>
      </c>
      <c r="R33" s="705" t="s">
        <v>14</v>
      </c>
      <c r="S33" s="706">
        <f t="shared" si="12"/>
        <v>100</v>
      </c>
      <c r="T33" s="705" t="s">
        <v>14</v>
      </c>
      <c r="U33" s="706">
        <f t="shared" si="13"/>
        <v>100</v>
      </c>
      <c r="V33" s="705" t="s">
        <v>14</v>
      </c>
      <c r="W33" s="706">
        <f t="shared" si="14"/>
        <v>100</v>
      </c>
      <c r="X33" s="1355"/>
      <c r="Y33" s="3674"/>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74"/>
      <c r="Q34" s="1352">
        <f t="shared" si="11"/>
        <v>111</v>
      </c>
      <c r="R34" s="705" t="s">
        <v>14</v>
      </c>
      <c r="S34" s="706">
        <f t="shared" si="12"/>
        <v>100</v>
      </c>
      <c r="T34" s="705" t="s">
        <v>14</v>
      </c>
      <c r="U34" s="706">
        <f t="shared" si="13"/>
        <v>100</v>
      </c>
      <c r="V34" s="705" t="s">
        <v>14</v>
      </c>
      <c r="W34" s="706">
        <f t="shared" si="14"/>
        <v>100</v>
      </c>
      <c r="X34" s="1355"/>
      <c r="Y34" s="3674"/>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67" t="str">
        <f>A35</f>
        <v>成交单价（元/平方米）</v>
      </c>
      <c r="Q35" s="3667"/>
      <c r="R35" s="3668">
        <f>E35</f>
        <v>0</v>
      </c>
      <c r="S35" s="3668"/>
      <c r="T35" s="3668">
        <f>G35</f>
        <v>0</v>
      </c>
      <c r="U35" s="3668"/>
      <c r="V35" s="3668">
        <f>I35</f>
        <v>0</v>
      </c>
      <c r="W35" s="3668"/>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67" t="str">
        <f>A36</f>
        <v>比较价值（元/平方米）</v>
      </c>
      <c r="Q36" s="3667"/>
      <c r="R36" s="3668" t="e">
        <f>IF(F1="售价",ROUND(PRODUCT(R35,AA7:AA34),0),ROUND(PRODUCT(R35,AA7:AA34),1))</f>
        <v>#DIV/0!</v>
      </c>
      <c r="S36" s="3668"/>
      <c r="T36" s="3668" t="e">
        <f>IF(F1="售价",ROUND(PRODUCT(T35,AB7:AB34),0),ROUND(PRODUCT(T35,AB7:AB34),1))</f>
        <v>#DIV/0!</v>
      </c>
      <c r="U36" s="3668"/>
      <c r="V36" s="3668" t="e">
        <f>IF(F1="售价",ROUND(PRODUCT(V35,AC7:AC34),0),ROUND(PRODUCT(V35,AC7:AC34),1))</f>
        <v>#DIV/0!</v>
      </c>
      <c r="W36" s="3668"/>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64" t="str">
        <f>A37</f>
        <v>估价对象XX用房的比较价值（楼面单价，元/平方米）</v>
      </c>
      <c r="Q37" s="3665"/>
      <c r="R37" s="3726" t="e">
        <f>IF(F1="售价",ROUND(IF(D36="简单平均",AVERAGE(R36:W36),R36*F36+T36*H36+V36*J36),0),ROUND(IF(D36="简单平均",AVERAGE(R36:V36),R36*F36+T36*H36+V36*J36),1))</f>
        <v>#DIV/0!</v>
      </c>
      <c r="S37" s="3726"/>
      <c r="T37" s="3726"/>
      <c r="U37" s="3726"/>
      <c r="V37" s="3726"/>
      <c r="W37" s="372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2023-7</v>
      </c>
      <c r="D46" s="1185">
        <f>EDATE(C46,-1)</f>
        <v>45078</v>
      </c>
      <c r="E46" s="1185">
        <f t="shared" ref="E46:O46" si="16">EDATE(D46,-1)</f>
        <v>45047</v>
      </c>
      <c r="F46" s="1185">
        <f t="shared" si="16"/>
        <v>45017</v>
      </c>
      <c r="G46" s="1185">
        <f t="shared" si="16"/>
        <v>44986</v>
      </c>
      <c r="H46" s="1185">
        <f t="shared" si="16"/>
        <v>44958</v>
      </c>
      <c r="I46" s="1185">
        <f t="shared" si="16"/>
        <v>44927</v>
      </c>
      <c r="J46" s="1185">
        <f t="shared" si="16"/>
        <v>44896</v>
      </c>
      <c r="K46" s="1185">
        <f t="shared" si="16"/>
        <v>44866</v>
      </c>
      <c r="L46" s="1185">
        <f t="shared" si="16"/>
        <v>44835</v>
      </c>
      <c r="M46" s="1185">
        <f t="shared" si="16"/>
        <v>44805</v>
      </c>
      <c r="N46" s="1185">
        <f t="shared" si="16"/>
        <v>44774</v>
      </c>
      <c r="O46" s="1185">
        <f t="shared" si="16"/>
        <v>44743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92" t="s">
        <v>1771</v>
      </c>
      <c r="S4" s="3693"/>
      <c r="T4" s="3692" t="s">
        <v>1772</v>
      </c>
      <c r="U4" s="3693"/>
      <c r="V4" s="3698" t="s">
        <v>1773</v>
      </c>
      <c r="W4" s="3698"/>
      <c r="X4" s="1355"/>
      <c r="Y4" s="3692" t="s">
        <v>1775</v>
      </c>
      <c r="Z4" s="3693"/>
      <c r="AA4" s="3679" t="s">
        <v>1771</v>
      </c>
      <c r="AB4" s="3680" t="s">
        <v>1772</v>
      </c>
      <c r="AC4" s="3679" t="s">
        <v>1773</v>
      </c>
    </row>
    <row r="5" spans="1:30" ht="15">
      <c r="A5" s="358"/>
      <c r="B5" s="359"/>
      <c r="C5" s="3701" t="s">
        <v>1673</v>
      </c>
      <c r="D5" s="3702"/>
      <c r="E5" s="3708" t="s">
        <v>1674</v>
      </c>
      <c r="F5" s="3709"/>
      <c r="G5" s="3701" t="s">
        <v>1675</v>
      </c>
      <c r="H5" s="3702"/>
      <c r="I5" s="3701" t="s">
        <v>1676</v>
      </c>
      <c r="J5" s="3702"/>
      <c r="K5" s="559"/>
      <c r="L5" s="2715"/>
      <c r="M5" s="2716"/>
      <c r="N5" s="2716"/>
      <c r="O5" s="2716"/>
      <c r="P5" s="3688"/>
      <c r="Q5" s="3689"/>
      <c r="R5" s="3694"/>
      <c r="S5" s="3695"/>
      <c r="T5" s="3694"/>
      <c r="U5" s="3695"/>
      <c r="V5" s="3698"/>
      <c r="W5" s="3698"/>
      <c r="X5" s="1355"/>
      <c r="Y5" s="3694"/>
      <c r="Z5" s="3695"/>
      <c r="AA5" s="3680"/>
      <c r="AB5" s="3680"/>
      <c r="AC5" s="3680"/>
    </row>
    <row r="6" spans="1:30" ht="15.75" thickBot="1">
      <c r="A6" s="360"/>
      <c r="B6" s="361"/>
      <c r="C6" s="3699" t="s">
        <v>1677</v>
      </c>
      <c r="D6" s="3700"/>
      <c r="E6" s="3706" t="s">
        <v>1677</v>
      </c>
      <c r="F6" s="3707"/>
      <c r="G6" s="3699" t="s">
        <v>1677</v>
      </c>
      <c r="H6" s="3700"/>
      <c r="I6" s="3699" t="s">
        <v>1677</v>
      </c>
      <c r="J6" s="3700"/>
      <c r="K6" s="559" t="s">
        <v>1678</v>
      </c>
      <c r="L6" s="2715"/>
      <c r="M6" s="2716"/>
      <c r="N6" s="2716"/>
      <c r="O6" s="2716"/>
      <c r="P6" s="3690"/>
      <c r="Q6" s="3691"/>
      <c r="R6" s="3694"/>
      <c r="S6" s="3695"/>
      <c r="T6" s="3696"/>
      <c r="U6" s="3697"/>
      <c r="V6" s="3698"/>
      <c r="W6" s="3698"/>
      <c r="X6" s="1355"/>
      <c r="Y6" s="3696"/>
      <c r="Z6" s="3697"/>
      <c r="AA6" s="3681"/>
      <c r="AB6" s="3681"/>
      <c r="AC6" s="3681"/>
    </row>
    <row r="7" spans="1:30" s="108" customFormat="1" ht="15.75" thickBot="1">
      <c r="A7" s="362" t="s">
        <v>1679</v>
      </c>
      <c r="B7" s="363"/>
      <c r="C7" s="364">
        <f>'数据-取费表'!B2</f>
        <v>45135</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03" t="s">
        <v>1680</v>
      </c>
      <c r="Q7" s="3705"/>
      <c r="R7" s="701" t="s">
        <v>14</v>
      </c>
      <c r="S7" s="702">
        <f t="shared" ref="S7:S15" si="0">F7</f>
        <v>0</v>
      </c>
      <c r="T7" s="701" t="s">
        <v>14</v>
      </c>
      <c r="U7" s="702">
        <f t="shared" ref="U7:U15" si="1">H7</f>
        <v>0</v>
      </c>
      <c r="V7" s="701" t="s">
        <v>14</v>
      </c>
      <c r="W7" s="702">
        <f t="shared" ref="W7:W15" si="2">J7</f>
        <v>0</v>
      </c>
      <c r="X7" s="703"/>
      <c r="Y7" s="3703" t="s">
        <v>1680</v>
      </c>
      <c r="Z7" s="3704"/>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03" t="s">
        <v>1683</v>
      </c>
      <c r="Q8" s="3704"/>
      <c r="R8" s="701" t="s">
        <v>14</v>
      </c>
      <c r="S8" s="702">
        <f t="shared" si="0"/>
        <v>0</v>
      </c>
      <c r="T8" s="701" t="s">
        <v>14</v>
      </c>
      <c r="U8" s="702">
        <f t="shared" si="1"/>
        <v>0</v>
      </c>
      <c r="V8" s="701" t="s">
        <v>14</v>
      </c>
      <c r="W8" s="702">
        <f t="shared" si="2"/>
        <v>0</v>
      </c>
      <c r="X8" s="703"/>
      <c r="Y8" s="3703" t="s">
        <v>1683</v>
      </c>
      <c r="Z8" s="3704"/>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67"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114</v>
      </c>
      <c r="G10" s="414"/>
      <c r="H10" s="127">
        <f>ROUND(100/'数据-取费表'!G16,0)</f>
        <v>114</v>
      </c>
      <c r="I10" s="414"/>
      <c r="J10" s="127">
        <f>ROUND(100/'数据-取费表'!G16,0)</f>
        <v>114</v>
      </c>
      <c r="K10" s="620"/>
      <c r="L10" s="2719"/>
      <c r="M10" s="2720"/>
      <c r="N10" s="2720"/>
      <c r="O10" s="2773"/>
      <c r="P10" s="3667"/>
      <c r="Q10" s="1343" t="str">
        <f t="shared" si="6"/>
        <v>土地使用年限（年）</v>
      </c>
      <c r="R10" s="701" t="s">
        <v>14</v>
      </c>
      <c r="S10" s="702">
        <f t="shared" si="0"/>
        <v>114</v>
      </c>
      <c r="T10" s="701" t="s">
        <v>14</v>
      </c>
      <c r="U10" s="702">
        <f t="shared" si="1"/>
        <v>114</v>
      </c>
      <c r="V10" s="701" t="s">
        <v>14</v>
      </c>
      <c r="W10" s="702">
        <f t="shared" si="2"/>
        <v>114</v>
      </c>
      <c r="X10" s="703"/>
      <c r="Y10" s="3542"/>
      <c r="Z10" s="52" t="str">
        <f t="shared" si="7"/>
        <v>土地使用年限（年）</v>
      </c>
      <c r="AA10" s="704">
        <f t="shared" si="3"/>
        <v>0.8771929824561403</v>
      </c>
      <c r="AB10" s="704">
        <f t="shared" si="4"/>
        <v>0.8771929824561403</v>
      </c>
      <c r="AC10" s="704">
        <f t="shared" si="5"/>
        <v>0.8771929824561403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67"/>
      <c r="Q11" s="1343" t="str">
        <f t="shared" si="6"/>
        <v>容积率</v>
      </c>
      <c r="R11" s="701" t="s">
        <v>14</v>
      </c>
      <c r="S11" s="702" t="e">
        <f t="shared" si="0"/>
        <v>#N/A</v>
      </c>
      <c r="T11" s="701" t="s">
        <v>14</v>
      </c>
      <c r="U11" s="702" t="e">
        <f t="shared" si="1"/>
        <v>#N/A</v>
      </c>
      <c r="V11" s="701" t="s">
        <v>14</v>
      </c>
      <c r="W11" s="702" t="e">
        <f t="shared" si="2"/>
        <v>#N/A</v>
      </c>
      <c r="X11" s="703"/>
      <c r="Y11" s="3542"/>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67"/>
      <c r="Q12" s="1343" t="str">
        <f t="shared" si="6"/>
        <v>配建</v>
      </c>
      <c r="R12" s="701" t="s">
        <v>14</v>
      </c>
      <c r="S12" s="702">
        <f t="shared" si="0"/>
        <v>100</v>
      </c>
      <c r="T12" s="701" t="s">
        <v>14</v>
      </c>
      <c r="U12" s="702">
        <f t="shared" si="1"/>
        <v>100</v>
      </c>
      <c r="V12" s="701" t="s">
        <v>14</v>
      </c>
      <c r="W12" s="702">
        <f t="shared" si="2"/>
        <v>100</v>
      </c>
      <c r="X12" s="703"/>
      <c r="Y12" s="354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67"/>
      <c r="Q13" s="1343">
        <f t="shared" si="6"/>
        <v>111</v>
      </c>
      <c r="R13" s="701" t="s">
        <v>14</v>
      </c>
      <c r="S13" s="702">
        <f t="shared" si="0"/>
        <v>100</v>
      </c>
      <c r="T13" s="701" t="s">
        <v>14</v>
      </c>
      <c r="U13" s="702">
        <f t="shared" si="1"/>
        <v>100</v>
      </c>
      <c r="V13" s="701" t="s">
        <v>14</v>
      </c>
      <c r="W13" s="702">
        <f t="shared" si="2"/>
        <v>100</v>
      </c>
      <c r="X13" s="703"/>
      <c r="Y13" s="354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67"/>
      <c r="Q14" s="1343">
        <f t="shared" si="6"/>
        <v>111</v>
      </c>
      <c r="R14" s="701" t="s">
        <v>14</v>
      </c>
      <c r="S14" s="702">
        <f t="shared" si="0"/>
        <v>100</v>
      </c>
      <c r="T14" s="701" t="s">
        <v>14</v>
      </c>
      <c r="U14" s="702">
        <f t="shared" si="1"/>
        <v>100</v>
      </c>
      <c r="V14" s="701" t="s">
        <v>14</v>
      </c>
      <c r="W14" s="702">
        <f t="shared" si="2"/>
        <v>100</v>
      </c>
      <c r="X14" s="703"/>
      <c r="Y14" s="3542"/>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69" t="s">
        <v>1691</v>
      </c>
      <c r="Q15" s="1352" t="str">
        <f t="shared" si="6"/>
        <v>居住社区成熟度</v>
      </c>
      <c r="R15" s="705" t="s">
        <v>14</v>
      </c>
      <c r="S15" s="706">
        <f t="shared" si="0"/>
        <v>100</v>
      </c>
      <c r="T15" s="705" t="s">
        <v>14</v>
      </c>
      <c r="U15" s="706">
        <f t="shared" si="1"/>
        <v>100</v>
      </c>
      <c r="V15" s="705" t="s">
        <v>14</v>
      </c>
      <c r="W15" s="706">
        <f t="shared" si="2"/>
        <v>100</v>
      </c>
      <c r="X15" s="1355"/>
      <c r="Y15" s="3669"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70"/>
      <c r="Q16" s="1352"/>
      <c r="R16" s="705"/>
      <c r="S16" s="706"/>
      <c r="T16" s="705"/>
      <c r="U16" s="706"/>
      <c r="V16" s="705"/>
      <c r="W16" s="706"/>
      <c r="X16" s="1355"/>
      <c r="Y16" s="3670"/>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70"/>
      <c r="Q17" s="1352" t="str">
        <f>B17</f>
        <v>商业繁华度</v>
      </c>
      <c r="R17" s="705" t="s">
        <v>14</v>
      </c>
      <c r="S17" s="706">
        <f>F17</f>
        <v>100</v>
      </c>
      <c r="T17" s="705" t="s">
        <v>14</v>
      </c>
      <c r="U17" s="706">
        <f>H17</f>
        <v>100</v>
      </c>
      <c r="V17" s="705" t="s">
        <v>14</v>
      </c>
      <c r="W17" s="706">
        <f>J17</f>
        <v>100</v>
      </c>
      <c r="X17" s="1355"/>
      <c r="Y17" s="3670"/>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70"/>
      <c r="Q18" s="1352"/>
      <c r="R18" s="705"/>
      <c r="S18" s="706"/>
      <c r="T18" s="705"/>
      <c r="U18" s="706"/>
      <c r="V18" s="705"/>
      <c r="W18" s="706"/>
      <c r="X18" s="1355"/>
      <c r="Y18" s="3670"/>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70"/>
      <c r="Q19" s="1352" t="str">
        <f>B19</f>
        <v>办公集聚程度</v>
      </c>
      <c r="R19" s="705" t="s">
        <v>14</v>
      </c>
      <c r="S19" s="706">
        <f>F19</f>
        <v>100</v>
      </c>
      <c r="T19" s="705" t="s">
        <v>14</v>
      </c>
      <c r="U19" s="706">
        <f>H19</f>
        <v>100</v>
      </c>
      <c r="V19" s="705" t="s">
        <v>14</v>
      </c>
      <c r="W19" s="706">
        <f>J19</f>
        <v>100</v>
      </c>
      <c r="X19" s="1355"/>
      <c r="Y19" s="3670"/>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70"/>
      <c r="Q20" s="1352"/>
      <c r="R20" s="705"/>
      <c r="S20" s="706"/>
      <c r="T20" s="705"/>
      <c r="U20" s="706"/>
      <c r="V20" s="705"/>
      <c r="W20" s="706"/>
      <c r="X20" s="1355"/>
      <c r="Y20" s="3670"/>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70"/>
      <c r="Q21" s="1352" t="str">
        <f>B21</f>
        <v>交通便捷度</v>
      </c>
      <c r="R21" s="705" t="s">
        <v>14</v>
      </c>
      <c r="S21" s="706">
        <f>F21</f>
        <v>100</v>
      </c>
      <c r="T21" s="705" t="s">
        <v>14</v>
      </c>
      <c r="U21" s="706">
        <f>H21</f>
        <v>100</v>
      </c>
      <c r="V21" s="705" t="s">
        <v>14</v>
      </c>
      <c r="W21" s="706">
        <f>J21</f>
        <v>100</v>
      </c>
      <c r="X21" s="1355"/>
      <c r="Y21" s="3670"/>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70"/>
      <c r="Q22" s="1352"/>
      <c r="R22" s="705"/>
      <c r="S22" s="706"/>
      <c r="T22" s="705"/>
      <c r="U22" s="706"/>
      <c r="V22" s="705"/>
      <c r="W22" s="706"/>
      <c r="X22" s="1355"/>
      <c r="Y22" s="3670"/>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70"/>
      <c r="Q23" s="1352" t="str">
        <f t="shared" ref="Q23:Q37" si="8">B23</f>
        <v>区域土地利用方向</v>
      </c>
      <c r="R23" s="705" t="s">
        <v>14</v>
      </c>
      <c r="S23" s="706">
        <f>F23</f>
        <v>100</v>
      </c>
      <c r="T23" s="705" t="s">
        <v>14</v>
      </c>
      <c r="U23" s="706">
        <f>H23</f>
        <v>100</v>
      </c>
      <c r="V23" s="705" t="s">
        <v>14</v>
      </c>
      <c r="W23" s="706">
        <f>J23</f>
        <v>100</v>
      </c>
      <c r="X23" s="1355"/>
      <c r="Y23" s="3670"/>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70"/>
      <c r="Q24" s="1352"/>
      <c r="R24" s="705"/>
      <c r="S24" s="706"/>
      <c r="T24" s="705"/>
      <c r="U24" s="706"/>
      <c r="V24" s="705"/>
      <c r="W24" s="706"/>
      <c r="X24" s="1355"/>
      <c r="Y24" s="3670"/>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70"/>
      <c r="Q25" s="1352" t="str">
        <f t="shared" si="8"/>
        <v>自然及人文环境状况</v>
      </c>
      <c r="R25" s="705" t="s">
        <v>14</v>
      </c>
      <c r="S25" s="706">
        <f>F25</f>
        <v>100</v>
      </c>
      <c r="T25" s="705" t="s">
        <v>14</v>
      </c>
      <c r="U25" s="706">
        <f>H25</f>
        <v>100</v>
      </c>
      <c r="V25" s="705" t="s">
        <v>14</v>
      </c>
      <c r="W25" s="706">
        <f>J25</f>
        <v>100</v>
      </c>
      <c r="X25" s="1355"/>
      <c r="Y25" s="3670"/>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70"/>
      <c r="Q26" s="1352"/>
      <c r="R26" s="705"/>
      <c r="S26" s="706"/>
      <c r="T26" s="705"/>
      <c r="U26" s="706"/>
      <c r="V26" s="705"/>
      <c r="W26" s="706"/>
      <c r="X26" s="1355"/>
      <c r="Y26" s="3670"/>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70"/>
      <c r="Q27" s="1343" t="str">
        <f t="shared" si="8"/>
        <v>公共配套设施</v>
      </c>
      <c r="R27" s="701" t="s">
        <v>14</v>
      </c>
      <c r="S27" s="702">
        <f>F27</f>
        <v>100</v>
      </c>
      <c r="T27" s="701" t="s">
        <v>14</v>
      </c>
      <c r="U27" s="702">
        <f>H27</f>
        <v>100</v>
      </c>
      <c r="V27" s="701" t="s">
        <v>14</v>
      </c>
      <c r="W27" s="702">
        <f>J27</f>
        <v>100</v>
      </c>
      <c r="X27" s="703"/>
      <c r="Y27" s="3670"/>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70"/>
      <c r="Q28" s="1343"/>
      <c r="R28" s="701"/>
      <c r="S28" s="702"/>
      <c r="T28" s="701"/>
      <c r="U28" s="702"/>
      <c r="V28" s="701"/>
      <c r="W28" s="702"/>
      <c r="X28" s="703"/>
      <c r="Y28" s="3670"/>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70"/>
      <c r="Q29" s="1343" t="str">
        <f t="shared" ref="Q29" si="9">B29</f>
        <v>基础设施水平</v>
      </c>
      <c r="R29" s="701" t="s">
        <v>14</v>
      </c>
      <c r="S29" s="702">
        <f>F29</f>
        <v>100</v>
      </c>
      <c r="T29" s="701" t="s">
        <v>14</v>
      </c>
      <c r="U29" s="702">
        <f>H29</f>
        <v>100</v>
      </c>
      <c r="V29" s="701" t="s">
        <v>14</v>
      </c>
      <c r="W29" s="702">
        <f>J29</f>
        <v>100</v>
      </c>
      <c r="X29" s="703"/>
      <c r="Y29" s="3670"/>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70"/>
      <c r="Q30" s="1343"/>
      <c r="R30" s="701"/>
      <c r="S30" s="702"/>
      <c r="T30" s="701"/>
      <c r="U30" s="702"/>
      <c r="V30" s="701"/>
      <c r="W30" s="702"/>
      <c r="X30" s="703"/>
      <c r="Y30" s="3670"/>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70"/>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70"/>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70"/>
      <c r="Q32" s="1352" t="str">
        <f t="shared" si="8"/>
        <v>毗邻道路的类型与等级</v>
      </c>
      <c r="R32" s="705" t="s">
        <v>14</v>
      </c>
      <c r="S32" s="706">
        <f t="shared" si="10"/>
        <v>100</v>
      </c>
      <c r="T32" s="705" t="s">
        <v>14</v>
      </c>
      <c r="U32" s="706">
        <f t="shared" si="11"/>
        <v>100</v>
      </c>
      <c r="V32" s="705" t="s">
        <v>14</v>
      </c>
      <c r="W32" s="706">
        <f t="shared" si="12"/>
        <v>100</v>
      </c>
      <c r="X32" s="1355"/>
      <c r="Y32" s="3670"/>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70"/>
      <c r="Q33" s="1352"/>
      <c r="R33" s="705"/>
      <c r="S33" s="706"/>
      <c r="T33" s="705"/>
      <c r="U33" s="706"/>
      <c r="V33" s="705"/>
      <c r="W33" s="706"/>
      <c r="X33" s="1355"/>
      <c r="Y33" s="3670"/>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70"/>
      <c r="Q34" s="1352" t="str">
        <f t="shared" si="8"/>
        <v>土地级别</v>
      </c>
      <c r="R34" s="705" t="s">
        <v>14</v>
      </c>
      <c r="S34" s="706">
        <f t="shared" si="10"/>
        <v>100</v>
      </c>
      <c r="T34" s="705" t="s">
        <v>14</v>
      </c>
      <c r="U34" s="706">
        <f t="shared" si="11"/>
        <v>100</v>
      </c>
      <c r="V34" s="705" t="s">
        <v>14</v>
      </c>
      <c r="W34" s="706">
        <f t="shared" si="12"/>
        <v>100</v>
      </c>
      <c r="X34" s="1355"/>
      <c r="Y34" s="3670"/>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70"/>
      <c r="Q35" s="1352">
        <f t="shared" si="8"/>
        <v>111</v>
      </c>
      <c r="R35" s="705" t="s">
        <v>14</v>
      </c>
      <c r="S35" s="706">
        <f t="shared" si="10"/>
        <v>100</v>
      </c>
      <c r="T35" s="705" t="s">
        <v>14</v>
      </c>
      <c r="U35" s="706">
        <f t="shared" si="11"/>
        <v>100</v>
      </c>
      <c r="V35" s="705" t="s">
        <v>14</v>
      </c>
      <c r="W35" s="706">
        <f t="shared" si="12"/>
        <v>100</v>
      </c>
      <c r="X35" s="1355"/>
      <c r="Y35" s="3670"/>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5" t="s">
        <v>1696</v>
      </c>
      <c r="Q36" s="1352">
        <f t="shared" si="8"/>
        <v>111</v>
      </c>
      <c r="R36" s="705" t="s">
        <v>14</v>
      </c>
      <c r="S36" s="706">
        <f t="shared" si="10"/>
        <v>100</v>
      </c>
      <c r="T36" s="705" t="s">
        <v>14</v>
      </c>
      <c r="U36" s="706">
        <f t="shared" si="11"/>
        <v>100</v>
      </c>
      <c r="V36" s="705" t="s">
        <v>14</v>
      </c>
      <c r="W36" s="706">
        <f t="shared" si="12"/>
        <v>100</v>
      </c>
      <c r="X36" s="1355"/>
      <c r="Y36" s="3674"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74"/>
      <c r="Q37" s="1352">
        <f t="shared" si="8"/>
        <v>111</v>
      </c>
      <c r="R37" s="708" t="s">
        <v>14</v>
      </c>
      <c r="S37" s="709">
        <f t="shared" si="10"/>
        <v>100</v>
      </c>
      <c r="T37" s="708" t="s">
        <v>14</v>
      </c>
      <c r="U37" s="709">
        <f t="shared" si="11"/>
        <v>100</v>
      </c>
      <c r="V37" s="708" t="s">
        <v>14</v>
      </c>
      <c r="W37" s="709">
        <f t="shared" si="12"/>
        <v>100</v>
      </c>
      <c r="X37" s="710"/>
      <c r="Y37" s="3674"/>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74"/>
      <c r="Q38" s="1352" t="str">
        <f>B38</f>
        <v>宗地面积</v>
      </c>
      <c r="R38" s="705" t="s">
        <v>14</v>
      </c>
      <c r="S38" s="706" t="e">
        <f t="shared" si="10"/>
        <v>#N/A</v>
      </c>
      <c r="T38" s="705" t="s">
        <v>14</v>
      </c>
      <c r="U38" s="706" t="e">
        <f t="shared" si="11"/>
        <v>#N/A</v>
      </c>
      <c r="V38" s="705" t="s">
        <v>14</v>
      </c>
      <c r="W38" s="706" t="e">
        <f t="shared" si="12"/>
        <v>#N/A</v>
      </c>
      <c r="X38" s="1355"/>
      <c r="Y38" s="3674"/>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74"/>
      <c r="Q39" s="1352" t="str">
        <f t="shared" ref="Q39:Q45" si="14">B39</f>
        <v>宗地形状</v>
      </c>
      <c r="R39" s="705" t="s">
        <v>14</v>
      </c>
      <c r="S39" s="706">
        <f t="shared" si="10"/>
        <v>100</v>
      </c>
      <c r="T39" s="705" t="s">
        <v>14</v>
      </c>
      <c r="U39" s="706">
        <f t="shared" si="11"/>
        <v>100</v>
      </c>
      <c r="V39" s="705" t="s">
        <v>14</v>
      </c>
      <c r="W39" s="706">
        <f t="shared" si="12"/>
        <v>100</v>
      </c>
      <c r="X39" s="1355"/>
      <c r="Y39" s="3674"/>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74"/>
      <c r="Q40" s="1352" t="str">
        <f t="shared" si="14"/>
        <v>临街宽度及深度</v>
      </c>
      <c r="R40" s="705" t="s">
        <v>14</v>
      </c>
      <c r="S40" s="706">
        <f t="shared" si="10"/>
        <v>100</v>
      </c>
      <c r="T40" s="705" t="s">
        <v>14</v>
      </c>
      <c r="U40" s="706">
        <f t="shared" si="11"/>
        <v>100</v>
      </c>
      <c r="V40" s="705" t="s">
        <v>14</v>
      </c>
      <c r="W40" s="706">
        <f t="shared" si="12"/>
        <v>100</v>
      </c>
      <c r="X40" s="1355"/>
      <c r="Y40" s="3674"/>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74"/>
      <c r="Q41" s="1352" t="str">
        <f t="shared" si="14"/>
        <v>宗地开发程度</v>
      </c>
      <c r="R41" s="701" t="s">
        <v>14</v>
      </c>
      <c r="S41" s="702">
        <f t="shared" si="10"/>
        <v>100</v>
      </c>
      <c r="T41" s="701" t="s">
        <v>14</v>
      </c>
      <c r="U41" s="702">
        <f t="shared" si="11"/>
        <v>100</v>
      </c>
      <c r="V41" s="701" t="s">
        <v>14</v>
      </c>
      <c r="W41" s="702">
        <f t="shared" si="12"/>
        <v>100</v>
      </c>
      <c r="X41" s="703"/>
      <c r="Y41" s="3674"/>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74" t="s">
        <v>1696</v>
      </c>
      <c r="Q42" s="1352" t="str">
        <f t="shared" si="14"/>
        <v>工程地质条件</v>
      </c>
      <c r="R42" s="705" t="s">
        <v>14</v>
      </c>
      <c r="S42" s="706">
        <f t="shared" si="10"/>
        <v>100</v>
      </c>
      <c r="T42" s="705" t="s">
        <v>14</v>
      </c>
      <c r="U42" s="706">
        <f t="shared" si="11"/>
        <v>100</v>
      </c>
      <c r="V42" s="705" t="s">
        <v>14</v>
      </c>
      <c r="W42" s="706">
        <f t="shared" si="12"/>
        <v>100</v>
      </c>
      <c r="X42" s="1355"/>
      <c r="Y42" s="3674"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74"/>
      <c r="Q43" s="1352">
        <f t="shared" si="14"/>
        <v>111</v>
      </c>
      <c r="R43" s="705" t="s">
        <v>14</v>
      </c>
      <c r="S43" s="706">
        <f t="shared" si="10"/>
        <v>100</v>
      </c>
      <c r="T43" s="705" t="s">
        <v>14</v>
      </c>
      <c r="U43" s="706">
        <f t="shared" si="11"/>
        <v>100</v>
      </c>
      <c r="V43" s="705" t="s">
        <v>14</v>
      </c>
      <c r="W43" s="706">
        <f t="shared" si="12"/>
        <v>100</v>
      </c>
      <c r="X43" s="1355"/>
      <c r="Y43" s="3674"/>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74"/>
      <c r="Q44" s="1352">
        <f t="shared" si="14"/>
        <v>111</v>
      </c>
      <c r="R44" s="705" t="s">
        <v>14</v>
      </c>
      <c r="S44" s="706">
        <f t="shared" si="10"/>
        <v>100</v>
      </c>
      <c r="T44" s="705" t="s">
        <v>14</v>
      </c>
      <c r="U44" s="706">
        <f t="shared" si="11"/>
        <v>100</v>
      </c>
      <c r="V44" s="705" t="s">
        <v>14</v>
      </c>
      <c r="W44" s="706">
        <f t="shared" si="12"/>
        <v>100</v>
      </c>
      <c r="X44" s="1355"/>
      <c r="Y44" s="3674"/>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74"/>
      <c r="Q45" s="1352">
        <f t="shared" si="14"/>
        <v>111</v>
      </c>
      <c r="R45" s="708" t="s">
        <v>14</v>
      </c>
      <c r="S45" s="709">
        <f t="shared" si="10"/>
        <v>100</v>
      </c>
      <c r="T45" s="708" t="s">
        <v>14</v>
      </c>
      <c r="U45" s="709">
        <f t="shared" si="11"/>
        <v>100</v>
      </c>
      <c r="V45" s="708" t="s">
        <v>14</v>
      </c>
      <c r="W45" s="709">
        <f t="shared" si="12"/>
        <v>100</v>
      </c>
      <c r="X45" s="710"/>
      <c r="Y45" s="3674"/>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67" t="str">
        <f>A46</f>
        <v>成交单价</v>
      </c>
      <c r="Q46" s="3667"/>
      <c r="R46" s="3698">
        <f>E46</f>
        <v>0</v>
      </c>
      <c r="S46" s="3698"/>
      <c r="T46" s="3698">
        <f>G46</f>
        <v>0</v>
      </c>
      <c r="U46" s="3698"/>
      <c r="V46" s="3698">
        <f>I46</f>
        <v>0</v>
      </c>
      <c r="W46" s="3698"/>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67" t="str">
        <f>A47</f>
        <v>比较价值（元/平方米）</v>
      </c>
      <c r="Q47" s="3667"/>
      <c r="R47" s="3727" t="e">
        <f>ROUND(PRODUCT(R46,AA7:AA45),0)</f>
        <v>#DIV/0!</v>
      </c>
      <c r="S47" s="3727"/>
      <c r="T47" s="3727" t="e">
        <f>ROUND(PRODUCT(T46,AB7:AB45),0)</f>
        <v>#DIV/0!</v>
      </c>
      <c r="U47" s="3727"/>
      <c r="V47" s="3727" t="e">
        <f>ROUND(PRODUCT(V46,AC7:AC45),0)</f>
        <v>#DIV/0!</v>
      </c>
      <c r="W47" s="3727"/>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64" t="str">
        <f>A48</f>
        <v>估价对象XX用房的比较价值（楼面单价，元/平方米）</v>
      </c>
      <c r="Q48" s="3665"/>
      <c r="R48" s="3728" t="e">
        <f>ROUND(IF(D47="简单平均",AVERAGE(R47:W47),R47*F47+T47*H47+V47*J47),0)</f>
        <v>#DIV/0!</v>
      </c>
      <c r="S48" s="3728"/>
      <c r="T48" s="3728"/>
      <c r="U48" s="3728"/>
      <c r="V48" s="3728"/>
      <c r="W48" s="3728"/>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2" t="s">
        <v>1887</v>
      </c>
      <c r="H55" s="3729"/>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7284.24</v>
      </c>
      <c r="F56" s="886" t="e">
        <f t="shared" ref="F56:F64" si="15">ROUND(B56*E56/10000,0)</f>
        <v>#DIV/0!</v>
      </c>
      <c r="G56" s="3678"/>
      <c r="H56" s="3667"/>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7284.24</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2023-7-1</v>
      </c>
      <c r="D67" s="692">
        <f>EDATE(C67,-3)</f>
        <v>45017</v>
      </c>
      <c r="E67" s="692">
        <f>EDATE(D67,-3)</f>
        <v>44927</v>
      </c>
      <c r="F67" s="692">
        <f t="shared" ref="F67:O67" si="18">EDATE(E67,-3)</f>
        <v>44835</v>
      </c>
      <c r="G67" s="692">
        <f t="shared" si="18"/>
        <v>44743</v>
      </c>
      <c r="H67" s="692">
        <f t="shared" si="18"/>
        <v>44652</v>
      </c>
      <c r="I67" s="692">
        <f t="shared" si="18"/>
        <v>44562</v>
      </c>
      <c r="J67" s="692">
        <f t="shared" si="18"/>
        <v>44470</v>
      </c>
      <c r="K67" s="692">
        <f t="shared" si="18"/>
        <v>44378</v>
      </c>
      <c r="L67" s="692">
        <f t="shared" si="18"/>
        <v>44287</v>
      </c>
      <c r="M67" s="692">
        <f t="shared" si="18"/>
        <v>44197</v>
      </c>
      <c r="N67" s="692">
        <f t="shared" si="18"/>
        <v>44105</v>
      </c>
      <c r="O67" s="692">
        <f t="shared" si="18"/>
        <v>44013</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H3" sqref="H3"/>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2" t="s">
        <v>1770</v>
      </c>
      <c r="D4" s="3683"/>
      <c r="E4" s="3684" t="s">
        <v>1771</v>
      </c>
      <c r="F4" s="3685"/>
      <c r="G4" s="3682" t="s">
        <v>1772</v>
      </c>
      <c r="H4" s="3683"/>
      <c r="I4" s="3682" t="s">
        <v>1773</v>
      </c>
      <c r="J4" s="3683"/>
      <c r="K4" s="559" t="s">
        <v>1774</v>
      </c>
      <c r="L4" s="2715"/>
      <c r="M4" s="2716"/>
      <c r="N4" s="2716"/>
      <c r="O4" s="2716"/>
      <c r="P4" s="3686" t="s">
        <v>1775</v>
      </c>
      <c r="Q4" s="3687"/>
      <c r="R4" s="3692" t="s">
        <v>1771</v>
      </c>
      <c r="S4" s="3693"/>
      <c r="T4" s="3692" t="s">
        <v>1772</v>
      </c>
      <c r="U4" s="3693"/>
      <c r="V4" s="3698" t="s">
        <v>1773</v>
      </c>
      <c r="W4" s="3698"/>
      <c r="X4" s="1355"/>
      <c r="Y4" s="3692" t="s">
        <v>1775</v>
      </c>
      <c r="Z4" s="3693"/>
      <c r="AA4" s="3679" t="s">
        <v>1771</v>
      </c>
      <c r="AB4" s="3680" t="s">
        <v>1772</v>
      </c>
      <c r="AC4" s="3679" t="s">
        <v>1773</v>
      </c>
    </row>
    <row r="5" spans="1:29" ht="15">
      <c r="A5" s="358"/>
      <c r="B5" s="359"/>
      <c r="C5" s="3701" t="s">
        <v>1673</v>
      </c>
      <c r="D5" s="3702"/>
      <c r="E5" s="3708" t="s">
        <v>1674</v>
      </c>
      <c r="F5" s="3709"/>
      <c r="G5" s="3701" t="s">
        <v>1675</v>
      </c>
      <c r="H5" s="3702"/>
      <c r="I5" s="3701" t="s">
        <v>1676</v>
      </c>
      <c r="J5" s="3702"/>
      <c r="K5" s="559"/>
      <c r="L5" s="2715"/>
      <c r="M5" s="2716"/>
      <c r="N5" s="2716"/>
      <c r="O5" s="2716"/>
      <c r="P5" s="3688"/>
      <c r="Q5" s="3689"/>
      <c r="R5" s="3694"/>
      <c r="S5" s="3695"/>
      <c r="T5" s="3694"/>
      <c r="U5" s="3695"/>
      <c r="V5" s="3698"/>
      <c r="W5" s="3698"/>
      <c r="X5" s="1355"/>
      <c r="Y5" s="3694"/>
      <c r="Z5" s="3695"/>
      <c r="AA5" s="3680"/>
      <c r="AB5" s="3680"/>
      <c r="AC5" s="3680"/>
    </row>
    <row r="6" spans="1:29" ht="15.75" thickBot="1">
      <c r="A6" s="360"/>
      <c r="B6" s="361"/>
      <c r="C6" s="3730" t="s">
        <v>1919</v>
      </c>
      <c r="D6" s="3731"/>
      <c r="E6" s="3732" t="s">
        <v>1919</v>
      </c>
      <c r="F6" s="3733"/>
      <c r="G6" s="3730" t="s">
        <v>1919</v>
      </c>
      <c r="H6" s="3731"/>
      <c r="I6" s="3730" t="s">
        <v>1919</v>
      </c>
      <c r="J6" s="3731"/>
      <c r="K6" s="559" t="s">
        <v>1678</v>
      </c>
      <c r="L6" s="2715"/>
      <c r="M6" s="2716"/>
      <c r="N6" s="2716"/>
      <c r="O6" s="2716"/>
      <c r="P6" s="3690"/>
      <c r="Q6" s="3691"/>
      <c r="R6" s="3694"/>
      <c r="S6" s="3695"/>
      <c r="T6" s="3696"/>
      <c r="U6" s="3697"/>
      <c r="V6" s="3698"/>
      <c r="W6" s="3698"/>
      <c r="X6" s="1355"/>
      <c r="Y6" s="3696"/>
      <c r="Z6" s="3697"/>
      <c r="AA6" s="3681"/>
      <c r="AB6" s="3681"/>
      <c r="AC6" s="3681"/>
    </row>
    <row r="7" spans="1:29" s="108" customFormat="1" ht="15.75" thickBot="1">
      <c r="A7" s="362" t="s">
        <v>1679</v>
      </c>
      <c r="B7" s="363"/>
      <c r="C7" s="364">
        <f>'数据-取费表'!B2</f>
        <v>45135</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03" t="s">
        <v>1680</v>
      </c>
      <c r="Q7" s="3705"/>
      <c r="R7" s="701" t="s">
        <v>14</v>
      </c>
      <c r="S7" s="702">
        <f t="shared" ref="S7:S15" si="0">F7</f>
        <v>0</v>
      </c>
      <c r="T7" s="701" t="s">
        <v>14</v>
      </c>
      <c r="U7" s="702">
        <f t="shared" ref="U7:U15" si="1">H7</f>
        <v>0</v>
      </c>
      <c r="V7" s="701" t="s">
        <v>14</v>
      </c>
      <c r="W7" s="702">
        <f t="shared" ref="W7:W15" si="2">J7</f>
        <v>0</v>
      </c>
      <c r="X7" s="703"/>
      <c r="Y7" s="3703" t="s">
        <v>1680</v>
      </c>
      <c r="Z7" s="3704"/>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03" t="s">
        <v>1683</v>
      </c>
      <c r="Q8" s="3704"/>
      <c r="R8" s="701" t="s">
        <v>14</v>
      </c>
      <c r="S8" s="702">
        <f t="shared" si="0"/>
        <v>0</v>
      </c>
      <c r="T8" s="701" t="s">
        <v>14</v>
      </c>
      <c r="U8" s="702">
        <f t="shared" si="1"/>
        <v>0</v>
      </c>
      <c r="V8" s="701" t="s">
        <v>14</v>
      </c>
      <c r="W8" s="702">
        <f t="shared" si="2"/>
        <v>0</v>
      </c>
      <c r="X8" s="703"/>
      <c r="Y8" s="3703" t="s">
        <v>1683</v>
      </c>
      <c r="Z8" s="3704"/>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67" t="s">
        <v>1686</v>
      </c>
      <c r="Q9" s="1343" t="str">
        <f t="shared" ref="Q9:Q15" si="6">B9</f>
        <v>用途</v>
      </c>
      <c r="R9" s="701" t="s">
        <v>14</v>
      </c>
      <c r="S9" s="702">
        <f t="shared" si="0"/>
        <v>100</v>
      </c>
      <c r="T9" s="701" t="s">
        <v>14</v>
      </c>
      <c r="U9" s="702">
        <f t="shared" si="1"/>
        <v>100</v>
      </c>
      <c r="V9" s="701" t="s">
        <v>14</v>
      </c>
      <c r="W9" s="702">
        <f t="shared" si="2"/>
        <v>100</v>
      </c>
      <c r="X9" s="703"/>
      <c r="Y9" s="3542"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114</v>
      </c>
      <c r="G10" s="383"/>
      <c r="H10" s="127">
        <f>ROUND(100/'数据-取费表'!G16,0)</f>
        <v>114</v>
      </c>
      <c r="I10" s="383"/>
      <c r="J10" s="127">
        <f>ROUND(100/'数据-取费表'!G16,0)</f>
        <v>114</v>
      </c>
      <c r="K10" s="620"/>
      <c r="L10" s="2719"/>
      <c r="M10" s="2720"/>
      <c r="N10" s="2720"/>
      <c r="O10" s="2773"/>
      <c r="P10" s="3667"/>
      <c r="Q10" s="1343" t="str">
        <f t="shared" si="6"/>
        <v>土地使用年限（年）</v>
      </c>
      <c r="R10" s="701" t="s">
        <v>14</v>
      </c>
      <c r="S10" s="702">
        <f t="shared" si="0"/>
        <v>114</v>
      </c>
      <c r="T10" s="701" t="s">
        <v>14</v>
      </c>
      <c r="U10" s="702">
        <f t="shared" si="1"/>
        <v>114</v>
      </c>
      <c r="V10" s="701" t="s">
        <v>14</v>
      </c>
      <c r="W10" s="702">
        <f t="shared" si="2"/>
        <v>114</v>
      </c>
      <c r="X10" s="703"/>
      <c r="Y10" s="3542"/>
      <c r="Z10" s="52" t="str">
        <f t="shared" si="7"/>
        <v>土地使用年限（年）</v>
      </c>
      <c r="AA10" s="704">
        <f t="shared" si="3"/>
        <v>0.8771929824561403</v>
      </c>
      <c r="AB10" s="704">
        <f t="shared" si="4"/>
        <v>0.8771929824561403</v>
      </c>
      <c r="AC10" s="704">
        <f t="shared" si="5"/>
        <v>0.8771929824561403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67"/>
      <c r="Q11" s="1343" t="str">
        <f t="shared" si="6"/>
        <v>容积率</v>
      </c>
      <c r="R11" s="701" t="s">
        <v>14</v>
      </c>
      <c r="S11" s="702" t="e">
        <f t="shared" si="0"/>
        <v>#N/A</v>
      </c>
      <c r="T11" s="701" t="s">
        <v>14</v>
      </c>
      <c r="U11" s="702" t="e">
        <f t="shared" si="1"/>
        <v>#N/A</v>
      </c>
      <c r="V11" s="701" t="s">
        <v>14</v>
      </c>
      <c r="W11" s="702" t="e">
        <f t="shared" si="2"/>
        <v>#N/A</v>
      </c>
      <c r="X11" s="703"/>
      <c r="Y11" s="354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67"/>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67"/>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67"/>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69" t="s">
        <v>1691</v>
      </c>
      <c r="Q15" s="1352" t="str">
        <f t="shared" si="6"/>
        <v>产业集聚程度</v>
      </c>
      <c r="R15" s="705" t="s">
        <v>14</v>
      </c>
      <c r="S15" s="706">
        <f t="shared" si="0"/>
        <v>100</v>
      </c>
      <c r="T15" s="705" t="s">
        <v>14</v>
      </c>
      <c r="U15" s="706">
        <f t="shared" si="1"/>
        <v>100</v>
      </c>
      <c r="V15" s="705" t="s">
        <v>14</v>
      </c>
      <c r="W15" s="706">
        <f t="shared" si="2"/>
        <v>100</v>
      </c>
      <c r="X15" s="1355"/>
      <c r="Y15" s="3669"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70"/>
      <c r="Q16" s="1352"/>
      <c r="R16" s="705"/>
      <c r="S16" s="706"/>
      <c r="T16" s="705"/>
      <c r="U16" s="706"/>
      <c r="V16" s="705"/>
      <c r="W16" s="706"/>
      <c r="X16" s="1355"/>
      <c r="Y16" s="3670"/>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70"/>
      <c r="Q17" s="1352" t="str">
        <f>B17</f>
        <v>交通便捷度</v>
      </c>
      <c r="R17" s="705" t="s">
        <v>14</v>
      </c>
      <c r="S17" s="706">
        <f>F17</f>
        <v>100</v>
      </c>
      <c r="T17" s="705" t="s">
        <v>14</v>
      </c>
      <c r="U17" s="706">
        <f>H17</f>
        <v>100</v>
      </c>
      <c r="V17" s="705" t="s">
        <v>14</v>
      </c>
      <c r="W17" s="706">
        <f>J17</f>
        <v>100</v>
      </c>
      <c r="X17" s="1355"/>
      <c r="Y17" s="3670"/>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70"/>
      <c r="Q18" s="1352"/>
      <c r="R18" s="705"/>
      <c r="S18" s="706"/>
      <c r="T18" s="705"/>
      <c r="U18" s="706"/>
      <c r="V18" s="705"/>
      <c r="W18" s="706"/>
      <c r="X18" s="1355"/>
      <c r="Y18" s="3670"/>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70"/>
      <c r="Q19" s="1352" t="str">
        <f t="shared" ref="Q19:Q33" si="8">B19</f>
        <v>区域土地利用方向</v>
      </c>
      <c r="R19" s="705" t="s">
        <v>14</v>
      </c>
      <c r="S19" s="706">
        <f>F19</f>
        <v>100</v>
      </c>
      <c r="T19" s="705" t="s">
        <v>14</v>
      </c>
      <c r="U19" s="706">
        <f>H19</f>
        <v>100</v>
      </c>
      <c r="V19" s="705" t="s">
        <v>14</v>
      </c>
      <c r="W19" s="706">
        <f>J19</f>
        <v>100</v>
      </c>
      <c r="X19" s="1355"/>
      <c r="Y19" s="3670"/>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70"/>
      <c r="Q20" s="1352"/>
      <c r="R20" s="705"/>
      <c r="S20" s="706"/>
      <c r="T20" s="705"/>
      <c r="U20" s="706"/>
      <c r="V20" s="705"/>
      <c r="W20" s="706"/>
      <c r="X20" s="1355"/>
      <c r="Y20" s="3670"/>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70"/>
      <c r="Q21" s="1352" t="str">
        <f t="shared" si="8"/>
        <v>环境状况</v>
      </c>
      <c r="R21" s="705" t="s">
        <v>14</v>
      </c>
      <c r="S21" s="706">
        <f>F21</f>
        <v>100</v>
      </c>
      <c r="T21" s="705" t="s">
        <v>14</v>
      </c>
      <c r="U21" s="706">
        <f>H21</f>
        <v>100</v>
      </c>
      <c r="V21" s="705" t="s">
        <v>14</v>
      </c>
      <c r="W21" s="706">
        <f>J21</f>
        <v>100</v>
      </c>
      <c r="X21" s="1355"/>
      <c r="Y21" s="3670"/>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70"/>
      <c r="Q22" s="1352"/>
      <c r="R22" s="705"/>
      <c r="S22" s="706"/>
      <c r="T22" s="705"/>
      <c r="U22" s="706"/>
      <c r="V22" s="705"/>
      <c r="W22" s="706"/>
      <c r="X22" s="1355"/>
      <c r="Y22" s="3670"/>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70"/>
      <c r="Q23" s="1343" t="str">
        <f t="shared" si="8"/>
        <v>公共配套设施</v>
      </c>
      <c r="R23" s="701" t="s">
        <v>14</v>
      </c>
      <c r="S23" s="702">
        <f>F23</f>
        <v>100</v>
      </c>
      <c r="T23" s="701" t="s">
        <v>14</v>
      </c>
      <c r="U23" s="702">
        <f>H23</f>
        <v>100</v>
      </c>
      <c r="V23" s="701" t="s">
        <v>14</v>
      </c>
      <c r="W23" s="702">
        <f>J23</f>
        <v>100</v>
      </c>
      <c r="X23" s="703"/>
      <c r="Y23" s="3670"/>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70"/>
      <c r="Q24" s="1343"/>
      <c r="R24" s="701"/>
      <c r="S24" s="702"/>
      <c r="T24" s="701"/>
      <c r="U24" s="702"/>
      <c r="V24" s="701"/>
      <c r="W24" s="702"/>
      <c r="X24" s="703"/>
      <c r="Y24" s="3670"/>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70"/>
      <c r="Q25" s="1343" t="str">
        <f t="shared" ref="Q25" si="9">B25</f>
        <v>基础设施水平</v>
      </c>
      <c r="R25" s="701" t="s">
        <v>14</v>
      </c>
      <c r="S25" s="702">
        <f>F25</f>
        <v>100</v>
      </c>
      <c r="T25" s="701" t="s">
        <v>14</v>
      </c>
      <c r="U25" s="702">
        <f>H25</f>
        <v>100</v>
      </c>
      <c r="V25" s="701" t="s">
        <v>14</v>
      </c>
      <c r="W25" s="702">
        <f>J25</f>
        <v>100</v>
      </c>
      <c r="X25" s="703"/>
      <c r="Y25" s="3670"/>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70"/>
      <c r="Q26" s="1343"/>
      <c r="R26" s="701"/>
      <c r="S26" s="702"/>
      <c r="T26" s="701"/>
      <c r="U26" s="702"/>
      <c r="V26" s="701"/>
      <c r="W26" s="702"/>
      <c r="X26" s="703"/>
      <c r="Y26" s="3670"/>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70"/>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70"/>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70"/>
      <c r="Q28" s="1352" t="str">
        <f t="shared" si="8"/>
        <v>毗邻道路的类型与等级</v>
      </c>
      <c r="R28" s="705" t="s">
        <v>14</v>
      </c>
      <c r="S28" s="706">
        <f t="shared" si="10"/>
        <v>100</v>
      </c>
      <c r="T28" s="705" t="s">
        <v>14</v>
      </c>
      <c r="U28" s="706">
        <f t="shared" si="11"/>
        <v>100</v>
      </c>
      <c r="V28" s="705" t="s">
        <v>14</v>
      </c>
      <c r="W28" s="706">
        <f t="shared" si="12"/>
        <v>100</v>
      </c>
      <c r="X28" s="1355"/>
      <c r="Y28" s="3670"/>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70"/>
      <c r="Q29" s="1352"/>
      <c r="R29" s="705"/>
      <c r="S29" s="706"/>
      <c r="T29" s="705"/>
      <c r="U29" s="706"/>
      <c r="V29" s="705"/>
      <c r="W29" s="706"/>
      <c r="X29" s="1355"/>
      <c r="Y29" s="3670"/>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70"/>
      <c r="Q30" s="1352" t="str">
        <f t="shared" si="8"/>
        <v>土地级别</v>
      </c>
      <c r="R30" s="705" t="s">
        <v>14</v>
      </c>
      <c r="S30" s="706">
        <f t="shared" si="10"/>
        <v>100</v>
      </c>
      <c r="T30" s="705" t="s">
        <v>14</v>
      </c>
      <c r="U30" s="706">
        <f t="shared" si="11"/>
        <v>100</v>
      </c>
      <c r="V30" s="705" t="s">
        <v>14</v>
      </c>
      <c r="W30" s="706">
        <f t="shared" si="12"/>
        <v>100</v>
      </c>
      <c r="X30" s="1355"/>
      <c r="Y30" s="3670"/>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70"/>
      <c r="Q31" s="1352">
        <f t="shared" si="8"/>
        <v>111</v>
      </c>
      <c r="R31" s="705" t="s">
        <v>14</v>
      </c>
      <c r="S31" s="706">
        <f t="shared" si="10"/>
        <v>100</v>
      </c>
      <c r="T31" s="705" t="s">
        <v>14</v>
      </c>
      <c r="U31" s="706">
        <f t="shared" si="11"/>
        <v>100</v>
      </c>
      <c r="V31" s="705" t="s">
        <v>14</v>
      </c>
      <c r="W31" s="706">
        <f t="shared" si="12"/>
        <v>100</v>
      </c>
      <c r="X31" s="1355"/>
      <c r="Y31" s="3670"/>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5" t="s">
        <v>1696</v>
      </c>
      <c r="Q32" s="1352">
        <f t="shared" si="8"/>
        <v>111</v>
      </c>
      <c r="R32" s="705" t="s">
        <v>14</v>
      </c>
      <c r="S32" s="706">
        <f t="shared" si="10"/>
        <v>100</v>
      </c>
      <c r="T32" s="705" t="s">
        <v>14</v>
      </c>
      <c r="U32" s="706">
        <f t="shared" si="11"/>
        <v>100</v>
      </c>
      <c r="V32" s="705" t="s">
        <v>14</v>
      </c>
      <c r="W32" s="706">
        <f t="shared" si="12"/>
        <v>100</v>
      </c>
      <c r="X32" s="1355"/>
      <c r="Y32" s="3674"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74"/>
      <c r="Q33" s="1352">
        <f t="shared" si="8"/>
        <v>111</v>
      </c>
      <c r="R33" s="708" t="s">
        <v>14</v>
      </c>
      <c r="S33" s="709">
        <f t="shared" si="10"/>
        <v>100</v>
      </c>
      <c r="T33" s="708" t="s">
        <v>14</v>
      </c>
      <c r="U33" s="709">
        <f t="shared" si="11"/>
        <v>100</v>
      </c>
      <c r="V33" s="708" t="s">
        <v>14</v>
      </c>
      <c r="W33" s="709">
        <f t="shared" si="12"/>
        <v>100</v>
      </c>
      <c r="X33" s="710"/>
      <c r="Y33" s="3674"/>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74"/>
      <c r="Q34" s="1352" t="str">
        <f>B34</f>
        <v>宗地面积</v>
      </c>
      <c r="R34" s="705" t="s">
        <v>14</v>
      </c>
      <c r="S34" s="706" t="e">
        <f t="shared" si="10"/>
        <v>#N/A</v>
      </c>
      <c r="T34" s="705" t="s">
        <v>14</v>
      </c>
      <c r="U34" s="706" t="e">
        <f t="shared" si="11"/>
        <v>#N/A</v>
      </c>
      <c r="V34" s="705" t="s">
        <v>14</v>
      </c>
      <c r="W34" s="706" t="e">
        <f t="shared" si="12"/>
        <v>#N/A</v>
      </c>
      <c r="X34" s="1355"/>
      <c r="Y34" s="3674"/>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74"/>
      <c r="Q35" s="1352" t="str">
        <f t="shared" ref="Q35:Q40" si="14">B35</f>
        <v>宗地形状</v>
      </c>
      <c r="R35" s="705" t="s">
        <v>14</v>
      </c>
      <c r="S35" s="706">
        <f t="shared" si="10"/>
        <v>100</v>
      </c>
      <c r="T35" s="705" t="s">
        <v>14</v>
      </c>
      <c r="U35" s="706">
        <f t="shared" si="11"/>
        <v>100</v>
      </c>
      <c r="V35" s="705" t="s">
        <v>14</v>
      </c>
      <c r="W35" s="706">
        <f t="shared" si="12"/>
        <v>100</v>
      </c>
      <c r="X35" s="1355"/>
      <c r="Y35" s="3674"/>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74"/>
      <c r="Q36" s="1352" t="str">
        <f t="shared" si="14"/>
        <v>宗地开发程度</v>
      </c>
      <c r="R36" s="701" t="s">
        <v>14</v>
      </c>
      <c r="S36" s="702">
        <f t="shared" si="10"/>
        <v>100</v>
      </c>
      <c r="T36" s="701" t="s">
        <v>14</v>
      </c>
      <c r="U36" s="702">
        <f t="shared" si="11"/>
        <v>100</v>
      </c>
      <c r="V36" s="701" t="s">
        <v>14</v>
      </c>
      <c r="W36" s="702">
        <f t="shared" si="12"/>
        <v>100</v>
      </c>
      <c r="X36" s="703"/>
      <c r="Y36" s="3674"/>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74" t="s">
        <v>1696</v>
      </c>
      <c r="Q37" s="1352" t="str">
        <f t="shared" si="14"/>
        <v>工程地质条件</v>
      </c>
      <c r="R37" s="705" t="s">
        <v>14</v>
      </c>
      <c r="S37" s="706">
        <f t="shared" si="10"/>
        <v>100</v>
      </c>
      <c r="T37" s="705" t="s">
        <v>14</v>
      </c>
      <c r="U37" s="706">
        <f t="shared" si="11"/>
        <v>100</v>
      </c>
      <c r="V37" s="705" t="s">
        <v>14</v>
      </c>
      <c r="W37" s="706">
        <f t="shared" si="12"/>
        <v>100</v>
      </c>
      <c r="X37" s="1355"/>
      <c r="Y37" s="3674"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74"/>
      <c r="Q38" s="1352">
        <f t="shared" si="14"/>
        <v>111</v>
      </c>
      <c r="R38" s="705" t="s">
        <v>14</v>
      </c>
      <c r="S38" s="706">
        <f t="shared" si="10"/>
        <v>100</v>
      </c>
      <c r="T38" s="705" t="s">
        <v>14</v>
      </c>
      <c r="U38" s="706">
        <f t="shared" si="11"/>
        <v>100</v>
      </c>
      <c r="V38" s="705" t="s">
        <v>14</v>
      </c>
      <c r="W38" s="706">
        <f t="shared" si="12"/>
        <v>100</v>
      </c>
      <c r="X38" s="1355"/>
      <c r="Y38" s="3674"/>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74"/>
      <c r="Q39" s="1352">
        <f t="shared" si="14"/>
        <v>111</v>
      </c>
      <c r="R39" s="705" t="s">
        <v>14</v>
      </c>
      <c r="S39" s="706">
        <f t="shared" si="10"/>
        <v>100</v>
      </c>
      <c r="T39" s="705" t="s">
        <v>14</v>
      </c>
      <c r="U39" s="706">
        <f t="shared" si="11"/>
        <v>100</v>
      </c>
      <c r="V39" s="705" t="s">
        <v>14</v>
      </c>
      <c r="W39" s="706">
        <f t="shared" si="12"/>
        <v>100</v>
      </c>
      <c r="X39" s="1355"/>
      <c r="Y39" s="3674"/>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74"/>
      <c r="Q40" s="1352">
        <f t="shared" si="14"/>
        <v>111</v>
      </c>
      <c r="R40" s="708" t="s">
        <v>14</v>
      </c>
      <c r="S40" s="709">
        <f t="shared" si="10"/>
        <v>100</v>
      </c>
      <c r="T40" s="708" t="s">
        <v>14</v>
      </c>
      <c r="U40" s="709">
        <f t="shared" si="11"/>
        <v>100</v>
      </c>
      <c r="V40" s="708" t="s">
        <v>14</v>
      </c>
      <c r="W40" s="709">
        <f t="shared" si="12"/>
        <v>100</v>
      </c>
      <c r="X40" s="710"/>
      <c r="Y40" s="3674"/>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67" t="str">
        <f>A41</f>
        <v>成交单价</v>
      </c>
      <c r="Q41" s="3667"/>
      <c r="R41" s="3698">
        <f>E41</f>
        <v>0</v>
      </c>
      <c r="S41" s="3698"/>
      <c r="T41" s="3698">
        <f>G41</f>
        <v>0</v>
      </c>
      <c r="U41" s="3698"/>
      <c r="V41" s="3698">
        <f>I41</f>
        <v>0</v>
      </c>
      <c r="W41" s="3698"/>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67" t="str">
        <f>A42</f>
        <v>比较价值（元/平方米）</v>
      </c>
      <c r="Q42" s="3667"/>
      <c r="R42" s="3727" t="e">
        <f>ROUND(PRODUCT(R41,AA7:AA40),0)</f>
        <v>#DIV/0!</v>
      </c>
      <c r="S42" s="3727"/>
      <c r="T42" s="3727" t="e">
        <f>ROUND(PRODUCT(T41,AB7:AB40),0)</f>
        <v>#DIV/0!</v>
      </c>
      <c r="U42" s="3727"/>
      <c r="V42" s="3727" t="e">
        <f>ROUND(PRODUCT(V41,AC7:AC40),0)</f>
        <v>#DIV/0!</v>
      </c>
      <c r="W42" s="3727"/>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64" t="str">
        <f>A43</f>
        <v>估价对象XX用房的比较价值（楼面单价，元/平方米）</v>
      </c>
      <c r="Q43" s="3665"/>
      <c r="R43" s="3728" t="e">
        <f>ROUND(IF(D42="简单平均",AVERAGE(R42:W42),R42*F42+T42*H42+V42*J42),0)</f>
        <v>#DIV/0!</v>
      </c>
      <c r="S43" s="3728"/>
      <c r="T43" s="3728"/>
      <c r="U43" s="3728"/>
      <c r="V43" s="3728"/>
      <c r="W43" s="3728"/>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2" t="s">
        <v>1887</v>
      </c>
      <c r="H50" s="3729"/>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7284.24</v>
      </c>
      <c r="F51" s="639" t="e">
        <f t="shared" ref="F51:F60" si="15">ROUND(B51*E51/10000,0)</f>
        <v>#DIV/0!</v>
      </c>
      <c r="G51" s="3678"/>
      <c r="H51" s="3667"/>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2023-7-1</v>
      </c>
      <c r="D63" s="692">
        <f>EDATE(C63,-3)</f>
        <v>45017</v>
      </c>
      <c r="E63" s="692">
        <f>EDATE(D63,-3)</f>
        <v>44927</v>
      </c>
      <c r="F63" s="692">
        <f t="shared" ref="F63:O63" si="18">EDATE(E63,-3)</f>
        <v>44835</v>
      </c>
      <c r="G63" s="692">
        <f t="shared" si="18"/>
        <v>44743</v>
      </c>
      <c r="H63" s="692">
        <f t="shared" si="18"/>
        <v>44652</v>
      </c>
      <c r="I63" s="692">
        <f t="shared" si="18"/>
        <v>44562</v>
      </c>
      <c r="J63" s="692">
        <f t="shared" si="18"/>
        <v>44470</v>
      </c>
      <c r="K63" s="692">
        <f t="shared" si="18"/>
        <v>44378</v>
      </c>
      <c r="L63" s="692">
        <f t="shared" si="18"/>
        <v>44287</v>
      </c>
      <c r="M63" s="692">
        <f t="shared" si="18"/>
        <v>44197</v>
      </c>
      <c r="N63" s="692">
        <f t="shared" si="18"/>
        <v>44105</v>
      </c>
      <c r="O63" s="692">
        <f t="shared" si="18"/>
        <v>44013</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7" t="s">
        <v>2084</v>
      </c>
      <c r="D1" s="3738"/>
      <c r="E1" s="3738"/>
      <c r="F1" s="3738"/>
      <c r="G1" s="3738"/>
      <c r="H1" s="3738"/>
      <c r="I1" s="3738"/>
      <c r="J1" s="3738"/>
      <c r="K1" s="3738"/>
      <c r="L1" s="3738"/>
      <c r="M1" s="3738"/>
      <c r="N1" s="3738"/>
      <c r="O1" s="3738"/>
      <c r="P1" s="3738"/>
      <c r="Q1" s="3738"/>
      <c r="R1" s="3738"/>
      <c r="S1" s="373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4" t="s">
        <v>27</v>
      </c>
      <c r="D22" s="3735"/>
      <c r="E22" s="3735"/>
      <c r="F22" s="3735"/>
      <c r="G22" s="3735"/>
      <c r="H22" s="3735"/>
      <c r="I22" s="3735"/>
      <c r="J22" s="3735"/>
      <c r="K22" s="3735"/>
      <c r="L22" s="3735"/>
      <c r="M22" s="3735"/>
      <c r="N22" s="3735"/>
      <c r="O22" s="3735"/>
      <c r="P22" s="3735"/>
      <c r="Q22" s="373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1077</v>
      </c>
      <c r="C2" s="2145" t="s">
        <v>2074</v>
      </c>
      <c r="D2" s="2145" t="s">
        <v>2075</v>
      </c>
      <c r="E2" s="2612">
        <f ca="1">SUMIF(E6:E13,"&lt;&gt;#ref!",E6:E13)</f>
        <v>7284.24</v>
      </c>
      <c r="F2" s="2793"/>
      <c r="G2" s="2793"/>
      <c r="H2" s="2793"/>
      <c r="I2" s="2793"/>
      <c r="J2" s="2793"/>
      <c r="K2" s="2793"/>
      <c r="L2" s="2793"/>
      <c r="M2" s="2793"/>
      <c r="N2" s="2793"/>
      <c r="O2" s="2793"/>
      <c r="P2" s="2793"/>
    </row>
    <row r="3" spans="1:16" ht="15.75">
      <c r="A3" s="2145" t="s">
        <v>2076</v>
      </c>
      <c r="B3" s="2602">
        <f ca="1">ROUND(B2*10000/E2,0)</f>
        <v>1479</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1077</v>
      </c>
      <c r="C6" s="2145" t="s">
        <v>2074</v>
      </c>
      <c r="D6" s="2793"/>
      <c r="E6" s="2612">
        <f ca="1">SUMIF(INDIRECT("'"&amp;A6&amp;"'"&amp;"!C:C"),"建筑面积",INDIRECT("'"&amp;A6&amp;"'"&amp;"!D:D"))</f>
        <v>7284.24</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25" zoomScaleNormal="80" zoomScaleSheetLayoutView="100" workbookViewId="0">
      <selection activeCell="F88" sqref="F88"/>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7284.24</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1077</v>
      </c>
      <c r="C2" s="1999" t="s">
        <v>1935</v>
      </c>
      <c r="D2" s="2000" t="s">
        <v>1936</v>
      </c>
      <c r="E2" s="3422" t="s">
        <v>3</v>
      </c>
      <c r="F2" s="2000" t="s">
        <v>1937</v>
      </c>
      <c r="G2" s="2001" t="str">
        <f>IF(E2="商业",项目基本情况!B37,IF(E2="办公",项目基本情况!C37,IF(E2="住宅",项目基本情况!D37,IF(E2="工业",项目基本情况!E37,项目基本情况!F37))))</f>
        <v>七级</v>
      </c>
      <c r="H2" s="2000" t="s">
        <v>1938</v>
      </c>
      <c r="I2" s="2001" t="str">
        <f>IF(E2="商业",项目基本情况!B38,IF(E2="办公",项目基本情况!C38,IF(E2="住宅",项目基本情况!D38,IF(E2="工业",项目基本情况!E38,项目基本情况!F38))))</f>
        <v>Ⅶ-兴1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1.5019</v>
      </c>
      <c r="T2" s="3361">
        <f t="shared" ref="T2:T16" si="0">ROUND($C$5*$C$22*$C$23*$C$24*S2*$C$28,0)</f>
        <v>2097</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1479</v>
      </c>
      <c r="C3" s="1999" t="s">
        <v>1941</v>
      </c>
      <c r="D3" s="2000" t="s">
        <v>1942</v>
      </c>
      <c r="E3" s="3420" t="s">
        <v>2483</v>
      </c>
      <c r="F3" s="2004" t="s">
        <v>3400</v>
      </c>
      <c r="G3" s="752">
        <f>IF(F3="宗地容积率",'数据-汇总表'!I4,IF(F3="估价对象容积率",'数据-汇总表'!I6,'数据-汇总表'!I7))</f>
        <v>1</v>
      </c>
      <c r="H3" s="170" t="s">
        <v>1943</v>
      </c>
      <c r="I3" s="775">
        <v>1</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1.1838</v>
      </c>
      <c r="T3" s="3361">
        <f t="shared" si="0"/>
        <v>1653</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47"/>
      <c r="B4" s="3748"/>
      <c r="C4" s="3748"/>
      <c r="D4" s="3749"/>
      <c r="E4" s="3749"/>
      <c r="F4" s="3749"/>
      <c r="G4" s="3749"/>
      <c r="H4" s="3749"/>
      <c r="I4" s="3749"/>
      <c r="J4" s="3750"/>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1.0004999999999999</v>
      </c>
      <c r="T4" s="3361">
        <f t="shared" si="0"/>
        <v>1397</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1495</v>
      </c>
      <c r="D5" s="1339">
        <f>ROUND(C6*C17+C20,0)</f>
        <v>1495</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0.88239999999999996</v>
      </c>
      <c r="T5" s="3361">
        <f t="shared" si="0"/>
        <v>1232</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1570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0.84799999999999998</v>
      </c>
      <c r="T6" s="3361">
        <f t="shared" si="0"/>
        <v>1184</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3243</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1570</v>
      </c>
      <c r="N7" s="866">
        <f>SUMPRODUCT((因素修正幅度!B190:B233=I2)*(因素修正幅度!C3:G3=E2)*(因素修正幅度!C190:G233))</f>
        <v>0.13</v>
      </c>
      <c r="O7" s="1119"/>
      <c r="P7" s="1119"/>
      <c r="Q7" s="1119"/>
      <c r="R7" s="1212">
        <v>6</v>
      </c>
      <c r="S7" s="3419"/>
      <c r="T7" s="3361">
        <f t="shared" si="0"/>
        <v>0</v>
      </c>
      <c r="U7" s="1213"/>
      <c r="V7" s="3361">
        <f t="shared" si="1"/>
        <v>0</v>
      </c>
      <c r="W7" s="1358" t="s">
        <v>1955</v>
      </c>
      <c r="X7" s="1214" t="str">
        <f>G2</f>
        <v>七级</v>
      </c>
      <c r="Y7" s="1214" t="s">
        <v>1956</v>
      </c>
      <c r="Z7" s="1215">
        <f>G3</f>
        <v>1</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4" t="s">
        <v>1960</v>
      </c>
      <c r="X8" s="3745"/>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6"/>
      <c r="X9" s="3362" t="s">
        <v>3274</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6"/>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3244</v>
      </c>
      <c r="B12" s="3305" t="s">
        <v>3245</v>
      </c>
      <c r="C12" s="3306">
        <v>1</v>
      </c>
      <c r="D12" s="3307" t="s">
        <v>3246</v>
      </c>
      <c r="E12" s="3308" t="s">
        <v>3247</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3248</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3249</v>
      </c>
      <c r="G14" s="3312" t="s">
        <v>3249</v>
      </c>
      <c r="H14" s="3312" t="s">
        <v>3249</v>
      </c>
      <c r="I14" s="3312" t="s">
        <v>3249</v>
      </c>
      <c r="J14" s="3312" t="s">
        <v>3249</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3250</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3251</v>
      </c>
      <c r="B17" s="3321" t="s">
        <v>3252</v>
      </c>
      <c r="C17" s="3331">
        <f>ROUND(IF(OR(E2="工业",E2="公共服务"),1,IF(AND(E18=0,E19=0),1,IF(AND(E18=J24,E19=G19),0.8,IF(E19=0,1+E17*(-0.2),1+E17*G17*(-0.2))))),4)</f>
        <v>1</v>
      </c>
      <c r="D17" s="3322" t="s">
        <v>3253</v>
      </c>
      <c r="E17" s="3331">
        <f>ROUND(G18/I18,2)</f>
        <v>0</v>
      </c>
      <c r="F17" s="3322" t="s">
        <v>3256</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3254</v>
      </c>
      <c r="E18" s="3329"/>
      <c r="F18" s="3324" t="s">
        <v>3257</v>
      </c>
      <c r="G18" s="3328">
        <f>ROUND(1-(1/(POWER(1+G24,E18))),4)</f>
        <v>0</v>
      </c>
      <c r="H18" s="3324" t="s">
        <v>3259</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3255</v>
      </c>
      <c r="E19" s="3338"/>
      <c r="F19" s="3339" t="s">
        <v>3258</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1" t="s">
        <v>3260</v>
      </c>
      <c r="B20" s="167" t="s">
        <v>1994</v>
      </c>
      <c r="C20" s="3325">
        <f>ROUND(IF(F21="与级别开发程度一致",0,(G21-E21)/C21),0)</f>
        <v>-75</v>
      </c>
      <c r="D20" s="3341" t="s">
        <v>1998</v>
      </c>
      <c r="E20" s="3342"/>
      <c r="F20" s="3757" t="s">
        <v>1995</v>
      </c>
      <c r="G20" s="3758"/>
      <c r="H20" s="3326" t="s">
        <v>3394</v>
      </c>
      <c r="I20" s="3326" t="s">
        <v>3395</v>
      </c>
      <c r="J20" s="3327" t="s">
        <v>3396</v>
      </c>
      <c r="K20" s="2047" t="s">
        <v>3397</v>
      </c>
      <c r="L20" s="2047" t="s">
        <v>3398</v>
      </c>
      <c r="M20" s="2047" t="s">
        <v>3399</v>
      </c>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2"/>
      <c r="B21" s="2164" t="s">
        <v>1997</v>
      </c>
      <c r="C21" s="2165">
        <f>IF(E3="M4科研用地",SUMPRODUCT((修正!A2:A7=E3)*(修正!B1:M1=G2)*(修正!B2:M7)),SUMPRODUCT((修正!A2:A7=E2)*(修正!B1:M1=G2)*(修正!B2:M7)))</f>
        <v>1.2</v>
      </c>
      <c r="D21" s="187" t="str">
        <f>IF(OR(G2="八级",G2="九级",G2="十级",G2="十一级",G2="十二级"),"五通一平","七通一平")</f>
        <v>七通一平</v>
      </c>
      <c r="E21" s="2155">
        <f>SUMPRODUCT((修正!B1:M1=G2)*(修正!B17:M17))</f>
        <v>315</v>
      </c>
      <c r="F21" s="2156" t="s">
        <v>3393</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15</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1.0629999999999999</v>
      </c>
      <c r="D23" s="2054" t="s">
        <v>2002</v>
      </c>
      <c r="E23" s="761">
        <v>44197</v>
      </c>
      <c r="F23" s="2054" t="s">
        <v>2003</v>
      </c>
      <c r="G23" s="762">
        <f>'数据-取费表'!B2</f>
        <v>45135</v>
      </c>
      <c r="H23" s="3343" t="s">
        <v>3262</v>
      </c>
      <c r="I23" s="3344" t="str">
        <f>IF(H23="季度增幅（自定义）",SUMIF(N25:N28,E2,O25:O28),"")</f>
        <v/>
      </c>
      <c r="J23" s="3446" t="s">
        <v>3261</v>
      </c>
      <c r="K23" s="1125"/>
      <c r="L23" s="2055" t="s">
        <v>2004</v>
      </c>
      <c r="M23" s="1328">
        <f>ROUND(SUMIF(地价!B2:G2,E2,地价!B16:G16),0)</f>
        <v>318</v>
      </c>
      <c r="N23" s="2056" t="s">
        <v>2005</v>
      </c>
      <c r="O23" s="763">
        <f>ROUNDDOWN(DATEDIF(E23,G23,"M")/3,0)</f>
        <v>10</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0.87870000000000004</v>
      </c>
      <c r="D24" s="2060" t="s">
        <v>2007</v>
      </c>
      <c r="E24" s="1335">
        <f>存贷款利率!E23/100</f>
        <v>4.3499999999999997E-2</v>
      </c>
      <c r="F24" s="2060" t="s">
        <v>1999</v>
      </c>
      <c r="G24" s="768">
        <f>SUMIF(M30:Q30,E2,M33:Q33)</f>
        <v>0.05</v>
      </c>
      <c r="H24" s="2060" t="s">
        <v>2008</v>
      </c>
      <c r="I24" s="769">
        <f>SUMIF('数据-取费表'!C6:C15,E2,'数据-取费表'!F6:F15)/COUNTIF('数据-取费表'!C6:C15,E2)</f>
        <v>33.200000000000003</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3341</v>
      </c>
      <c r="C25" s="771">
        <f>IF(B25="容积率修正",IF(G3&lt;10,D26,J26),C27)</f>
        <v>1.0583</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3263</v>
      </c>
      <c r="D26" s="1352">
        <f>IF(E26=G26,F26,IF(G3&lt;10,ROUND(F26+(H26-F26)*(G3-E26)/(G26-E26),4),"——"))</f>
        <v>1.0583</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1.0583</v>
      </c>
      <c r="I26" s="3345" t="s">
        <v>3264</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1.5019</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1077</v>
      </c>
      <c r="D30" s="2083"/>
      <c r="E30" s="2046"/>
      <c r="F30" s="2084"/>
      <c r="G30" s="2046"/>
      <c r="H30" s="2046"/>
      <c r="I30" s="2046"/>
      <c r="J30" s="2085"/>
      <c r="K30" s="1119"/>
      <c r="L30" s="3351" t="s">
        <v>1936</v>
      </c>
      <c r="M30" s="3352" t="s">
        <v>1990</v>
      </c>
      <c r="N30" s="3352" t="s">
        <v>1991</v>
      </c>
      <c r="O30" s="3352" t="s">
        <v>1992</v>
      </c>
      <c r="P30" s="3352" t="s">
        <v>1993</v>
      </c>
      <c r="Q30" s="3355" t="s">
        <v>3268</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1478</v>
      </c>
      <c r="D33" s="2098">
        <f>'数据-基础表'!I13</f>
        <v>7284.24</v>
      </c>
      <c r="E33" s="773">
        <f>ROUND(C33*D33/10000,0)</f>
        <v>1077</v>
      </c>
      <c r="F33" s="3346" t="s">
        <v>3266</v>
      </c>
      <c r="G33" s="2099"/>
      <c r="H33" s="2099"/>
      <c r="I33" s="2099"/>
      <c r="J33" s="2100"/>
      <c r="K33" s="1119"/>
      <c r="L33" s="3349" t="s">
        <v>3269</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222</v>
      </c>
      <c r="D34" s="2103"/>
      <c r="E34" s="773">
        <f>ROUND(IF(B25="楼层修正",SUM(V2:V16)*M40,C34*D34/10000),0)</f>
        <v>0</v>
      </c>
      <c r="F34" s="2104" t="s">
        <v>2032</v>
      </c>
      <c r="G34" s="2105"/>
      <c r="H34" s="2105"/>
      <c r="I34" s="2105"/>
      <c r="J34" s="2106"/>
      <c r="K34" s="1119"/>
      <c r="L34" s="3349" t="s">
        <v>3270</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3267</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3271</v>
      </c>
      <c r="L36" s="3447">
        <f ca="1">'数据-取费表'!B40</f>
        <v>3.5499999999999997E-2</v>
      </c>
      <c r="M36" s="3358">
        <f ca="1">ROUND($L$36*(1+M31),3)</f>
        <v>4.3999999999999997E-2</v>
      </c>
      <c r="N36" s="3358">
        <f ca="1">ROUND($L$36*(1+N31),3)</f>
        <v>4.2999999999999997E-2</v>
      </c>
      <c r="O36" s="3358">
        <f ca="1">ROUND($L$36*(1+O31),3)</f>
        <v>4.1000000000000002E-2</v>
      </c>
      <c r="P36" s="3358">
        <f ca="1">ROUND($L$36*(1+P31),3)</f>
        <v>3.9E-2</v>
      </c>
      <c r="Q36" s="3358">
        <f ca="1">ROUND($L$36*(1+Q31),3)</f>
        <v>4.1000000000000002E-2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5"/>
      <c r="B37" s="2113" t="s">
        <v>2036</v>
      </c>
      <c r="C37" s="175">
        <f>ROUND(D5*C22*C23*C24*C28*F37,0)</f>
        <v>838</v>
      </c>
      <c r="D37" s="2098"/>
      <c r="E37" s="171">
        <f>ROUND(C37*D37/10000,0)</f>
        <v>0</v>
      </c>
      <c r="F37" s="171">
        <f>SUMIF(修正!A57:A68,G2,修正!B57:B68)</f>
        <v>0.6</v>
      </c>
      <c r="G37" s="171">
        <f>ROUND(IF(E2="工业",C37*$M$42,C37*$M$41),0)</f>
        <v>126</v>
      </c>
      <c r="H37" s="171">
        <f>D37</f>
        <v>0</v>
      </c>
      <c r="I37" s="171">
        <f>ROUND(G37*H37/10000,0)</f>
        <v>0</v>
      </c>
      <c r="J37" s="3012"/>
      <c r="K37" s="3359" t="s">
        <v>3272</v>
      </c>
      <c r="L37" s="3357">
        <f ca="1">L36+K38</f>
        <v>4.0499999999999994E-2</v>
      </c>
      <c r="M37" s="3358">
        <f ca="1">ROUND($L$37*(1+M31),3)</f>
        <v>5.0999999999999997E-2</v>
      </c>
      <c r="N37" s="3358">
        <f t="shared" ref="N37:Q37" ca="1" si="3">ROUND($L$37*(1+N31),3)</f>
        <v>4.9000000000000002E-2</v>
      </c>
      <c r="O37" s="3358">
        <f t="shared" ca="1" si="3"/>
        <v>4.7E-2</v>
      </c>
      <c r="P37" s="3358">
        <f t="shared" ca="1" si="3"/>
        <v>4.4999999999999998E-2</v>
      </c>
      <c r="Q37" s="3358">
        <f t="shared" ca="1" si="3"/>
        <v>4.7E-2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6"/>
      <c r="B38" s="2041" t="s">
        <v>2037</v>
      </c>
      <c r="C38" s="175">
        <f>ROUND(D5*C22*C23*C24*C28*F38,0)</f>
        <v>419</v>
      </c>
      <c r="D38" s="2098"/>
      <c r="E38" s="171">
        <f t="shared" ref="E38:E42" si="4">ROUND(C38*D38/10000,0)</f>
        <v>0</v>
      </c>
      <c r="F38" s="171">
        <f>SUMIF(修正!A57:A68,G2,修正!C57:C68)</f>
        <v>0.3</v>
      </c>
      <c r="G38" s="171">
        <f>ROUND(IF(E2="工业",C38*$M$42,C38*$M$41),0)</f>
        <v>63</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6"/>
      <c r="B39" s="2041" t="s">
        <v>3265</v>
      </c>
      <c r="C39" s="175">
        <f>ROUND(D5*C22*C23*C24*C28*F39,0)</f>
        <v>349</v>
      </c>
      <c r="D39" s="2098"/>
      <c r="E39" s="171">
        <f t="shared" si="4"/>
        <v>0</v>
      </c>
      <c r="F39" s="171">
        <f>SUMIF(修正!A57:A68,G2,修正!D57:D68)</f>
        <v>0.25</v>
      </c>
      <c r="G39" s="171">
        <f>ROUND(IF(E2="工业",C39*$M$42,C39*$M$41),0)</f>
        <v>52</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349</v>
      </c>
      <c r="D40" s="2098"/>
      <c r="E40" s="171">
        <f t="shared" si="4"/>
        <v>0</v>
      </c>
      <c r="F40" s="175">
        <f>SUMIF(修正!A57:A68,G2,修正!E57:E68)</f>
        <v>0.25</v>
      </c>
      <c r="G40" s="171">
        <f>ROUND(IF(E2="工业",C40*$M$42,C40*$M$41),0)</f>
        <v>52</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0" t="s">
        <v>3273</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3275</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3275</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3275</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3405</v>
      </c>
      <c r="D83" s="1065">
        <f t="shared" ref="D83:D90" si="22">SUMIF($J$82:$N$82,C83,J83:N83)</f>
        <v>0</v>
      </c>
      <c r="E83" s="744">
        <f>ROUND(SUM(D83:D90),4)</f>
        <v>0</v>
      </c>
      <c r="F83" s="1814">
        <f>IF(E2="工业",SUMIF(L1:L12,G2,N1:N12),"——")</f>
        <v>0.13</v>
      </c>
      <c r="G83" s="1063">
        <f>H83</f>
        <v>1.6899999999999998E-2</v>
      </c>
      <c r="H83" s="1066">
        <f t="shared" ref="H83:H90" si="23">IFERROR(ROUNDDOWN($F$83*I83/2,4),"——")</f>
        <v>1.6899999999999998E-2</v>
      </c>
      <c r="I83" s="3367">
        <v>0.26</v>
      </c>
      <c r="J83" s="1064">
        <f t="shared" ref="J83:J90" si="24">K83+$G83</f>
        <v>3.3799999999999997E-2</v>
      </c>
      <c r="K83" s="1064">
        <f t="shared" ref="K83:K90" si="25">$L83+$G83</f>
        <v>1.6899999999999998E-2</v>
      </c>
      <c r="L83" s="1064">
        <v>0</v>
      </c>
      <c r="M83" s="1064">
        <f t="shared" ref="M83:N90" si="26">L83-$G83</f>
        <v>-1.6899999999999998E-2</v>
      </c>
      <c r="N83" s="1064">
        <f t="shared" si="26"/>
        <v>-3.3799999999999997E-2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3405</v>
      </c>
      <c r="D84" s="1065">
        <f t="shared" si="22"/>
        <v>0</v>
      </c>
      <c r="E84" s="747"/>
      <c r="F84" s="1814"/>
      <c r="G84" s="1063">
        <f t="shared" ref="G84:G90" si="27">H84</f>
        <v>1.95E-2</v>
      </c>
      <c r="H84" s="1066">
        <f t="shared" si="23"/>
        <v>1.95E-2</v>
      </c>
      <c r="I84" s="3367">
        <v>0.3</v>
      </c>
      <c r="J84" s="1064">
        <f t="shared" si="24"/>
        <v>3.9E-2</v>
      </c>
      <c r="K84" s="1064">
        <f t="shared" si="25"/>
        <v>1.95E-2</v>
      </c>
      <c r="L84" s="1064">
        <v>0</v>
      </c>
      <c r="M84" s="1064">
        <f t="shared" si="26"/>
        <v>-1.95E-2</v>
      </c>
      <c r="N84" s="1064">
        <f t="shared" si="26"/>
        <v>-3.9E-2</v>
      </c>
      <c r="Z84" s="1998"/>
      <c r="AA84" s="2053"/>
      <c r="AG84" s="1121"/>
      <c r="AK84" s="2053"/>
    </row>
    <row r="85" spans="1:37" ht="36">
      <c r="A85" s="3369" t="s">
        <v>3276</v>
      </c>
      <c r="B85" s="2134">
        <f>估价对象房地状况!G17</f>
        <v>0</v>
      </c>
      <c r="C85" s="2044" t="s">
        <v>3405</v>
      </c>
      <c r="D85" s="1065">
        <f t="shared" si="22"/>
        <v>0</v>
      </c>
      <c r="E85" s="747"/>
      <c r="F85" s="1814"/>
      <c r="G85" s="1063">
        <f t="shared" si="27"/>
        <v>6.4999999999999997E-3</v>
      </c>
      <c r="H85" s="1066">
        <f t="shared" si="23"/>
        <v>6.4999999999999997E-3</v>
      </c>
      <c r="I85" s="3367">
        <v>0.1</v>
      </c>
      <c r="J85" s="1064">
        <f t="shared" si="24"/>
        <v>1.2999999999999999E-2</v>
      </c>
      <c r="K85" s="1064">
        <f t="shared" si="25"/>
        <v>6.4999999999999997E-3</v>
      </c>
      <c r="L85" s="1064">
        <v>0</v>
      </c>
      <c r="M85" s="1064">
        <f t="shared" si="26"/>
        <v>-6.4999999999999997E-3</v>
      </c>
      <c r="N85" s="1064">
        <f t="shared" si="26"/>
        <v>-1.2999999999999999E-2</v>
      </c>
      <c r="Z85" s="1998"/>
      <c r="AA85" s="2053"/>
      <c r="AG85" s="1121"/>
      <c r="AK85" s="2053"/>
    </row>
    <row r="86" spans="1:37" ht="14.25">
      <c r="A86" s="2130" t="s">
        <v>2067</v>
      </c>
      <c r="B86" s="2134">
        <f>估价对象房地状况!G22</f>
        <v>0</v>
      </c>
      <c r="C86" s="2044" t="s">
        <v>3405</v>
      </c>
      <c r="D86" s="1065">
        <f t="shared" si="22"/>
        <v>0</v>
      </c>
      <c r="E86" s="747"/>
      <c r="F86" s="1814"/>
      <c r="G86" s="1063">
        <f t="shared" si="27"/>
        <v>3.2000000000000002E-3</v>
      </c>
      <c r="H86" s="1066">
        <f t="shared" si="23"/>
        <v>3.2000000000000002E-3</v>
      </c>
      <c r="I86" s="3367">
        <v>0.05</v>
      </c>
      <c r="J86" s="1064">
        <f t="shared" si="24"/>
        <v>6.4000000000000003E-3</v>
      </c>
      <c r="K86" s="1064">
        <f t="shared" si="25"/>
        <v>3.2000000000000002E-3</v>
      </c>
      <c r="L86" s="1064">
        <v>0</v>
      </c>
      <c r="M86" s="1064">
        <f t="shared" si="26"/>
        <v>-3.2000000000000002E-3</v>
      </c>
      <c r="N86" s="1064">
        <f t="shared" si="26"/>
        <v>-6.4000000000000003E-3</v>
      </c>
      <c r="Z86" s="1998"/>
      <c r="AA86" s="2053"/>
      <c r="AG86" s="1121"/>
      <c r="AK86" s="2053"/>
    </row>
    <row r="87" spans="1:37" ht="25.5">
      <c r="A87" s="2130" t="s">
        <v>2059</v>
      </c>
      <c r="B87" s="1326" t="str">
        <f>估价对象房地状况!G19</f>
        <v>估价对象所在区域公共配套设施齐备情况</v>
      </c>
      <c r="C87" s="2044" t="s">
        <v>3405</v>
      </c>
      <c r="D87" s="1065">
        <f t="shared" si="22"/>
        <v>0</v>
      </c>
      <c r="E87" s="747"/>
      <c r="F87" s="1814"/>
      <c r="G87" s="1063">
        <f t="shared" si="27"/>
        <v>3.8999999999999998E-3</v>
      </c>
      <c r="H87" s="1066">
        <f t="shared" si="23"/>
        <v>3.8999999999999998E-3</v>
      </c>
      <c r="I87" s="3367">
        <v>0.06</v>
      </c>
      <c r="J87" s="1064">
        <f t="shared" si="24"/>
        <v>7.7999999999999996E-3</v>
      </c>
      <c r="K87" s="1064">
        <f t="shared" si="25"/>
        <v>3.8999999999999998E-3</v>
      </c>
      <c r="L87" s="1064">
        <v>0</v>
      </c>
      <c r="M87" s="1064">
        <f t="shared" si="26"/>
        <v>-3.8999999999999998E-3</v>
      </c>
      <c r="N87" s="1064">
        <f t="shared" si="26"/>
        <v>-7.7999999999999996E-3</v>
      </c>
    </row>
    <row r="88" spans="1:37" ht="25.5">
      <c r="A88" s="2130" t="s">
        <v>2060</v>
      </c>
      <c r="B88" s="1326" t="str">
        <f>估价对象房地状况!G20</f>
        <v>估价对象所在区域基础设施水平</v>
      </c>
      <c r="C88" s="2044" t="s">
        <v>3405</v>
      </c>
      <c r="D88" s="1065">
        <f t="shared" si="22"/>
        <v>0</v>
      </c>
      <c r="E88" s="747"/>
      <c r="F88" s="1814"/>
      <c r="G88" s="1063">
        <f t="shared" si="27"/>
        <v>7.7999999999999996E-3</v>
      </c>
      <c r="H88" s="1066">
        <f t="shared" si="23"/>
        <v>7.7999999999999996E-3</v>
      </c>
      <c r="I88" s="3367">
        <v>0.12</v>
      </c>
      <c r="J88" s="1064">
        <f t="shared" si="24"/>
        <v>1.5599999999999999E-2</v>
      </c>
      <c r="K88" s="1064">
        <f t="shared" si="25"/>
        <v>7.7999999999999996E-3</v>
      </c>
      <c r="L88" s="1064">
        <v>0</v>
      </c>
      <c r="M88" s="1064">
        <f t="shared" si="26"/>
        <v>-7.7999999999999996E-3</v>
      </c>
      <c r="N88" s="1064">
        <f t="shared" si="26"/>
        <v>-1.5599999999999999E-2</v>
      </c>
    </row>
    <row r="89" spans="1:37" ht="24">
      <c r="A89" s="2130" t="s">
        <v>2057</v>
      </c>
      <c r="B89" s="2136" t="s">
        <v>2071</v>
      </c>
      <c r="C89" s="2044" t="s">
        <v>3405</v>
      </c>
      <c r="D89" s="1065">
        <f t="shared" si="22"/>
        <v>0</v>
      </c>
      <c r="E89" s="747"/>
      <c r="F89" s="1814"/>
      <c r="G89" s="1063">
        <f t="shared" si="27"/>
        <v>3.8999999999999998E-3</v>
      </c>
      <c r="H89" s="1066">
        <f t="shared" si="23"/>
        <v>3.8999999999999998E-3</v>
      </c>
      <c r="I89" s="3367">
        <v>0.06</v>
      </c>
      <c r="J89" s="1064">
        <f t="shared" si="24"/>
        <v>7.7999999999999996E-3</v>
      </c>
      <c r="K89" s="1064">
        <f t="shared" si="25"/>
        <v>3.8999999999999998E-3</v>
      </c>
      <c r="L89" s="1064">
        <v>0</v>
      </c>
      <c r="M89" s="1064">
        <f t="shared" si="26"/>
        <v>-3.8999999999999998E-3</v>
      </c>
      <c r="N89" s="1064">
        <f t="shared" si="26"/>
        <v>-7.7999999999999996E-3</v>
      </c>
    </row>
    <row r="90" spans="1:37" ht="39" thickBot="1">
      <c r="A90" s="2138" t="s">
        <v>2072</v>
      </c>
      <c r="B90" s="2143" t="str">
        <f>估价对象房地状况!G18</f>
        <v>该园区内是否有污染型企业，绿化情况，卫生条件，整体环境状况判断</v>
      </c>
      <c r="C90" s="2044" t="s">
        <v>3405</v>
      </c>
      <c r="D90" s="1065">
        <f t="shared" si="22"/>
        <v>0</v>
      </c>
      <c r="E90" s="748"/>
      <c r="F90" s="1814"/>
      <c r="G90" s="1063">
        <f t="shared" si="27"/>
        <v>3.2000000000000002E-3</v>
      </c>
      <c r="H90" s="1066">
        <f t="shared" si="23"/>
        <v>3.2000000000000002E-3</v>
      </c>
      <c r="I90" s="3368">
        <v>0.05</v>
      </c>
      <c r="J90" s="1064">
        <f t="shared" si="24"/>
        <v>6.4000000000000003E-3</v>
      </c>
      <c r="K90" s="1064">
        <f t="shared" si="25"/>
        <v>3.2000000000000002E-3</v>
      </c>
      <c r="L90" s="1064">
        <v>0</v>
      </c>
      <c r="M90" s="1064">
        <f t="shared" si="26"/>
        <v>-3.2000000000000002E-3</v>
      </c>
      <c r="N90" s="1064">
        <f t="shared" si="26"/>
        <v>-6.4000000000000003E-3</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3277</v>
      </c>
      <c r="B92" s="3366"/>
      <c r="C92" s="3366" t="s">
        <v>3286</v>
      </c>
      <c r="D92" s="3366" t="s">
        <v>3287</v>
      </c>
      <c r="E92" s="3348" t="s">
        <v>3288</v>
      </c>
      <c r="F92" s="3381" t="s">
        <v>3289</v>
      </c>
      <c r="G92" s="3366" t="s">
        <v>3290</v>
      </c>
      <c r="H92" s="3388" t="s">
        <v>3293</v>
      </c>
      <c r="I92" s="3366" t="s">
        <v>3294</v>
      </c>
      <c r="J92" s="3389" t="s">
        <v>3295</v>
      </c>
      <c r="K92" s="3389" t="s">
        <v>3296</v>
      </c>
      <c r="L92" s="3389" t="s">
        <v>3297</v>
      </c>
      <c r="M92" s="3389" t="s">
        <v>3298</v>
      </c>
      <c r="N92" s="3389" t="s">
        <v>3299</v>
      </c>
    </row>
    <row r="93" spans="1:37" ht="24">
      <c r="A93" s="3369" t="s">
        <v>3278</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3279</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3275</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3280</v>
      </c>
      <c r="B96" s="3385" t="s">
        <v>3291</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3281</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3282</v>
      </c>
      <c r="B98" s="3386" t="s">
        <v>3292</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3283</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3284</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3285</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53" t="s">
        <v>3300</v>
      </c>
      <c r="B103" s="3753"/>
      <c r="C103" s="3753"/>
      <c r="D103" s="3753"/>
      <c r="E103" s="3753"/>
      <c r="F103" s="3753"/>
      <c r="G103" s="3753"/>
      <c r="H103" s="3753"/>
      <c r="I103" s="3753"/>
      <c r="J103" s="3753"/>
      <c r="K103" s="3390"/>
      <c r="L103" s="3390"/>
      <c r="M103" s="3390"/>
      <c r="N103" s="3390"/>
    </row>
    <row r="104" spans="1:14">
      <c r="A104" s="3754" t="s">
        <v>3301</v>
      </c>
      <c r="B104" s="3754" t="s">
        <v>3302</v>
      </c>
      <c r="C104" s="3391" t="s">
        <v>3303</v>
      </c>
      <c r="D104" s="3392"/>
      <c r="E104" s="3392"/>
      <c r="F104" s="3392"/>
      <c r="G104" s="3392"/>
      <c r="H104" s="3392"/>
      <c r="I104" s="3392"/>
      <c r="J104" s="3393"/>
      <c r="K104" s="3394"/>
      <c r="L104" s="3394"/>
      <c r="M104" s="3394"/>
      <c r="N104" s="3394"/>
    </row>
    <row r="105" spans="1:14">
      <c r="A105" s="3754"/>
      <c r="B105" s="3754"/>
      <c r="C105" s="3395" t="s">
        <v>3304</v>
      </c>
      <c r="D105" s="3395" t="s">
        <v>3305</v>
      </c>
      <c r="E105" s="3395" t="s">
        <v>3306</v>
      </c>
      <c r="F105" s="3395" t="s">
        <v>3307</v>
      </c>
      <c r="G105" s="3395" t="s">
        <v>3308</v>
      </c>
      <c r="H105" s="3395" t="s">
        <v>3309</v>
      </c>
      <c r="I105" s="3395" t="s">
        <v>3310</v>
      </c>
      <c r="J105" s="3395" t="s">
        <v>3311</v>
      </c>
      <c r="K105" s="3395" t="s">
        <v>3312</v>
      </c>
      <c r="L105" s="3395" t="s">
        <v>3313</v>
      </c>
      <c r="M105" s="3395" t="s">
        <v>3314</v>
      </c>
      <c r="N105" s="3395" t="s">
        <v>3315</v>
      </c>
    </row>
    <row r="106" spans="1:14">
      <c r="A106" s="3740" t="s">
        <v>3316</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1"/>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1"/>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1"/>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1"/>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1"/>
      <c r="B111" s="3395" t="s">
        <v>3274</v>
      </c>
      <c r="C111" s="3396">
        <f>$I$3</f>
        <v>1</v>
      </c>
      <c r="D111" s="3396">
        <f t="shared" ref="D111:M111" si="33">$I$3</f>
        <v>1</v>
      </c>
      <c r="E111" s="3396">
        <f t="shared" si="33"/>
        <v>1</v>
      </c>
      <c r="F111" s="3396">
        <f t="shared" si="33"/>
        <v>1</v>
      </c>
      <c r="G111" s="3396">
        <f t="shared" si="33"/>
        <v>1</v>
      </c>
      <c r="H111" s="3396">
        <f t="shared" si="33"/>
        <v>1</v>
      </c>
      <c r="I111" s="3396">
        <f t="shared" si="33"/>
        <v>1</v>
      </c>
      <c r="J111" s="3396">
        <f t="shared" si="33"/>
        <v>1</v>
      </c>
      <c r="K111" s="3396">
        <f t="shared" si="33"/>
        <v>1</v>
      </c>
      <c r="L111" s="3396">
        <f t="shared" si="33"/>
        <v>1</v>
      </c>
      <c r="M111" s="3396">
        <f t="shared" si="33"/>
        <v>1</v>
      </c>
      <c r="N111" s="3396">
        <f>$I$3</f>
        <v>1</v>
      </c>
    </row>
    <row r="112" spans="1:14">
      <c r="A112" s="3742"/>
      <c r="B112" s="3395">
        <v>6</v>
      </c>
      <c r="C112" s="3388">
        <f>(-0.5556*(C111^2)-0.2719*C111+8944)*(10^(-4))</f>
        <v>0.89431725000000006</v>
      </c>
      <c r="D112" s="3388">
        <f>(-0.5556*(D111^2)-0.2719*D111+8944)*(10^(-4))</f>
        <v>0.89431725000000006</v>
      </c>
      <c r="E112" s="3388">
        <f>(-0.7912*(E111^2)-11.3794*E111+8482)*(10^(-4))</f>
        <v>0.84698294000000007</v>
      </c>
      <c r="F112" s="3388">
        <f t="shared" ref="F112:I112" si="34">(-0.7912*(F111^2)-11.3794*F111+8482)*(10^(-4))</f>
        <v>0.84698294000000007</v>
      </c>
      <c r="G112" s="3388">
        <f t="shared" si="34"/>
        <v>0.84698294000000007</v>
      </c>
      <c r="H112" s="3388">
        <f t="shared" si="34"/>
        <v>0.84698294000000007</v>
      </c>
      <c r="I112" s="3388">
        <f t="shared" si="34"/>
        <v>0.84698294000000007</v>
      </c>
      <c r="J112" s="3388">
        <f>(-0.989*(J111^2)-63.78*J111+7771)*(10^(-4))</f>
        <v>0.77062310000000001</v>
      </c>
      <c r="K112" s="3388">
        <f t="shared" ref="K112:N112" si="35">(-0.989*(K111^2)-63.78*K111+7771)*(10^(-4))</f>
        <v>0.77062310000000001</v>
      </c>
      <c r="L112" s="3388">
        <f t="shared" si="35"/>
        <v>0.77062310000000001</v>
      </c>
      <c r="M112" s="3388">
        <f t="shared" si="35"/>
        <v>0.77062310000000001</v>
      </c>
      <c r="N112" s="3388">
        <f t="shared" si="35"/>
        <v>0.77062310000000001</v>
      </c>
    </row>
    <row r="113" spans="1:14">
      <c r="A113" s="3743" t="s">
        <v>3317</v>
      </c>
      <c r="B113" s="3743"/>
      <c r="C113" s="3743"/>
      <c r="D113" s="3743"/>
      <c r="E113" s="3743"/>
      <c r="F113" s="3743"/>
      <c r="G113" s="3743"/>
      <c r="H113" s="3743"/>
      <c r="I113" s="3743"/>
      <c r="J113" s="3743"/>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3318</v>
      </c>
      <c r="B116" s="3416">
        <f>G3</f>
        <v>1</v>
      </c>
      <c r="C116" s="3400" t="s">
        <v>3319</v>
      </c>
      <c r="D116" s="3401">
        <f>SUMPRODUCT((A118:A122=F116)*(B117:M117=H116)*B118:M122)</f>
        <v>0.64319999999999999</v>
      </c>
      <c r="E116" s="2000" t="s">
        <v>3320</v>
      </c>
      <c r="F116" s="3402" t="str">
        <f>E2</f>
        <v>工业</v>
      </c>
      <c r="G116" s="2000" t="s">
        <v>3321</v>
      </c>
      <c r="H116" s="3402" t="str">
        <f>G2</f>
        <v>七级</v>
      </c>
      <c r="I116" s="2000"/>
      <c r="J116" s="3403"/>
      <c r="K116" s="3403"/>
      <c r="L116" s="3403"/>
      <c r="M116" s="3403"/>
      <c r="N116" s="3398"/>
    </row>
    <row r="117" spans="1:14">
      <c r="A117" s="3404"/>
      <c r="B117" s="3405" t="s">
        <v>3322</v>
      </c>
      <c r="C117" s="3405" t="s">
        <v>3323</v>
      </c>
      <c r="D117" s="3405" t="s">
        <v>3324</v>
      </c>
      <c r="E117" s="3406" t="s">
        <v>3325</v>
      </c>
      <c r="F117" s="3406" t="s">
        <v>3326</v>
      </c>
      <c r="G117" s="3406" t="s">
        <v>3327</v>
      </c>
      <c r="H117" s="3407" t="s">
        <v>3328</v>
      </c>
      <c r="I117" s="3407" t="s">
        <v>3329</v>
      </c>
      <c r="J117" s="3408" t="s">
        <v>3330</v>
      </c>
      <c r="K117" s="3408" t="s">
        <v>3331</v>
      </c>
      <c r="L117" s="3408" t="s">
        <v>3332</v>
      </c>
      <c r="M117" s="3409" t="s">
        <v>3333</v>
      </c>
      <c r="N117" s="3398"/>
    </row>
    <row r="118" spans="1:14">
      <c r="A118" s="3410" t="s">
        <v>3334</v>
      </c>
      <c r="B118" s="3388">
        <f>ROUND(0.9968-0.011*B116,4)</f>
        <v>0.98580000000000001</v>
      </c>
      <c r="C118" s="3388">
        <f>B118</f>
        <v>0.98580000000000001</v>
      </c>
      <c r="D118" s="3388">
        <f>ROUND(0.949-0.014*B116,4)</f>
        <v>0.93500000000000005</v>
      </c>
      <c r="E118" s="3388">
        <f>D118</f>
        <v>0.93500000000000005</v>
      </c>
      <c r="F118" s="3388">
        <f>E118</f>
        <v>0.93500000000000005</v>
      </c>
      <c r="G118" s="3388">
        <f>F118</f>
        <v>0.93500000000000005</v>
      </c>
      <c r="H118" s="3388">
        <f>G118</f>
        <v>0.93500000000000005</v>
      </c>
      <c r="I118" s="3388">
        <f>ROUND(0.8486-0.018*B116,4)</f>
        <v>0.8306</v>
      </c>
      <c r="J118" s="3388">
        <f t="shared" ref="J118:M122" si="36">I118</f>
        <v>0.8306</v>
      </c>
      <c r="K118" s="3388">
        <f t="shared" si="36"/>
        <v>0.8306</v>
      </c>
      <c r="L118" s="3388">
        <f t="shared" si="36"/>
        <v>0.8306</v>
      </c>
      <c r="M118" s="3411">
        <f t="shared" si="36"/>
        <v>0.8306</v>
      </c>
      <c r="N118" s="3398"/>
    </row>
    <row r="119" spans="1:14">
      <c r="A119" s="3410" t="s">
        <v>3335</v>
      </c>
      <c r="B119" s="3388">
        <f>ROUND(0.993-0.0112*B116,4)</f>
        <v>0.98180000000000001</v>
      </c>
      <c r="C119" s="3388">
        <f>B119</f>
        <v>0.98180000000000001</v>
      </c>
      <c r="D119" s="3388">
        <f>ROUND(0.9415-0.0142*B116,4)</f>
        <v>0.92730000000000001</v>
      </c>
      <c r="E119" s="3388">
        <f t="shared" ref="E119:H120" si="37">D119</f>
        <v>0.92730000000000001</v>
      </c>
      <c r="F119" s="3388">
        <f t="shared" si="37"/>
        <v>0.92730000000000001</v>
      </c>
      <c r="G119" s="3388">
        <f t="shared" si="37"/>
        <v>0.92730000000000001</v>
      </c>
      <c r="H119" s="3388">
        <f t="shared" si="37"/>
        <v>0.92730000000000001</v>
      </c>
      <c r="I119" s="3388">
        <f>ROUND(0.838-0.0182*B116,4)</f>
        <v>0.81979999999999997</v>
      </c>
      <c r="J119" s="3388">
        <f t="shared" si="36"/>
        <v>0.81979999999999997</v>
      </c>
      <c r="K119" s="3388">
        <f t="shared" si="36"/>
        <v>0.81979999999999997</v>
      </c>
      <c r="L119" s="3388">
        <f t="shared" si="36"/>
        <v>0.81979999999999997</v>
      </c>
      <c r="M119" s="3411">
        <f t="shared" si="36"/>
        <v>0.81979999999999997</v>
      </c>
      <c r="N119" s="3398"/>
    </row>
    <row r="120" spans="1:14">
      <c r="A120" s="3410" t="s">
        <v>3336</v>
      </c>
      <c r="B120" s="3388">
        <f>ROUND(0.9448-0.0115*B116,4)</f>
        <v>0.93330000000000002</v>
      </c>
      <c r="C120" s="3388">
        <f>B120</f>
        <v>0.93330000000000002</v>
      </c>
      <c r="D120" s="3388">
        <f>ROUND(0.937-0.0145*B116,4)</f>
        <v>0.92249999999999999</v>
      </c>
      <c r="E120" s="3388">
        <f t="shared" si="37"/>
        <v>0.92249999999999999</v>
      </c>
      <c r="F120" s="3388">
        <f t="shared" si="37"/>
        <v>0.92249999999999999</v>
      </c>
      <c r="G120" s="3388">
        <f t="shared" si="37"/>
        <v>0.92249999999999999</v>
      </c>
      <c r="H120" s="3388">
        <f t="shared" si="37"/>
        <v>0.92249999999999999</v>
      </c>
      <c r="I120" s="3388">
        <f>ROUND(0.7965-0.0185*B116,4)</f>
        <v>0.77800000000000002</v>
      </c>
      <c r="J120" s="3388">
        <f t="shared" si="36"/>
        <v>0.77800000000000002</v>
      </c>
      <c r="K120" s="3388">
        <f t="shared" si="36"/>
        <v>0.77800000000000002</v>
      </c>
      <c r="L120" s="3388">
        <f t="shared" si="36"/>
        <v>0.77800000000000002</v>
      </c>
      <c r="M120" s="3411">
        <f t="shared" si="36"/>
        <v>0.77800000000000002</v>
      </c>
      <c r="N120" s="3398"/>
    </row>
    <row r="121" spans="1:14" ht="13.5" thickBot="1">
      <c r="A121" s="3412" t="s">
        <v>3337</v>
      </c>
      <c r="B121" s="3413">
        <f>ROUND(0.7836-0.012*B116,4)</f>
        <v>0.77159999999999995</v>
      </c>
      <c r="C121" s="3413">
        <f>B121</f>
        <v>0.77159999999999995</v>
      </c>
      <c r="D121" s="3413">
        <f>ROUND(0.753-0.015*B116,4)</f>
        <v>0.73799999999999999</v>
      </c>
      <c r="E121" s="3413">
        <f>D121</f>
        <v>0.73799999999999999</v>
      </c>
      <c r="F121" s="3413">
        <f>E121</f>
        <v>0.73799999999999999</v>
      </c>
      <c r="G121" s="3413">
        <f>ROUND(0.6612-0.018*B116,4)</f>
        <v>0.64319999999999999</v>
      </c>
      <c r="H121" s="3413">
        <f>G121</f>
        <v>0.64319999999999999</v>
      </c>
      <c r="I121" s="3413">
        <f>ROUND(0.5905-0.019*B116,4)</f>
        <v>0.57150000000000001</v>
      </c>
      <c r="J121" s="3413">
        <f t="shared" si="36"/>
        <v>0.57150000000000001</v>
      </c>
      <c r="K121" s="3413">
        <f t="shared" si="36"/>
        <v>0.57150000000000001</v>
      </c>
      <c r="L121" s="3413">
        <f t="shared" si="36"/>
        <v>0.57150000000000001</v>
      </c>
      <c r="M121" s="3414">
        <f t="shared" si="36"/>
        <v>0.57150000000000001</v>
      </c>
      <c r="N121" s="3398"/>
    </row>
    <row r="122" spans="1:14">
      <c r="A122" s="3415" t="s">
        <v>2616</v>
      </c>
      <c r="B122" s="3388">
        <f>ROUND(0.9404-0.0106*B116,4)</f>
        <v>0.92979999999999996</v>
      </c>
      <c r="C122" s="3388">
        <f>B122</f>
        <v>0.92979999999999996</v>
      </c>
      <c r="D122" s="3388">
        <f>ROUND(0.8955-0.0135*B116,4)</f>
        <v>0.88200000000000001</v>
      </c>
      <c r="E122" s="3388">
        <f t="shared" ref="E122:H122" si="38">D122</f>
        <v>0.88200000000000001</v>
      </c>
      <c r="F122" s="3388">
        <f t="shared" si="38"/>
        <v>0.88200000000000001</v>
      </c>
      <c r="G122" s="3388">
        <f t="shared" si="38"/>
        <v>0.88200000000000001</v>
      </c>
      <c r="H122" s="3388">
        <f t="shared" si="38"/>
        <v>0.88200000000000001</v>
      </c>
      <c r="I122" s="3388">
        <f>ROUND(0.7632-0.0166*B116,4)</f>
        <v>0.74660000000000004</v>
      </c>
      <c r="J122" s="3388">
        <f t="shared" si="36"/>
        <v>0.74660000000000004</v>
      </c>
      <c r="K122" s="3388">
        <f t="shared" si="36"/>
        <v>0.74660000000000004</v>
      </c>
      <c r="L122" s="3388">
        <f t="shared" si="36"/>
        <v>0.74660000000000004</v>
      </c>
      <c r="M122" s="3411">
        <f t="shared" si="36"/>
        <v>0.74660000000000004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8" t="s">
        <v>2611</v>
      </c>
      <c r="B20" s="3763" t="s">
        <v>2632</v>
      </c>
      <c r="C20" s="3103" t="s">
        <v>2443</v>
      </c>
      <c r="D20" s="3104"/>
      <c r="E20" s="3105">
        <v>1</v>
      </c>
      <c r="F20" s="3106" t="s">
        <v>2444</v>
      </c>
      <c r="G20" s="3106"/>
    </row>
    <row r="21" spans="1:13" ht="19.5" customHeight="1">
      <c r="A21" s="3769"/>
      <c r="B21" s="3762"/>
      <c r="C21" s="3107" t="s">
        <v>2445</v>
      </c>
      <c r="D21" s="3108"/>
      <c r="E21" s="3109">
        <v>1</v>
      </c>
      <c r="F21" s="3106" t="s">
        <v>2446</v>
      </c>
      <c r="G21" s="3106"/>
    </row>
    <row r="22" spans="1:13" ht="19.5" customHeight="1">
      <c r="A22" s="3769"/>
      <c r="B22" s="3762"/>
      <c r="C22" s="3107" t="s">
        <v>2447</v>
      </c>
      <c r="D22" s="3108"/>
      <c r="E22" s="3109">
        <v>0.9</v>
      </c>
      <c r="F22" s="3106" t="s">
        <v>2448</v>
      </c>
      <c r="G22" s="3106"/>
    </row>
    <row r="23" spans="1:13" ht="19.5" customHeight="1">
      <c r="A23" s="3769"/>
      <c r="B23" s="3762"/>
      <c r="C23" s="3107" t="s">
        <v>2449</v>
      </c>
      <c r="D23" s="3108"/>
      <c r="E23" s="3109">
        <v>0.9</v>
      </c>
      <c r="F23" s="3106" t="s">
        <v>2450</v>
      </c>
      <c r="G23" s="3106"/>
    </row>
    <row r="24" spans="1:13" ht="19.5" customHeight="1">
      <c r="A24" s="3769"/>
      <c r="B24" s="3762"/>
      <c r="C24" s="3107" t="s">
        <v>2451</v>
      </c>
      <c r="D24" s="3108"/>
      <c r="E24" s="3109">
        <v>0.8</v>
      </c>
      <c r="F24" s="3106" t="s">
        <v>2452</v>
      </c>
      <c r="G24" s="3106"/>
    </row>
    <row r="25" spans="1:13" ht="19.5" customHeight="1" thickBot="1">
      <c r="A25" s="3770"/>
      <c r="B25" s="3764"/>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5" t="s">
        <v>2635</v>
      </c>
      <c r="B27" s="3763" t="s">
        <v>2616</v>
      </c>
      <c r="C27" s="3103" t="s">
        <v>2456</v>
      </c>
      <c r="D27" s="3104"/>
      <c r="E27" s="3105">
        <v>1</v>
      </c>
      <c r="F27" s="3106" t="s">
        <v>2457</v>
      </c>
      <c r="G27" s="3106"/>
    </row>
    <row r="28" spans="1:13" ht="19.5" customHeight="1">
      <c r="A28" s="3766"/>
      <c r="B28" s="3762"/>
      <c r="C28" s="3107" t="s">
        <v>2458</v>
      </c>
      <c r="D28" s="3108"/>
      <c r="E28" s="3109">
        <v>1</v>
      </c>
      <c r="F28" s="3106" t="s">
        <v>2459</v>
      </c>
      <c r="G28" s="3106"/>
    </row>
    <row r="29" spans="1:13" ht="19.5" customHeight="1">
      <c r="A29" s="3766"/>
      <c r="B29" s="3762"/>
      <c r="C29" s="3107" t="s">
        <v>2460</v>
      </c>
      <c r="D29" s="3108"/>
      <c r="E29" s="3109">
        <v>0.8</v>
      </c>
      <c r="F29" s="3106" t="s">
        <v>2461</v>
      </c>
      <c r="G29" s="3106"/>
    </row>
    <row r="30" spans="1:13" ht="19.5" customHeight="1">
      <c r="A30" s="3766"/>
      <c r="B30" s="3762"/>
      <c r="C30" s="3107" t="s">
        <v>2462</v>
      </c>
      <c r="D30" s="3108"/>
      <c r="E30" s="3109">
        <v>0.8</v>
      </c>
      <c r="F30" s="3106" t="s">
        <v>2463</v>
      </c>
      <c r="G30" s="3106"/>
    </row>
    <row r="31" spans="1:13" ht="19.5" customHeight="1">
      <c r="A31" s="3766"/>
      <c r="B31" s="3762"/>
      <c r="C31" s="3107" t="s">
        <v>2464</v>
      </c>
      <c r="D31" s="3108"/>
      <c r="E31" s="3109">
        <v>0.8</v>
      </c>
      <c r="F31" s="3106" t="s">
        <v>2465</v>
      </c>
      <c r="G31" s="3106"/>
    </row>
    <row r="32" spans="1:13" ht="19.5" customHeight="1">
      <c r="A32" s="3766"/>
      <c r="B32" s="3762"/>
      <c r="C32" s="3107" t="s">
        <v>2466</v>
      </c>
      <c r="D32" s="3108"/>
      <c r="E32" s="3109">
        <v>0.7</v>
      </c>
      <c r="F32" s="3106" t="s">
        <v>2467</v>
      </c>
      <c r="G32" s="3106"/>
    </row>
    <row r="33" spans="1:7" ht="19.5" customHeight="1">
      <c r="A33" s="3766"/>
      <c r="B33" s="3762"/>
      <c r="C33" s="3107" t="s">
        <v>2468</v>
      </c>
      <c r="D33" s="3108"/>
      <c r="E33" s="3109">
        <v>0.8</v>
      </c>
      <c r="F33" s="3106" t="s">
        <v>2469</v>
      </c>
      <c r="G33" s="3106"/>
    </row>
    <row r="34" spans="1:7" ht="19.5" customHeight="1">
      <c r="A34" s="3766"/>
      <c r="B34" s="3762"/>
      <c r="C34" s="3107" t="s">
        <v>2470</v>
      </c>
      <c r="D34" s="3108"/>
      <c r="E34" s="3109">
        <v>0.6</v>
      </c>
      <c r="F34" s="3106" t="s">
        <v>2471</v>
      </c>
      <c r="G34" s="3106"/>
    </row>
    <row r="35" spans="1:7" ht="19.5" customHeight="1">
      <c r="A35" s="3766"/>
      <c r="B35" s="3762"/>
      <c r="C35" s="3107" t="s">
        <v>2472</v>
      </c>
      <c r="D35" s="3108"/>
      <c r="E35" s="3109">
        <v>0.2</v>
      </c>
      <c r="F35" s="3106" t="s">
        <v>2473</v>
      </c>
      <c r="G35" s="3106"/>
    </row>
    <row r="36" spans="1:7" ht="19.5" customHeight="1">
      <c r="A36" s="3766"/>
      <c r="B36" s="3762"/>
      <c r="C36" s="3107" t="s">
        <v>2474</v>
      </c>
      <c r="D36" s="3108"/>
      <c r="E36" s="3109">
        <v>0.2</v>
      </c>
      <c r="F36" s="3106" t="s">
        <v>2475</v>
      </c>
      <c r="G36" s="3106"/>
    </row>
    <row r="37" spans="1:7" ht="19.5" customHeight="1">
      <c r="A37" s="3766"/>
      <c r="B37" s="3760" t="s">
        <v>2636</v>
      </c>
      <c r="C37" s="3107" t="s">
        <v>2476</v>
      </c>
      <c r="D37" s="3108"/>
      <c r="E37" s="3109">
        <v>0.6</v>
      </c>
      <c r="F37" s="3106" t="s">
        <v>2477</v>
      </c>
      <c r="G37" s="3106"/>
    </row>
    <row r="38" spans="1:7" ht="19.5" customHeight="1">
      <c r="A38" s="3766"/>
      <c r="B38" s="3762"/>
      <c r="C38" s="3107" t="s">
        <v>2478</v>
      </c>
      <c r="D38" s="3108"/>
      <c r="E38" s="3109">
        <v>0.6</v>
      </c>
      <c r="F38" s="3106" t="s">
        <v>2479</v>
      </c>
      <c r="G38" s="3106"/>
    </row>
    <row r="39" spans="1:7" ht="19.5" customHeight="1" thickBot="1">
      <c r="A39" s="3767"/>
      <c r="B39" s="3764"/>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8" t="s">
        <v>2614</v>
      </c>
      <c r="B41" s="3763" t="s">
        <v>2638</v>
      </c>
      <c r="C41" s="3103" t="s">
        <v>2483</v>
      </c>
      <c r="D41" s="3104"/>
      <c r="E41" s="3105">
        <v>1</v>
      </c>
      <c r="F41" s="3106" t="s">
        <v>2484</v>
      </c>
      <c r="G41" s="3106"/>
    </row>
    <row r="42" spans="1:7" ht="19.5" customHeight="1">
      <c r="A42" s="3769"/>
      <c r="B42" s="3762"/>
      <c r="C42" s="3107" t="s">
        <v>2485</v>
      </c>
      <c r="D42" s="3108"/>
      <c r="E42" s="3109">
        <v>1</v>
      </c>
      <c r="F42" s="3106" t="s">
        <v>2486</v>
      </c>
      <c r="G42" s="3106"/>
    </row>
    <row r="43" spans="1:7" ht="19.5" customHeight="1">
      <c r="A43" s="3769"/>
      <c r="B43" s="3761"/>
      <c r="C43" s="3107" t="s">
        <v>2487</v>
      </c>
      <c r="D43" s="3108"/>
      <c r="E43" s="3109">
        <v>1.5</v>
      </c>
      <c r="F43" s="3106" t="s">
        <v>2488</v>
      </c>
      <c r="G43" s="3106"/>
    </row>
    <row r="44" spans="1:7" ht="19.5" customHeight="1">
      <c r="A44" s="3769"/>
      <c r="B44" s="3118" t="s">
        <v>2639</v>
      </c>
      <c r="C44" s="3107" t="s">
        <v>2640</v>
      </c>
      <c r="D44" s="3108"/>
      <c r="E44" s="3109">
        <v>2</v>
      </c>
      <c r="F44" s="3106" t="s">
        <v>2489</v>
      </c>
      <c r="G44" s="3106"/>
    </row>
    <row r="45" spans="1:7" ht="19.5" customHeight="1">
      <c r="A45" s="3769"/>
      <c r="B45" s="3760" t="s">
        <v>2641</v>
      </c>
      <c r="C45" s="3107" t="s">
        <v>2490</v>
      </c>
      <c r="D45" s="3108"/>
      <c r="E45" s="3109">
        <v>1</v>
      </c>
      <c r="F45" s="3106" t="s">
        <v>2491</v>
      </c>
      <c r="G45" s="3106"/>
    </row>
    <row r="46" spans="1:7" ht="19.5" customHeight="1">
      <c r="A46" s="3769"/>
      <c r="B46" s="3762"/>
      <c r="C46" s="3107" t="s">
        <v>2492</v>
      </c>
      <c r="D46" s="3108"/>
      <c r="E46" s="3109">
        <v>1</v>
      </c>
      <c r="F46" s="3106" t="s">
        <v>2493</v>
      </c>
      <c r="G46" s="3106"/>
    </row>
    <row r="47" spans="1:7" ht="19.5" customHeight="1">
      <c r="A47" s="3769"/>
      <c r="B47" s="3762"/>
      <c r="C47" s="3107" t="s">
        <v>2494</v>
      </c>
      <c r="D47" s="3108"/>
      <c r="E47" s="3109">
        <v>1</v>
      </c>
      <c r="F47" s="3106" t="s">
        <v>2495</v>
      </c>
      <c r="G47" s="3106"/>
    </row>
    <row r="48" spans="1:7" ht="19.5" customHeight="1">
      <c r="A48" s="3769"/>
      <c r="B48" s="3762"/>
      <c r="C48" s="3107" t="s">
        <v>2496</v>
      </c>
      <c r="D48" s="3108"/>
      <c r="E48" s="3109">
        <v>1</v>
      </c>
      <c r="F48" s="3106" t="s">
        <v>2497</v>
      </c>
      <c r="G48" s="3106"/>
    </row>
    <row r="49" spans="1:7" ht="19.5" customHeight="1">
      <c r="A49" s="3769"/>
      <c r="B49" s="3762"/>
      <c r="C49" s="3107" t="s">
        <v>2498</v>
      </c>
      <c r="D49" s="3108"/>
      <c r="E49" s="3109">
        <v>1</v>
      </c>
      <c r="F49" s="3106" t="s">
        <v>2499</v>
      </c>
      <c r="G49" s="3106"/>
    </row>
    <row r="50" spans="1:7" ht="19.5" customHeight="1">
      <c r="A50" s="3769"/>
      <c r="B50" s="3762"/>
      <c r="C50" s="3107" t="s">
        <v>2500</v>
      </c>
      <c r="D50" s="3108"/>
      <c r="E50" s="3109">
        <v>1</v>
      </c>
      <c r="F50" s="3106" t="s">
        <v>2501</v>
      </c>
      <c r="G50" s="3106"/>
    </row>
    <row r="51" spans="1:7" ht="19.5" customHeight="1" thickBot="1">
      <c r="A51" s="3770"/>
      <c r="B51" s="3764"/>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60" t="s">
        <v>2655</v>
      </c>
      <c r="C73" s="3092" t="s">
        <v>2656</v>
      </c>
      <c r="D73" s="3092" t="s">
        <v>2657</v>
      </c>
      <c r="E73" s="3118">
        <v>0.2</v>
      </c>
      <c r="F73" s="3118">
        <v>25</v>
      </c>
    </row>
    <row r="74" spans="1:7" ht="24">
      <c r="A74" s="3118">
        <v>2</v>
      </c>
      <c r="B74" s="3762"/>
      <c r="C74" s="3092" t="s">
        <v>2658</v>
      </c>
      <c r="D74" s="3092" t="s">
        <v>2659</v>
      </c>
      <c r="E74" s="3118">
        <v>0.2</v>
      </c>
      <c r="F74" s="3118">
        <v>25</v>
      </c>
    </row>
    <row r="75" spans="1:7" ht="24">
      <c r="A75" s="3118">
        <v>3</v>
      </c>
      <c r="B75" s="3762"/>
      <c r="C75" s="3092" t="s">
        <v>2660</v>
      </c>
      <c r="D75" s="3092" t="s">
        <v>2661</v>
      </c>
      <c r="E75" s="3118">
        <v>0.2</v>
      </c>
      <c r="F75" s="3118">
        <v>25</v>
      </c>
    </row>
    <row r="76" spans="1:7" ht="13.5">
      <c r="A76" s="3118">
        <v>4</v>
      </c>
      <c r="B76" s="3762"/>
      <c r="C76" s="3092" t="s">
        <v>2662</v>
      </c>
      <c r="D76" s="3092" t="s">
        <v>2663</v>
      </c>
      <c r="E76" s="3118">
        <v>0.15</v>
      </c>
      <c r="F76" s="3118">
        <v>20</v>
      </c>
    </row>
    <row r="77" spans="1:7" ht="24">
      <c r="A77" s="3118">
        <v>5</v>
      </c>
      <c r="B77" s="3762"/>
      <c r="C77" s="3092" t="s">
        <v>2664</v>
      </c>
      <c r="D77" s="3092" t="s">
        <v>2665</v>
      </c>
      <c r="E77" s="3118">
        <v>0.15</v>
      </c>
      <c r="F77" s="3118">
        <v>20</v>
      </c>
    </row>
    <row r="78" spans="1:7" ht="24">
      <c r="A78" s="3118">
        <v>6</v>
      </c>
      <c r="B78" s="3762"/>
      <c r="C78" s="3092" t="s">
        <v>2666</v>
      </c>
      <c r="D78" s="3092" t="s">
        <v>2667</v>
      </c>
      <c r="E78" s="3118">
        <v>0.15</v>
      </c>
      <c r="F78" s="3118">
        <v>20</v>
      </c>
    </row>
    <row r="79" spans="1:7" ht="24">
      <c r="A79" s="3118">
        <v>7</v>
      </c>
      <c r="B79" s="3762"/>
      <c r="C79" s="3092" t="s">
        <v>2668</v>
      </c>
      <c r="D79" s="3092" t="s">
        <v>2669</v>
      </c>
      <c r="E79" s="3118">
        <v>0.15</v>
      </c>
      <c r="F79" s="3118">
        <v>20</v>
      </c>
    </row>
    <row r="80" spans="1:7" ht="24">
      <c r="A80" s="3118">
        <v>8</v>
      </c>
      <c r="B80" s="3762"/>
      <c r="C80" s="3092" t="s">
        <v>2670</v>
      </c>
      <c r="D80" s="3092" t="s">
        <v>2671</v>
      </c>
      <c r="E80" s="3118">
        <v>0.1</v>
      </c>
      <c r="F80" s="3118">
        <v>15</v>
      </c>
    </row>
    <row r="81" spans="1:6" ht="24">
      <c r="A81" s="3118">
        <v>9</v>
      </c>
      <c r="B81" s="3762"/>
      <c r="C81" s="3092" t="s">
        <v>2672</v>
      </c>
      <c r="D81" s="3092" t="s">
        <v>2673</v>
      </c>
      <c r="E81" s="3118">
        <v>0.1</v>
      </c>
      <c r="F81" s="3118">
        <v>15</v>
      </c>
    </row>
    <row r="82" spans="1:6" ht="24">
      <c r="A82" s="3118">
        <v>10</v>
      </c>
      <c r="B82" s="3762"/>
      <c r="C82" s="3092" t="s">
        <v>2674</v>
      </c>
      <c r="D82" s="3092" t="s">
        <v>2675</v>
      </c>
      <c r="E82" s="3118">
        <v>0.1</v>
      </c>
      <c r="F82" s="3118">
        <v>15</v>
      </c>
    </row>
    <row r="83" spans="1:6" ht="24">
      <c r="A83" s="3118">
        <v>11</v>
      </c>
      <c r="B83" s="3762"/>
      <c r="C83" s="3092" t="s">
        <v>2676</v>
      </c>
      <c r="D83" s="3092" t="s">
        <v>2677</v>
      </c>
      <c r="E83" s="3118">
        <v>0.1</v>
      </c>
      <c r="F83" s="3118">
        <v>15</v>
      </c>
    </row>
    <row r="84" spans="1:6" ht="24">
      <c r="A84" s="3118">
        <v>12</v>
      </c>
      <c r="B84" s="3762"/>
      <c r="C84" s="3092" t="s">
        <v>2678</v>
      </c>
      <c r="D84" s="3092" t="s">
        <v>2679</v>
      </c>
      <c r="E84" s="3118">
        <v>0.1</v>
      </c>
      <c r="F84" s="3118">
        <v>15</v>
      </c>
    </row>
    <row r="85" spans="1:6" ht="13.5">
      <c r="A85" s="3118">
        <v>13</v>
      </c>
      <c r="B85" s="3762"/>
      <c r="C85" s="3092" t="s">
        <v>2680</v>
      </c>
      <c r="D85" s="3092" t="s">
        <v>2681</v>
      </c>
      <c r="E85" s="3118">
        <v>0.1</v>
      </c>
      <c r="F85" s="3118">
        <v>15</v>
      </c>
    </row>
    <row r="86" spans="1:6" ht="13.5">
      <c r="A86" s="3118">
        <v>14</v>
      </c>
      <c r="B86" s="3762"/>
      <c r="C86" s="3092" t="s">
        <v>2682</v>
      </c>
      <c r="D86" s="3092" t="s">
        <v>2683</v>
      </c>
      <c r="E86" s="3118">
        <v>0.1</v>
      </c>
      <c r="F86" s="3118">
        <v>15</v>
      </c>
    </row>
    <row r="87" spans="1:6" ht="13.5">
      <c r="A87" s="3118">
        <v>15</v>
      </c>
      <c r="B87" s="3762"/>
      <c r="C87" s="3092" t="s">
        <v>2684</v>
      </c>
      <c r="D87" s="3092" t="s">
        <v>2685</v>
      </c>
      <c r="E87" s="3118">
        <v>0.1</v>
      </c>
      <c r="F87" s="3118">
        <v>15</v>
      </c>
    </row>
    <row r="88" spans="1:6" ht="24">
      <c r="A88" s="3118">
        <v>16</v>
      </c>
      <c r="B88" s="3762"/>
      <c r="C88" s="3092" t="s">
        <v>2686</v>
      </c>
      <c r="D88" s="3092" t="s">
        <v>2687</v>
      </c>
      <c r="E88" s="3118">
        <v>0.1</v>
      </c>
      <c r="F88" s="3118">
        <v>15</v>
      </c>
    </row>
    <row r="89" spans="1:6" ht="24">
      <c r="A89" s="3118">
        <v>17</v>
      </c>
      <c r="B89" s="3761"/>
      <c r="C89" s="3092" t="s">
        <v>2688</v>
      </c>
      <c r="D89" s="3092" t="s">
        <v>2689</v>
      </c>
      <c r="E89" s="3118">
        <v>0.1</v>
      </c>
      <c r="F89" s="3118">
        <v>15</v>
      </c>
    </row>
    <row r="90" spans="1:6" ht="13.5">
      <c r="A90" s="3118">
        <v>18</v>
      </c>
      <c r="B90" s="3760" t="s">
        <v>2690</v>
      </c>
      <c r="C90" s="3092" t="s">
        <v>2691</v>
      </c>
      <c r="D90" s="3092" t="s">
        <v>2692</v>
      </c>
      <c r="E90" s="3118">
        <v>0.2</v>
      </c>
      <c r="F90" s="3118">
        <v>25</v>
      </c>
    </row>
    <row r="91" spans="1:6" ht="24">
      <c r="A91" s="3118">
        <v>19</v>
      </c>
      <c r="B91" s="3762"/>
      <c r="C91" s="3092" t="s">
        <v>2693</v>
      </c>
      <c r="D91" s="3092" t="s">
        <v>2694</v>
      </c>
      <c r="E91" s="3118">
        <v>0.2</v>
      </c>
      <c r="F91" s="3118">
        <v>25</v>
      </c>
    </row>
    <row r="92" spans="1:6" ht="13.5">
      <c r="A92" s="3118">
        <v>20</v>
      </c>
      <c r="B92" s="3762"/>
      <c r="C92" s="3092" t="s">
        <v>2695</v>
      </c>
      <c r="D92" s="3092" t="s">
        <v>2696</v>
      </c>
      <c r="E92" s="3118">
        <v>0.15</v>
      </c>
      <c r="F92" s="3118">
        <v>20</v>
      </c>
    </row>
    <row r="93" spans="1:6" ht="13.5">
      <c r="A93" s="3118">
        <v>21</v>
      </c>
      <c r="B93" s="3762"/>
      <c r="C93" s="3092" t="s">
        <v>2697</v>
      </c>
      <c r="D93" s="3092" t="s">
        <v>2698</v>
      </c>
      <c r="E93" s="3118">
        <v>0.15</v>
      </c>
      <c r="F93" s="3118">
        <v>20</v>
      </c>
    </row>
    <row r="94" spans="1:6" ht="13.5">
      <c r="A94" s="3118">
        <v>22</v>
      </c>
      <c r="B94" s="3762"/>
      <c r="C94" s="3092" t="s">
        <v>2699</v>
      </c>
      <c r="D94" s="3092" t="s">
        <v>2700</v>
      </c>
      <c r="E94" s="3118">
        <v>0.15</v>
      </c>
      <c r="F94" s="3118">
        <v>20</v>
      </c>
    </row>
    <row r="95" spans="1:6" ht="36">
      <c r="A95" s="3118">
        <v>23</v>
      </c>
      <c r="B95" s="3762"/>
      <c r="C95" s="3092" t="s">
        <v>2701</v>
      </c>
      <c r="D95" s="3092" t="s">
        <v>2702</v>
      </c>
      <c r="E95" s="3118">
        <v>0.15</v>
      </c>
      <c r="F95" s="3118">
        <v>20</v>
      </c>
    </row>
    <row r="96" spans="1:6" ht="13.5">
      <c r="A96" s="3118">
        <v>24</v>
      </c>
      <c r="B96" s="3762"/>
      <c r="C96" s="3092" t="s">
        <v>2703</v>
      </c>
      <c r="D96" s="3092" t="s">
        <v>2704</v>
      </c>
      <c r="E96" s="3118">
        <v>0.1</v>
      </c>
      <c r="F96" s="3118">
        <v>15</v>
      </c>
    </row>
    <row r="97" spans="1:6" ht="13.5">
      <c r="A97" s="3118">
        <v>25</v>
      </c>
      <c r="B97" s="3762"/>
      <c r="C97" s="3092" t="s">
        <v>2705</v>
      </c>
      <c r="D97" s="3092" t="s">
        <v>2706</v>
      </c>
      <c r="E97" s="3118">
        <v>0.1</v>
      </c>
      <c r="F97" s="3118">
        <v>15</v>
      </c>
    </row>
    <row r="98" spans="1:6" ht="24">
      <c r="A98" s="3118">
        <v>26</v>
      </c>
      <c r="B98" s="3762"/>
      <c r="C98" s="3092" t="s">
        <v>2707</v>
      </c>
      <c r="D98" s="3092" t="s">
        <v>2708</v>
      </c>
      <c r="E98" s="3118">
        <v>0.1</v>
      </c>
      <c r="F98" s="3118">
        <v>15</v>
      </c>
    </row>
    <row r="99" spans="1:6" ht="24">
      <c r="A99" s="3118">
        <v>27</v>
      </c>
      <c r="B99" s="3762"/>
      <c r="C99" s="3092" t="s">
        <v>2709</v>
      </c>
      <c r="D99" s="3092" t="s">
        <v>2710</v>
      </c>
      <c r="E99" s="3118">
        <v>0.1</v>
      </c>
      <c r="F99" s="3118">
        <v>15</v>
      </c>
    </row>
    <row r="100" spans="1:6" ht="13.5">
      <c r="A100" s="3118">
        <v>28</v>
      </c>
      <c r="B100" s="3762"/>
      <c r="C100" s="3092" t="s">
        <v>2711</v>
      </c>
      <c r="D100" s="3092" t="s">
        <v>2712</v>
      </c>
      <c r="E100" s="3118">
        <v>0.1</v>
      </c>
      <c r="F100" s="3118">
        <v>15</v>
      </c>
    </row>
    <row r="101" spans="1:6" ht="13.5">
      <c r="A101" s="3118">
        <v>29</v>
      </c>
      <c r="B101" s="3762"/>
      <c r="C101" s="3092" t="s">
        <v>2713</v>
      </c>
      <c r="D101" s="3092" t="s">
        <v>2714</v>
      </c>
      <c r="E101" s="3118">
        <v>0.1</v>
      </c>
      <c r="F101" s="3118">
        <v>15</v>
      </c>
    </row>
    <row r="102" spans="1:6" ht="13.5">
      <c r="A102" s="3118">
        <v>30</v>
      </c>
      <c r="B102" s="3762"/>
      <c r="C102" s="3092" t="s">
        <v>2715</v>
      </c>
      <c r="D102" s="3092" t="s">
        <v>2716</v>
      </c>
      <c r="E102" s="3118">
        <v>0.1</v>
      </c>
      <c r="F102" s="3118">
        <v>15</v>
      </c>
    </row>
    <row r="103" spans="1:6" ht="24">
      <c r="A103" s="3118">
        <v>31</v>
      </c>
      <c r="B103" s="3762"/>
      <c r="C103" s="3092" t="s">
        <v>2717</v>
      </c>
      <c r="D103" s="3092" t="s">
        <v>2718</v>
      </c>
      <c r="E103" s="3118">
        <v>0.1</v>
      </c>
      <c r="F103" s="3118">
        <v>15</v>
      </c>
    </row>
    <row r="104" spans="1:6" ht="24">
      <c r="A104" s="3118">
        <v>32</v>
      </c>
      <c r="B104" s="3762"/>
      <c r="C104" s="3092" t="s">
        <v>2719</v>
      </c>
      <c r="D104" s="3092" t="s">
        <v>2720</v>
      </c>
      <c r="E104" s="3118">
        <v>0.1</v>
      </c>
      <c r="F104" s="3118">
        <v>15</v>
      </c>
    </row>
    <row r="105" spans="1:6" ht="24">
      <c r="A105" s="3118">
        <v>33</v>
      </c>
      <c r="B105" s="3762"/>
      <c r="C105" s="3092" t="s">
        <v>2721</v>
      </c>
      <c r="D105" s="3092" t="s">
        <v>2722</v>
      </c>
      <c r="E105" s="3118">
        <v>0.1</v>
      </c>
      <c r="F105" s="3118">
        <v>15</v>
      </c>
    </row>
    <row r="106" spans="1:6" ht="24">
      <c r="A106" s="3118">
        <v>34</v>
      </c>
      <c r="B106" s="3761"/>
      <c r="C106" s="3092" t="s">
        <v>2723</v>
      </c>
      <c r="D106" s="3092" t="s">
        <v>2724</v>
      </c>
      <c r="E106" s="3118">
        <v>0.1</v>
      </c>
      <c r="F106" s="3118">
        <v>15</v>
      </c>
    </row>
    <row r="107" spans="1:6" ht="24">
      <c r="A107" s="3118">
        <v>35</v>
      </c>
      <c r="B107" s="3760" t="s">
        <v>2725</v>
      </c>
      <c r="C107" s="3118" t="s">
        <v>2726</v>
      </c>
      <c r="D107" s="3092" t="s">
        <v>2727</v>
      </c>
      <c r="E107" s="3118">
        <v>0.15</v>
      </c>
      <c r="F107" s="3118">
        <v>20</v>
      </c>
    </row>
    <row r="108" spans="1:6" ht="13.5">
      <c r="A108" s="3118">
        <v>36</v>
      </c>
      <c r="B108" s="3762"/>
      <c r="C108" s="3118" t="s">
        <v>2728</v>
      </c>
      <c r="D108" s="3092" t="s">
        <v>2729</v>
      </c>
      <c r="E108" s="3118">
        <v>0.15</v>
      </c>
      <c r="F108" s="3118">
        <v>20</v>
      </c>
    </row>
    <row r="109" spans="1:6" ht="13.5">
      <c r="A109" s="3118">
        <v>37</v>
      </c>
      <c r="B109" s="3762"/>
      <c r="C109" s="3118" t="s">
        <v>2730</v>
      </c>
      <c r="D109" s="3092" t="s">
        <v>2731</v>
      </c>
      <c r="E109" s="3118">
        <v>0.15</v>
      </c>
      <c r="F109" s="3118">
        <v>20</v>
      </c>
    </row>
    <row r="110" spans="1:6" ht="13.5">
      <c r="A110" s="3118">
        <v>38</v>
      </c>
      <c r="B110" s="3762"/>
      <c r="C110" s="3118" t="s">
        <v>2732</v>
      </c>
      <c r="D110" s="3092" t="s">
        <v>2733</v>
      </c>
      <c r="E110" s="3118">
        <v>0.1</v>
      </c>
      <c r="F110" s="3118">
        <v>15</v>
      </c>
    </row>
    <row r="111" spans="1:6" ht="24">
      <c r="A111" s="3118">
        <v>39</v>
      </c>
      <c r="B111" s="3762"/>
      <c r="C111" s="3118" t="s">
        <v>2734</v>
      </c>
      <c r="D111" s="3092" t="s">
        <v>2735</v>
      </c>
      <c r="E111" s="3118">
        <v>0.1</v>
      </c>
      <c r="F111" s="3118">
        <v>15</v>
      </c>
    </row>
    <row r="112" spans="1:6" ht="24">
      <c r="A112" s="3118">
        <v>40</v>
      </c>
      <c r="B112" s="3761"/>
      <c r="C112" s="3118" t="s">
        <v>2736</v>
      </c>
      <c r="D112" s="3092" t="s">
        <v>2737</v>
      </c>
      <c r="E112" s="3118">
        <v>0.1</v>
      </c>
      <c r="F112" s="3118">
        <v>15</v>
      </c>
    </row>
    <row r="113" spans="1:6" ht="13.5">
      <c r="A113" s="3118">
        <v>41</v>
      </c>
      <c r="B113" s="3759" t="s">
        <v>2738</v>
      </c>
      <c r="C113" s="3118" t="s">
        <v>2739</v>
      </c>
      <c r="D113" s="3092" t="s">
        <v>2740</v>
      </c>
      <c r="E113" s="3118">
        <v>0.1</v>
      </c>
      <c r="F113" s="3118">
        <v>15</v>
      </c>
    </row>
    <row r="114" spans="1:6" ht="13.5">
      <c r="A114" s="3118">
        <v>42</v>
      </c>
      <c r="B114" s="3759"/>
      <c r="C114" s="3118" t="s">
        <v>2741</v>
      </c>
      <c r="D114" s="3092" t="s">
        <v>2742</v>
      </c>
      <c r="E114" s="3118">
        <v>0.1</v>
      </c>
      <c r="F114" s="3118">
        <v>15</v>
      </c>
    </row>
    <row r="115" spans="1:6" ht="24">
      <c r="A115" s="3118">
        <v>43</v>
      </c>
      <c r="B115" s="3759"/>
      <c r="C115" s="3118" t="s">
        <v>2743</v>
      </c>
      <c r="D115" s="3092" t="s">
        <v>2744</v>
      </c>
      <c r="E115" s="3118">
        <v>0.1</v>
      </c>
      <c r="F115" s="3118">
        <v>15</v>
      </c>
    </row>
    <row r="116" spans="1:6" ht="13.5">
      <c r="A116" s="3118">
        <v>44</v>
      </c>
      <c r="B116" s="3760" t="s">
        <v>2745</v>
      </c>
      <c r="C116" s="3118" t="s">
        <v>2746</v>
      </c>
      <c r="D116" s="3092" t="s">
        <v>2747</v>
      </c>
      <c r="E116" s="3118">
        <v>0.1</v>
      </c>
      <c r="F116" s="3118">
        <v>15</v>
      </c>
    </row>
    <row r="117" spans="1:6" ht="24">
      <c r="A117" s="3118">
        <v>45</v>
      </c>
      <c r="B117" s="3761"/>
      <c r="C117" s="3092" t="s">
        <v>2748</v>
      </c>
      <c r="D117" s="3092" t="s">
        <v>2749</v>
      </c>
      <c r="E117" s="3118">
        <v>0.1</v>
      </c>
      <c r="F117" s="3118">
        <v>15</v>
      </c>
    </row>
    <row r="118" spans="1:6" ht="24">
      <c r="A118" s="3118">
        <v>46</v>
      </c>
      <c r="B118" s="3760" t="s">
        <v>2750</v>
      </c>
      <c r="C118" s="3118" t="s">
        <v>2751</v>
      </c>
      <c r="D118" s="3092" t="s">
        <v>2752</v>
      </c>
      <c r="E118" s="3118">
        <v>0.1</v>
      </c>
      <c r="F118" s="3118">
        <v>15</v>
      </c>
    </row>
    <row r="119" spans="1:6" ht="24">
      <c r="A119" s="3118">
        <v>47</v>
      </c>
      <c r="B119" s="3761"/>
      <c r="C119" s="3118" t="s">
        <v>2753</v>
      </c>
      <c r="D119" s="3092" t="s">
        <v>2754</v>
      </c>
      <c r="E119" s="3118">
        <v>0.1</v>
      </c>
      <c r="F119" s="3118">
        <v>15</v>
      </c>
    </row>
    <row r="120" spans="1:6" ht="13.5">
      <c r="A120" s="3118">
        <v>48</v>
      </c>
      <c r="B120" s="3760" t="s">
        <v>2755</v>
      </c>
      <c r="C120" s="3118" t="s">
        <v>2756</v>
      </c>
      <c r="D120" s="3092" t="s">
        <v>2757</v>
      </c>
      <c r="E120" s="3118">
        <v>0.1</v>
      </c>
      <c r="F120" s="3118">
        <v>15</v>
      </c>
    </row>
    <row r="121" spans="1:6" ht="13.5">
      <c r="A121" s="3118">
        <v>49</v>
      </c>
      <c r="B121" s="3761"/>
      <c r="C121" s="3118" t="s">
        <v>2758</v>
      </c>
      <c r="D121" s="3092" t="s">
        <v>2759</v>
      </c>
      <c r="E121" s="3118">
        <v>0.1</v>
      </c>
      <c r="F121" s="3118">
        <v>15</v>
      </c>
    </row>
    <row r="122" spans="1:6" ht="24">
      <c r="A122" s="3118">
        <v>50</v>
      </c>
      <c r="B122" s="3759" t="s">
        <v>2760</v>
      </c>
      <c r="C122" s="3118" t="s">
        <v>2761</v>
      </c>
      <c r="D122" s="3092" t="s">
        <v>2762</v>
      </c>
      <c r="E122" s="3118">
        <v>0.1</v>
      </c>
      <c r="F122" s="3118">
        <v>15</v>
      </c>
    </row>
    <row r="123" spans="1:6" ht="24">
      <c r="A123" s="3118">
        <v>51</v>
      </c>
      <c r="B123" s="3759"/>
      <c r="C123" s="3118" t="s">
        <v>2763</v>
      </c>
      <c r="D123" s="3092" t="s">
        <v>2764</v>
      </c>
      <c r="E123" s="3118">
        <v>0.1</v>
      </c>
      <c r="F123" s="3118">
        <v>15</v>
      </c>
    </row>
    <row r="124" spans="1:6" ht="24">
      <c r="A124" s="3118">
        <v>52</v>
      </c>
      <c r="B124" s="3759" t="s">
        <v>2765</v>
      </c>
      <c r="C124" s="3118" t="s">
        <v>2766</v>
      </c>
      <c r="D124" s="3092" t="s">
        <v>2767</v>
      </c>
      <c r="E124" s="3118">
        <v>0.1</v>
      </c>
      <c r="F124" s="3118">
        <v>15</v>
      </c>
    </row>
    <row r="125" spans="1:6" ht="24">
      <c r="A125" s="3118">
        <v>53</v>
      </c>
      <c r="B125" s="3759"/>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59" t="s">
        <v>2773</v>
      </c>
      <c r="C127" s="3118" t="s">
        <v>2774</v>
      </c>
      <c r="D127" s="3092" t="s">
        <v>2775</v>
      </c>
      <c r="E127" s="3118">
        <v>0.1</v>
      </c>
      <c r="F127" s="3118">
        <v>15</v>
      </c>
    </row>
    <row r="128" spans="1:6" ht="13.5">
      <c r="A128" s="3118">
        <v>56</v>
      </c>
      <c r="B128" s="3759"/>
      <c r="C128" s="3118" t="s">
        <v>2776</v>
      </c>
      <c r="D128" s="3092" t="s">
        <v>2777</v>
      </c>
      <c r="E128" s="3118">
        <v>0.1</v>
      </c>
      <c r="F128" s="3118">
        <v>15</v>
      </c>
    </row>
    <row r="129" spans="1:6" ht="24">
      <c r="A129" s="3118">
        <v>57</v>
      </c>
      <c r="B129" s="3759"/>
      <c r="C129" s="3118" t="s">
        <v>2778</v>
      </c>
      <c r="D129" s="3092" t="s">
        <v>2779</v>
      </c>
      <c r="E129" s="3118">
        <v>0.1</v>
      </c>
      <c r="F129" s="3118">
        <v>15</v>
      </c>
    </row>
    <row r="130" spans="1:6" ht="24">
      <c r="A130" s="3118">
        <v>58</v>
      </c>
      <c r="B130" s="3759" t="s">
        <v>2780</v>
      </c>
      <c r="C130" s="3118" t="s">
        <v>2781</v>
      </c>
      <c r="D130" s="3092" t="s">
        <v>2782</v>
      </c>
      <c r="E130" s="3118">
        <v>0.1</v>
      </c>
      <c r="F130" s="3118">
        <v>15</v>
      </c>
    </row>
    <row r="131" spans="1:6" ht="13.5">
      <c r="A131" s="3118">
        <v>59</v>
      </c>
      <c r="B131" s="3759"/>
      <c r="C131" s="3118" t="s">
        <v>2783</v>
      </c>
      <c r="D131" s="3092" t="s">
        <v>2784</v>
      </c>
      <c r="E131" s="3118">
        <v>0.1</v>
      </c>
      <c r="F131" s="3118">
        <v>15</v>
      </c>
    </row>
    <row r="132" spans="1:6" ht="13.5">
      <c r="A132" s="3118">
        <v>60</v>
      </c>
      <c r="B132" s="3760" t="s">
        <v>2785</v>
      </c>
      <c r="C132" s="3118" t="s">
        <v>2786</v>
      </c>
      <c r="D132" s="3092" t="s">
        <v>2787</v>
      </c>
      <c r="E132" s="3118">
        <v>0.1</v>
      </c>
      <c r="F132" s="3118">
        <v>15</v>
      </c>
    </row>
    <row r="133" spans="1:6" ht="13.5">
      <c r="A133" s="3118">
        <v>61</v>
      </c>
      <c r="B133" s="3761"/>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59" t="s">
        <v>2793</v>
      </c>
      <c r="C135" s="3118" t="s">
        <v>2794</v>
      </c>
      <c r="D135" s="3092" t="s">
        <v>2795</v>
      </c>
      <c r="E135" s="3118">
        <v>0.1</v>
      </c>
      <c r="F135" s="3118">
        <v>15</v>
      </c>
    </row>
    <row r="136" spans="1:6" ht="13.5">
      <c r="A136" s="3118">
        <v>64</v>
      </c>
      <c r="B136" s="3759"/>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1.2158</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1.1565000000000001</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28969</v>
      </c>
      <c r="C2" s="2" t="s">
        <v>106</v>
      </c>
      <c r="D2" s="199"/>
      <c r="E2" s="199"/>
      <c r="F2" s="199"/>
      <c r="G2" s="199"/>
    </row>
    <row r="3" spans="1:7" s="200" customFormat="1" ht="18" customHeight="1" thickBot="1">
      <c r="A3" s="203" t="s">
        <v>58</v>
      </c>
      <c r="B3" s="204">
        <f ca="1">ROUND(B2*10000/'数据-汇总表'!E3,0)</f>
        <v>39769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146</v>
      </c>
      <c r="D10" s="845">
        <f>'数据-汇总表'!E6</f>
        <v>7284.24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146</v>
      </c>
      <c r="D19" s="849">
        <f>'数据-汇总表'!E3</f>
        <v>7284.24</v>
      </c>
      <c r="E19" s="211">
        <f>'数据-取费表'!B31</f>
        <v>200</v>
      </c>
      <c r="F19" s="231"/>
      <c r="G19" s="1" t="s">
        <v>436</v>
      </c>
    </row>
    <row r="20" spans="1:7" s="214" customFormat="1" ht="13.5" customHeight="1">
      <c r="A20" s="777" t="s">
        <v>419</v>
      </c>
      <c r="B20" s="210" t="s">
        <v>77</v>
      </c>
      <c r="C20" s="232">
        <f>ROUND((C5+C19)*F20,0)</f>
        <v>415</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744</v>
      </c>
      <c r="D22" s="235">
        <f ca="1">C26</f>
        <v>4.0000000000000002E-4</v>
      </c>
      <c r="E22" s="236" t="s">
        <v>99</v>
      </c>
      <c r="F22" s="237">
        <f ca="1">'数据-取费表'!B40</f>
        <v>3.5499999999999997E-2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732</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5</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4.0000000000000002E-4</v>
      </c>
      <c r="D26" s="238"/>
      <c r="E26" s="241"/>
      <c r="F26" s="239"/>
      <c r="G26" s="243"/>
    </row>
    <row r="27" spans="1:7" s="214" customFormat="1" ht="24.75">
      <c r="A27" s="777" t="s">
        <v>342</v>
      </c>
      <c r="B27" s="244" t="s">
        <v>85</v>
      </c>
      <c r="C27" s="245">
        <f>C28</f>
        <v>2117</v>
      </c>
      <c r="D27" s="235">
        <f>C29</f>
        <v>2E-3</v>
      </c>
      <c r="E27" s="236" t="s">
        <v>99</v>
      </c>
      <c r="F27" s="246">
        <f>'数据-取费表'!Q16</f>
        <v>0.1</v>
      </c>
      <c r="G27" s="247" t="s">
        <v>431</v>
      </c>
    </row>
    <row r="28" spans="1:7" s="214" customFormat="1" ht="13.5" customHeight="1">
      <c r="A28" s="780" t="s">
        <v>349</v>
      </c>
      <c r="B28" s="248" t="s">
        <v>424</v>
      </c>
      <c r="C28" s="249">
        <f>ROUND((C5+C19+C20)*F27*'数据-取费表'!B21/'数据-取费表'!B20,0)</f>
        <v>2117</v>
      </c>
      <c r="D28" s="235"/>
      <c r="E28" s="236"/>
      <c r="F28" s="246"/>
      <c r="G28" s="247"/>
    </row>
    <row r="29" spans="1:7" s="214" customFormat="1" ht="13.5" customHeight="1">
      <c r="A29" s="780" t="s">
        <v>347</v>
      </c>
      <c r="B29" s="248" t="s">
        <v>425</v>
      </c>
      <c r="C29" s="238">
        <f>ROUND(C21*F27*'数据-取费表'!B21/'数据-取费表'!B20,4)</f>
        <v>2E-3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25974</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2430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2185</v>
      </c>
      <c r="D34" s="217"/>
      <c r="E34" s="220"/>
      <c r="F34" s="257">
        <f>IF('数据-取费表'!B24=0,1,'数据-取费表'!N16)</f>
        <v>1</v>
      </c>
      <c r="G34" s="219" t="s">
        <v>89</v>
      </c>
    </row>
    <row r="35" spans="1:7" ht="13.5" customHeight="1">
      <c r="A35" s="780" t="s">
        <v>351</v>
      </c>
      <c r="B35" s="215" t="s">
        <v>33</v>
      </c>
      <c r="C35" s="220">
        <f>ROUND(C34*F35,0)</f>
        <v>66</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146</v>
      </c>
      <c r="D37" s="217">
        <f>'数据-汇总表'!E3</f>
        <v>7284.24</v>
      </c>
      <c r="E37" s="249">
        <f>'数据-取费表'!B35</f>
        <v>200</v>
      </c>
      <c r="F37" s="259"/>
      <c r="G37" s="261" t="s">
        <v>92</v>
      </c>
    </row>
    <row r="38" spans="1:7" ht="13.5" customHeight="1">
      <c r="A38" s="780" t="s">
        <v>354</v>
      </c>
      <c r="B38" s="215" t="s">
        <v>36</v>
      </c>
      <c r="C38" s="220">
        <f>ROUND(C34*F38,0)</f>
        <v>33</v>
      </c>
      <c r="D38" s="220"/>
      <c r="E38" s="220"/>
      <c r="F38" s="259">
        <f>'数据-取费表'!B36</f>
        <v>1.4999999999999999E-2</v>
      </c>
      <c r="G38" s="219" t="s">
        <v>90</v>
      </c>
    </row>
    <row r="39" spans="1:7" s="214" customFormat="1" ht="13.5" customHeight="1">
      <c r="A39" s="777" t="s">
        <v>338</v>
      </c>
      <c r="B39" s="210" t="s">
        <v>77</v>
      </c>
      <c r="C39" s="232">
        <f>ROUND(C33*F20,0)</f>
        <v>49</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44</v>
      </c>
      <c r="D41" s="235">
        <f ca="1">C44</f>
        <v>4.0000000000000002E-4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43</v>
      </c>
      <c r="D42" s="238"/>
      <c r="E42" s="238"/>
      <c r="F42" s="239"/>
      <c r="G42" s="3635" t="s">
        <v>94</v>
      </c>
    </row>
    <row r="43" spans="1:7" ht="13.5" customHeight="1">
      <c r="A43" s="780" t="s">
        <v>347</v>
      </c>
      <c r="B43" s="215" t="s">
        <v>426</v>
      </c>
      <c r="C43" s="238">
        <f ca="1">ROUND(IF('数据-取费表'!B22&lt;=1,C39*F22*'数据-取费表'!B21/2,C39*(POWER((1+F22),'数据-取费表'!B21/2)-1)),0)</f>
        <v>1</v>
      </c>
      <c r="D43" s="238"/>
      <c r="E43" s="238"/>
      <c r="F43" s="239"/>
      <c r="G43" s="3636"/>
    </row>
    <row r="44" spans="1:7" ht="13.5" customHeight="1">
      <c r="A44" s="780" t="s">
        <v>348</v>
      </c>
      <c r="B44" s="215" t="s">
        <v>428</v>
      </c>
      <c r="C44" s="238">
        <f ca="1">ROUND(IF('数据-取费表'!B22&lt;=1,C40*F22*'数据-取费表'!B21/2,C40*(POWER((1+F22),'数据-取费表'!B21/2)-1)),4)</f>
        <v>4.0000000000000002E-4</v>
      </c>
      <c r="D44" s="238"/>
      <c r="E44" s="238"/>
      <c r="F44" s="239"/>
      <c r="G44" s="3637"/>
    </row>
    <row r="45" spans="1:7" s="214" customFormat="1" ht="13.5" customHeight="1">
      <c r="A45" s="777" t="s">
        <v>341</v>
      </c>
      <c r="B45" s="244" t="s">
        <v>85</v>
      </c>
      <c r="C45" s="245">
        <f>C46</f>
        <v>248</v>
      </c>
      <c r="D45" s="235">
        <f>C47</f>
        <v>2E-3</v>
      </c>
      <c r="E45" s="236" t="s">
        <v>102</v>
      </c>
      <c r="F45" s="246"/>
      <c r="G45" s="247" t="s">
        <v>434</v>
      </c>
    </row>
    <row r="46" spans="1:7" s="214" customFormat="1" ht="13.5" customHeight="1">
      <c r="A46" s="780" t="s">
        <v>349</v>
      </c>
      <c r="B46" s="248" t="s">
        <v>427</v>
      </c>
      <c r="C46" s="249">
        <f>ROUND((C33+C39)*F27,0)</f>
        <v>248</v>
      </c>
      <c r="D46" s="263"/>
      <c r="E46" s="236"/>
      <c r="F46" s="246"/>
      <c r="G46" s="247"/>
    </row>
    <row r="47" spans="1:7" s="214" customFormat="1" ht="13.5" customHeight="1">
      <c r="A47" s="780" t="s">
        <v>347</v>
      </c>
      <c r="B47" s="248" t="s">
        <v>429</v>
      </c>
      <c r="C47" s="238">
        <f>ROUND(C40*F27,4)</f>
        <v>2E-3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2995</v>
      </c>
      <c r="D49" s="232"/>
      <c r="E49" s="232"/>
      <c r="F49" s="264"/>
      <c r="G49" s="234" t="s">
        <v>435</v>
      </c>
    </row>
    <row r="50" spans="1:7" s="258" customFormat="1" ht="24">
      <c r="A50" s="777" t="s">
        <v>344</v>
      </c>
      <c r="B50" s="210" t="s">
        <v>97</v>
      </c>
      <c r="C50" s="232"/>
      <c r="D50" s="232"/>
      <c r="E50" s="232"/>
      <c r="F50" s="264">
        <f>IF('数据-取费表'!B24=0,'数据-取费表'!N16,1)</f>
        <v>1</v>
      </c>
      <c r="G50" s="247" t="s">
        <v>98</v>
      </c>
    </row>
    <row r="51" spans="1:7" ht="16.5" customHeight="1">
      <c r="A51" s="777" t="s">
        <v>345</v>
      </c>
      <c r="B51" s="210" t="s">
        <v>105</v>
      </c>
      <c r="C51" s="232">
        <f ca="1">ROUND(C49*F50,0)</f>
        <v>2995</v>
      </c>
      <c r="D51" s="232"/>
      <c r="E51" s="232"/>
      <c r="F51" s="264"/>
      <c r="G51" s="234" t="s">
        <v>37</v>
      </c>
    </row>
    <row r="52" spans="1:7" s="208" customFormat="1" ht="16.5" thickBot="1">
      <c r="A52" s="265" t="s">
        <v>38</v>
      </c>
      <c r="B52" s="266"/>
      <c r="C52" s="267">
        <f ca="1">C31+C51</f>
        <v>28969</v>
      </c>
      <c r="D52" s="266"/>
      <c r="E52" s="266"/>
      <c r="F52" s="266"/>
      <c r="G52" s="268"/>
    </row>
    <row r="55" spans="1:7" ht="15">
      <c r="B55" s="270" t="s">
        <v>39</v>
      </c>
      <c r="C55" s="271"/>
    </row>
    <row r="56" spans="1:7">
      <c r="B56" s="273" t="s">
        <v>40</v>
      </c>
      <c r="C56" s="274">
        <f ca="1">ROUND(C51/C52,3)</f>
        <v>0.10299999999999999</v>
      </c>
    </row>
    <row r="57" spans="1:7">
      <c r="B57" s="273" t="s">
        <v>41</v>
      </c>
      <c r="C57" s="275">
        <f ca="1">1-C56</f>
        <v>0.89700000000000002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7"/>
      <c r="C2" s="3457"/>
      <c r="D2" s="3457"/>
      <c r="E2" s="3457"/>
    </row>
    <row r="3" spans="1:5" ht="18">
      <c r="A3" s="3458" t="str">
        <f>IF(项目基本情况!B9="房地产市场价值","估价结果一览表（市场价值不需“结果表-1”）","估价结果一览表")</f>
        <v>估价结果一览表</v>
      </c>
      <c r="B3" s="3458"/>
      <c r="C3" s="3458"/>
      <c r="D3" s="3458"/>
      <c r="E3" s="3458"/>
    </row>
    <row r="4" spans="1:5" ht="19.5" thickBot="1">
      <c r="A4" s="1493"/>
      <c r="B4" s="3456" t="s">
        <v>917</v>
      </c>
      <c r="C4" s="3456"/>
      <c r="D4" s="3456"/>
      <c r="E4" s="1493"/>
    </row>
    <row r="5" spans="1:5" ht="16.5" thickTop="1">
      <c r="A5" s="1491"/>
      <c r="B5" s="3454" t="s">
        <v>909</v>
      </c>
      <c r="C5" s="1494" t="s">
        <v>910</v>
      </c>
      <c r="D5" s="850" t="e">
        <f ca="1">结果表!H101</f>
        <v>#REF!</v>
      </c>
      <c r="E5" s="1491"/>
    </row>
    <row r="6" spans="1:5" ht="15.75">
      <c r="A6" s="1491"/>
      <c r="B6" s="3454"/>
      <c r="C6" s="1494" t="s">
        <v>911</v>
      </c>
      <c r="D6" s="850" t="e">
        <f ca="1">NUMBERSTRING(INT(D5*10000),2)&amp;"元整"</f>
        <v>#REF!</v>
      </c>
      <c r="E6" s="1491"/>
    </row>
    <row r="7" spans="1:5" ht="15.75">
      <c r="A7" s="1491"/>
      <c r="B7" s="3459"/>
      <c r="C7" s="1495" t="s">
        <v>912</v>
      </c>
      <c r="D7" s="851" t="e">
        <f ca="1">结果表!H102</f>
        <v>#REF!</v>
      </c>
      <c r="E7" s="1491"/>
    </row>
    <row r="8" spans="1:5" ht="15.75">
      <c r="A8" s="1491"/>
      <c r="B8" s="3460" t="str">
        <f>结果表!E103</f>
        <v>2.估价师知悉的法定优先受偿款</v>
      </c>
      <c r="C8" s="1496" t="s">
        <v>913</v>
      </c>
      <c r="D8" s="851">
        <f>结果表!H103</f>
        <v>0</v>
      </c>
      <c r="E8" s="1491"/>
    </row>
    <row r="9" spans="1:5" ht="15.75">
      <c r="A9" s="1491"/>
      <c r="B9" s="3462"/>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3" t="str">
        <f>结果表!E107</f>
        <v>3.房地产抵押价值</v>
      </c>
      <c r="C13" s="1499" t="s">
        <v>910</v>
      </c>
      <c r="D13" s="853" t="e">
        <f ca="1">结果表!H107</f>
        <v>#REF!</v>
      </c>
      <c r="E13" s="1491"/>
    </row>
    <row r="14" spans="1:5" ht="15.75">
      <c r="A14" s="1491"/>
      <c r="B14" s="3454"/>
      <c r="C14" s="1494" t="s">
        <v>911</v>
      </c>
      <c r="D14" s="850" t="e">
        <f ca="1">NUMBERSTRING(INT(D13*10000),2)&amp;"元整"</f>
        <v>#REF!</v>
      </c>
      <c r="E14" s="1491"/>
    </row>
    <row r="15" spans="1:5" ht="15">
      <c r="A15" s="1491"/>
      <c r="B15" s="3459"/>
      <c r="C15" s="1495" t="s">
        <v>921</v>
      </c>
      <c r="D15" s="859" t="e">
        <f ca="1">结果表!H108</f>
        <v>#REF!</v>
      </c>
      <c r="E15" s="1491"/>
    </row>
    <row r="16" spans="1:5" ht="15">
      <c r="A16" s="1491"/>
      <c r="B16" s="3460" t="str">
        <f>结果表!E109</f>
        <v>——</v>
      </c>
      <c r="C16" s="1499" t="s">
        <v>922</v>
      </c>
      <c r="D16" s="1500" t="str">
        <f>结果表!H109</f>
        <v>——</v>
      </c>
      <c r="E16" s="1491"/>
    </row>
    <row r="17" spans="1:5" ht="15.75">
      <c r="A17" s="1491"/>
      <c r="B17" s="3461"/>
      <c r="C17" s="1494" t="s">
        <v>923</v>
      </c>
      <c r="D17" s="850" t="e">
        <f>NUMBERSTRING(INT(D16*10000),2)&amp;"元整"</f>
        <v>#VALUE!</v>
      </c>
      <c r="E17" s="1491"/>
    </row>
    <row r="18" spans="1:5" ht="15">
      <c r="A18" s="1491"/>
      <c r="B18" s="3462"/>
      <c r="C18" s="1495" t="s">
        <v>912</v>
      </c>
      <c r="D18" s="859" t="str">
        <f>结果表!H110</f>
        <v>——</v>
      </c>
      <c r="E18" s="1491"/>
    </row>
    <row r="19" spans="1:5" ht="15.75">
      <c r="A19" s="1491"/>
      <c r="B19" s="3453" t="str">
        <f>结果表!E111</f>
        <v>——</v>
      </c>
      <c r="C19" s="1499" t="s">
        <v>910</v>
      </c>
      <c r="D19" s="851" t="str">
        <f>结果表!H111</f>
        <v>——</v>
      </c>
      <c r="E19" s="1491"/>
    </row>
    <row r="20" spans="1:5" ht="15.75">
      <c r="A20" s="1491"/>
      <c r="B20" s="3454"/>
      <c r="C20" s="1494" t="s">
        <v>923</v>
      </c>
      <c r="D20" s="850" t="e">
        <f>NUMBERSTRING(INT(D19*10000),2)&amp;"元整"</f>
        <v>#VALUE!</v>
      </c>
      <c r="E20" s="1491"/>
    </row>
    <row r="21" spans="1:5" ht="15.75" thickBot="1">
      <c r="A21" s="1491"/>
      <c r="B21" s="3455"/>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3" t="s">
        <v>2845</v>
      </c>
      <c r="B1" s="3773"/>
      <c r="C1" s="3773"/>
      <c r="D1" s="3773"/>
      <c r="E1" s="3773"/>
      <c r="F1" s="3773"/>
      <c r="G1" s="3774"/>
      <c r="I1" s="3223" t="s">
        <v>2846</v>
      </c>
      <c r="J1" s="3224" t="s">
        <v>2847</v>
      </c>
      <c r="K1" s="3224" t="s">
        <v>2848</v>
      </c>
      <c r="L1" s="3224" t="s">
        <v>2849</v>
      </c>
      <c r="M1" s="3224" t="s">
        <v>2850</v>
      </c>
      <c r="N1" s="3224" t="s">
        <v>2851</v>
      </c>
      <c r="O1" s="3224" t="s">
        <v>2852</v>
      </c>
      <c r="P1" s="3224" t="s">
        <v>2853</v>
      </c>
      <c r="Q1" s="3224" t="s">
        <v>2854</v>
      </c>
      <c r="R1" s="3224" t="s">
        <v>2855</v>
      </c>
      <c r="S1" s="3224" t="s">
        <v>2856</v>
      </c>
      <c r="T1" s="3225" t="s">
        <v>2857</v>
      </c>
    </row>
    <row r="2" spans="1:20" ht="12" thickBot="1">
      <c r="A2" s="3227" t="s">
        <v>2858</v>
      </c>
      <c r="B2" s="3227"/>
      <c r="C2" s="3227"/>
      <c r="D2" s="3227"/>
      <c r="E2" s="3227"/>
      <c r="F2" s="3227"/>
      <c r="G2" s="3228" t="s">
        <v>2859</v>
      </c>
      <c r="I2" s="3229" t="s">
        <v>2860</v>
      </c>
      <c r="J2" s="3229" t="s">
        <v>2861</v>
      </c>
      <c r="K2" s="3229" t="s">
        <v>2862</v>
      </c>
      <c r="L2" s="3229" t="s">
        <v>2863</v>
      </c>
      <c r="M2" s="3229" t="s">
        <v>2864</v>
      </c>
      <c r="N2" s="3229" t="s">
        <v>2865</v>
      </c>
      <c r="O2" s="3229" t="s">
        <v>2866</v>
      </c>
      <c r="P2" s="3229" t="s">
        <v>2867</v>
      </c>
      <c r="Q2" s="3229" t="s">
        <v>2868</v>
      </c>
      <c r="R2" s="3229" t="s">
        <v>2869</v>
      </c>
      <c r="S2" s="3229" t="s">
        <v>2870</v>
      </c>
      <c r="T2" s="3229" t="s">
        <v>2871</v>
      </c>
    </row>
    <row r="3" spans="1:20" s="3235" customFormat="1">
      <c r="A3" s="3771" t="s">
        <v>2872</v>
      </c>
      <c r="B3" s="3230"/>
      <c r="C3" s="3231" t="s">
        <v>2815</v>
      </c>
      <c r="D3" s="3231" t="s">
        <v>2873</v>
      </c>
      <c r="E3" s="3231" t="s">
        <v>2817</v>
      </c>
      <c r="F3" s="3231" t="s">
        <v>2874</v>
      </c>
      <c r="G3" s="3231" t="s">
        <v>2635</v>
      </c>
      <c r="H3" s="3232"/>
      <c r="I3" s="3233" t="s">
        <v>2875</v>
      </c>
      <c r="J3" s="3234" t="s">
        <v>128</v>
      </c>
      <c r="K3" s="3234" t="s">
        <v>129</v>
      </c>
      <c r="L3" s="3233" t="s">
        <v>130</v>
      </c>
      <c r="M3" s="3233" t="s">
        <v>131</v>
      </c>
      <c r="N3" s="3233" t="s">
        <v>132</v>
      </c>
      <c r="O3" s="3233" t="s">
        <v>133</v>
      </c>
      <c r="P3" s="3233" t="s">
        <v>134</v>
      </c>
      <c r="Q3" s="3233" t="s">
        <v>135</v>
      </c>
      <c r="R3" s="3233" t="s">
        <v>136</v>
      </c>
      <c r="S3" s="3233" t="s">
        <v>2876</v>
      </c>
      <c r="T3" s="3233" t="s">
        <v>2877</v>
      </c>
    </row>
    <row r="4" spans="1:20" s="3235" customFormat="1" ht="12" thickBot="1">
      <c r="A4" s="3772"/>
      <c r="B4" s="3236" t="s">
        <v>2878</v>
      </c>
      <c r="C4" s="3236" t="s">
        <v>2879</v>
      </c>
      <c r="D4" s="3236" t="s">
        <v>2879</v>
      </c>
      <c r="E4" s="3236" t="s">
        <v>2879</v>
      </c>
      <c r="F4" s="3237" t="s">
        <v>2879</v>
      </c>
      <c r="G4" s="3237" t="s">
        <v>2879</v>
      </c>
      <c r="H4" s="3232"/>
      <c r="I4" s="3234" t="s">
        <v>137</v>
      </c>
      <c r="J4" s="3234" t="s">
        <v>111</v>
      </c>
      <c r="K4" s="3234" t="s">
        <v>138</v>
      </c>
      <c r="L4" s="3233" t="s">
        <v>139</v>
      </c>
      <c r="M4" s="3233" t="s">
        <v>140</v>
      </c>
      <c r="N4" s="3233" t="s">
        <v>141</v>
      </c>
      <c r="O4" s="3233" t="s">
        <v>142</v>
      </c>
      <c r="P4" s="3233" t="s">
        <v>143</v>
      </c>
      <c r="Q4" s="3233" t="s">
        <v>2880</v>
      </c>
      <c r="R4" s="3233" t="s">
        <v>2881</v>
      </c>
      <c r="S4" s="3233" t="s">
        <v>2882</v>
      </c>
      <c r="T4" s="3233" t="s">
        <v>2883</v>
      </c>
    </row>
    <row r="5" spans="1:20">
      <c r="A5" s="3238" t="s">
        <v>2846</v>
      </c>
      <c r="B5" s="3229" t="s">
        <v>2860</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2884</v>
      </c>
      <c r="R5" s="3233" t="s">
        <v>2885</v>
      </c>
      <c r="S5" s="3233" t="s">
        <v>153</v>
      </c>
      <c r="T5" s="3233" t="s">
        <v>2886</v>
      </c>
    </row>
    <row r="6" spans="1:20" ht="12" thickBot="1">
      <c r="A6" s="3233" t="s">
        <v>144</v>
      </c>
      <c r="B6" s="3233" t="s">
        <v>2875</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2887</v>
      </c>
      <c r="Q6" s="3233" t="s">
        <v>2888</v>
      </c>
      <c r="R6" s="3233" t="s">
        <v>161</v>
      </c>
      <c r="S6" s="3233" t="s">
        <v>2889</v>
      </c>
      <c r="T6" s="3233" t="s">
        <v>2890</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2891</v>
      </c>
      <c r="Q7" s="3233" t="s">
        <v>2892</v>
      </c>
      <c r="R7" s="3233" t="s">
        <v>2893</v>
      </c>
      <c r="S7" s="3233" t="s">
        <v>2894</v>
      </c>
      <c r="T7" s="3233" t="s">
        <v>2895</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2896</v>
      </c>
      <c r="Q8" s="3233" t="s">
        <v>174</v>
      </c>
      <c r="R8" s="3233" t="s">
        <v>2897</v>
      </c>
      <c r="S8" s="3233" t="s">
        <v>2898</v>
      </c>
      <c r="T8" s="3240" t="s">
        <v>2899</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2900</v>
      </c>
      <c r="Q9" s="3233" t="s">
        <v>182</v>
      </c>
      <c r="R9" s="3233" t="s">
        <v>183</v>
      </c>
      <c r="S9" s="3233" t="s">
        <v>200</v>
      </c>
    </row>
    <row r="10" spans="1:20">
      <c r="A10" s="3238" t="s">
        <v>184</v>
      </c>
      <c r="B10" s="3229" t="s">
        <v>2861</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2901</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2902</v>
      </c>
      <c r="P11" s="3233" t="s">
        <v>191</v>
      </c>
      <c r="Q11" s="3233" t="s">
        <v>199</v>
      </c>
      <c r="R11" s="3233" t="s">
        <v>2903</v>
      </c>
      <c r="S11" s="3233" t="s">
        <v>2904</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2905</v>
      </c>
      <c r="P12" s="3233" t="s">
        <v>2906</v>
      </c>
      <c r="Q12" s="3233" t="s">
        <v>2907</v>
      </c>
      <c r="R12" s="3233" t="s">
        <v>2908</v>
      </c>
      <c r="S12" s="3233" t="s">
        <v>2909</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2910</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2911</v>
      </c>
      <c r="K14" s="3234" t="s">
        <v>215</v>
      </c>
      <c r="L14" s="3233" t="s">
        <v>216</v>
      </c>
      <c r="M14" s="3233" t="s">
        <v>217</v>
      </c>
      <c r="N14" s="3233" t="s">
        <v>218</v>
      </c>
      <c r="O14" s="3233" t="s">
        <v>240</v>
      </c>
      <c r="P14" s="3233" t="s">
        <v>213</v>
      </c>
      <c r="Q14" s="3233" t="s">
        <v>2912</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2913</v>
      </c>
      <c r="P15" s="3233" t="s">
        <v>2914</v>
      </c>
      <c r="Q15" s="3233" t="s">
        <v>242</v>
      </c>
      <c r="R15" s="3233" t="s">
        <v>2915</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2916</v>
      </c>
      <c r="P16" s="3233" t="s">
        <v>227</v>
      </c>
      <c r="Q16" s="3233" t="s">
        <v>250</v>
      </c>
      <c r="R16" s="3233" t="s">
        <v>207</v>
      </c>
      <c r="S16" s="3233" t="s">
        <v>2917</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2918</v>
      </c>
      <c r="P17" s="3233" t="s">
        <v>2919</v>
      </c>
      <c r="Q17" s="3233" t="s">
        <v>256</v>
      </c>
      <c r="R17" s="3233" t="s">
        <v>2920</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2921</v>
      </c>
      <c r="P18" s="3233" t="s">
        <v>241</v>
      </c>
      <c r="Q18" s="3233" t="s">
        <v>2922</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2923</v>
      </c>
      <c r="P19" s="3233" t="s">
        <v>249</v>
      </c>
      <c r="Q19" s="3233" t="s">
        <v>2924</v>
      </c>
      <c r="R19" s="3233" t="s">
        <v>265</v>
      </c>
      <c r="S19" s="3233" t="s">
        <v>2925</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2926</v>
      </c>
      <c r="P20" s="3233" t="s">
        <v>2927</v>
      </c>
      <c r="Q20" s="3233" t="s">
        <v>290</v>
      </c>
      <c r="R20" s="3233" t="s">
        <v>2928</v>
      </c>
      <c r="S20" s="3233" t="s">
        <v>277</v>
      </c>
    </row>
    <row r="21" spans="1:19" ht="14.25" customHeight="1" thickBot="1">
      <c r="A21" s="3233" t="s">
        <v>184</v>
      </c>
      <c r="B21" s="3234" t="s">
        <v>208</v>
      </c>
      <c r="C21" s="3233">
        <v>32370</v>
      </c>
      <c r="D21" s="3233">
        <v>26730</v>
      </c>
      <c r="E21" s="3233">
        <v>26640</v>
      </c>
      <c r="F21" s="3233"/>
      <c r="G21" s="3233">
        <v>19440</v>
      </c>
      <c r="J21" s="3240" t="s">
        <v>2929</v>
      </c>
      <c r="K21" s="3234" t="s">
        <v>267</v>
      </c>
      <c r="L21" s="3233" t="s">
        <v>268</v>
      </c>
      <c r="M21" s="3233" t="s">
        <v>269</v>
      </c>
      <c r="N21" s="3233" t="s">
        <v>270</v>
      </c>
      <c r="O21" s="3233" t="s">
        <v>264</v>
      </c>
      <c r="P21" s="3233" t="s">
        <v>283</v>
      </c>
      <c r="Q21" s="3233" t="s">
        <v>293</v>
      </c>
      <c r="R21" s="3233" t="s">
        <v>2930</v>
      </c>
      <c r="S21" s="3240" t="s">
        <v>2931</v>
      </c>
    </row>
    <row r="22" spans="1:19" ht="14.25" customHeight="1">
      <c r="A22" s="3233" t="s">
        <v>184</v>
      </c>
      <c r="B22" s="3234" t="s">
        <v>2911</v>
      </c>
      <c r="C22" s="3233">
        <v>29830</v>
      </c>
      <c r="D22" s="3233">
        <v>27600</v>
      </c>
      <c r="E22" s="3233">
        <v>28150</v>
      </c>
      <c r="F22" s="3233"/>
      <c r="G22" s="3233">
        <v>20080</v>
      </c>
      <c r="K22" s="3234" t="s">
        <v>2932</v>
      </c>
      <c r="L22" s="3233" t="s">
        <v>272</v>
      </c>
      <c r="M22" s="3233" t="s">
        <v>273</v>
      </c>
      <c r="N22" s="3233" t="s">
        <v>274</v>
      </c>
      <c r="O22" s="3233" t="s">
        <v>2933</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2934</v>
      </c>
      <c r="L23" s="3233" t="s">
        <v>278</v>
      </c>
      <c r="M23" s="3233" t="s">
        <v>279</v>
      </c>
      <c r="N23" s="3233" t="s">
        <v>2935</v>
      </c>
      <c r="O23" s="3233" t="s">
        <v>2936</v>
      </c>
      <c r="P23" s="3233" t="s">
        <v>289</v>
      </c>
      <c r="Q23" s="3233" t="s">
        <v>298</v>
      </c>
      <c r="R23" s="3233" t="s">
        <v>2937</v>
      </c>
    </row>
    <row r="24" spans="1:19" ht="14.25" customHeight="1">
      <c r="A24" s="3233" t="s">
        <v>184</v>
      </c>
      <c r="B24" s="3234" t="s">
        <v>230</v>
      </c>
      <c r="C24" s="3233">
        <v>27930</v>
      </c>
      <c r="D24" s="3233">
        <v>32260</v>
      </c>
      <c r="E24" s="3233">
        <v>32120</v>
      </c>
      <c r="F24" s="3233"/>
      <c r="G24" s="3233">
        <v>23470</v>
      </c>
      <c r="K24" s="3234" t="s">
        <v>2938</v>
      </c>
      <c r="L24" s="3233" t="s">
        <v>281</v>
      </c>
      <c r="M24" s="3233" t="s">
        <v>282</v>
      </c>
      <c r="N24" s="3233" t="s">
        <v>2939</v>
      </c>
      <c r="O24" s="3233" t="s">
        <v>285</v>
      </c>
      <c r="P24" s="3233" t="s">
        <v>2940</v>
      </c>
      <c r="Q24" s="3242" t="s">
        <v>2941</v>
      </c>
      <c r="R24" s="3233" t="s">
        <v>2942</v>
      </c>
    </row>
    <row r="25" spans="1:19" ht="14.25" customHeight="1">
      <c r="A25" s="3233" t="s">
        <v>184</v>
      </c>
      <c r="B25" s="3234" t="s">
        <v>235</v>
      </c>
      <c r="C25" s="3233">
        <v>32230</v>
      </c>
      <c r="D25" s="3233">
        <v>29640</v>
      </c>
      <c r="E25" s="3233">
        <v>29510</v>
      </c>
      <c r="F25" s="3233"/>
      <c r="G25" s="3233">
        <v>21560</v>
      </c>
      <c r="K25" s="3234" t="s">
        <v>2943</v>
      </c>
      <c r="L25" s="3233" t="s">
        <v>2944</v>
      </c>
      <c r="M25" s="3233" t="s">
        <v>284</v>
      </c>
      <c r="N25" s="3233" t="s">
        <v>292</v>
      </c>
      <c r="O25" s="3233" t="s">
        <v>288</v>
      </c>
      <c r="P25" s="3233" t="s">
        <v>275</v>
      </c>
      <c r="Q25" s="3242" t="s">
        <v>271</v>
      </c>
      <c r="R25" s="3233" t="s">
        <v>2945</v>
      </c>
    </row>
    <row r="26" spans="1:19" ht="14.25" customHeight="1" thickBot="1">
      <c r="A26" s="3233" t="s">
        <v>184</v>
      </c>
      <c r="B26" s="3234" t="s">
        <v>244</v>
      </c>
      <c r="C26" s="3233">
        <v>31690</v>
      </c>
      <c r="D26" s="3233">
        <v>27650</v>
      </c>
      <c r="E26" s="3233">
        <v>28200</v>
      </c>
      <c r="F26" s="3233"/>
      <c r="G26" s="3233">
        <v>20110</v>
      </c>
      <c r="K26" s="3239" t="s">
        <v>2946</v>
      </c>
      <c r="L26" s="3233" t="s">
        <v>2947</v>
      </c>
      <c r="M26" s="3233" t="s">
        <v>287</v>
      </c>
      <c r="N26" s="3233" t="s">
        <v>294</v>
      </c>
      <c r="O26" s="3233" t="s">
        <v>2948</v>
      </c>
      <c r="P26" s="3233" t="s">
        <v>2949</v>
      </c>
      <c r="Q26" s="3242" t="s">
        <v>276</v>
      </c>
      <c r="R26" s="3233" t="s">
        <v>2950</v>
      </c>
    </row>
    <row r="27" spans="1:19" ht="14.25" customHeight="1">
      <c r="A27" s="3233" t="s">
        <v>184</v>
      </c>
      <c r="B27" s="3234" t="s">
        <v>251</v>
      </c>
      <c r="C27" s="3233">
        <v>29610</v>
      </c>
      <c r="D27" s="3233">
        <v>27770</v>
      </c>
      <c r="E27" s="3233">
        <v>28300</v>
      </c>
      <c r="F27" s="3233"/>
      <c r="G27" s="3233">
        <v>20210</v>
      </c>
      <c r="L27" s="3233" t="s">
        <v>2951</v>
      </c>
      <c r="M27" s="3233" t="s">
        <v>291</v>
      </c>
      <c r="N27" s="3233" t="s">
        <v>297</v>
      </c>
      <c r="O27" s="3233" t="s">
        <v>2952</v>
      </c>
      <c r="P27" s="3233" t="s">
        <v>2953</v>
      </c>
      <c r="Q27" s="3233" t="s">
        <v>2954</v>
      </c>
      <c r="R27" s="3233" t="s">
        <v>2955</v>
      </c>
    </row>
    <row r="28" spans="1:19" ht="14.25" customHeight="1">
      <c r="A28" s="3233" t="s">
        <v>184</v>
      </c>
      <c r="B28" s="3234" t="s">
        <v>259</v>
      </c>
      <c r="C28" s="3233"/>
      <c r="D28" s="3233">
        <v>31520</v>
      </c>
      <c r="E28" s="3233">
        <v>31410</v>
      </c>
      <c r="F28" s="3233"/>
      <c r="G28" s="3233">
        <v>22940</v>
      </c>
      <c r="L28" s="3233" t="s">
        <v>2956</v>
      </c>
      <c r="M28" s="3233" t="s">
        <v>2957</v>
      </c>
      <c r="N28" s="3233" t="s">
        <v>2958</v>
      </c>
      <c r="O28" s="3233" t="s">
        <v>2959</v>
      </c>
      <c r="P28" s="3233" t="s">
        <v>2960</v>
      </c>
      <c r="Q28" s="3233" t="s">
        <v>2961</v>
      </c>
      <c r="R28" s="3233" t="s">
        <v>2962</v>
      </c>
    </row>
    <row r="29" spans="1:19" ht="14.25" customHeight="1" thickBot="1">
      <c r="A29" s="3241" t="s">
        <v>184</v>
      </c>
      <c r="B29" s="3243" t="s">
        <v>2929</v>
      </c>
      <c r="C29" s="3244"/>
      <c r="D29" s="3244">
        <v>29460</v>
      </c>
      <c r="E29" s="3244">
        <v>28640</v>
      </c>
      <c r="F29" s="3244"/>
      <c r="G29" s="3244">
        <v>21430</v>
      </c>
      <c r="L29" s="3233" t="s">
        <v>2963</v>
      </c>
      <c r="M29" s="3233" t="s">
        <v>2964</v>
      </c>
      <c r="N29" s="3233" t="s">
        <v>2965</v>
      </c>
      <c r="O29" s="3233" t="s">
        <v>2966</v>
      </c>
      <c r="P29" s="3233" t="s">
        <v>2967</v>
      </c>
      <c r="Q29" s="3233" t="s">
        <v>2968</v>
      </c>
      <c r="R29" s="3233" t="s">
        <v>280</v>
      </c>
    </row>
    <row r="30" spans="1:19" ht="14.25" customHeight="1">
      <c r="A30" s="3238" t="s">
        <v>296</v>
      </c>
      <c r="B30" s="3229" t="s">
        <v>2862</v>
      </c>
      <c r="C30" s="3229">
        <v>26890</v>
      </c>
      <c r="D30" s="3229">
        <v>26770</v>
      </c>
      <c r="E30" s="3229">
        <v>25700</v>
      </c>
      <c r="F30" s="3229">
        <v>8180</v>
      </c>
      <c r="G30" s="3245">
        <v>18740</v>
      </c>
      <c r="L30" s="3233" t="s">
        <v>2969</v>
      </c>
      <c r="M30" s="3233" t="s">
        <v>2970</v>
      </c>
      <c r="N30" s="3233" t="s">
        <v>2971</v>
      </c>
      <c r="O30" s="3233" t="s">
        <v>2972</v>
      </c>
      <c r="P30" s="3233" t="s">
        <v>2973</v>
      </c>
      <c r="Q30" s="3233" t="s">
        <v>2974</v>
      </c>
      <c r="R30" s="3233" t="s">
        <v>2975</v>
      </c>
    </row>
    <row r="31" spans="1:19" ht="14.25" customHeight="1">
      <c r="A31" s="3233" t="s">
        <v>296</v>
      </c>
      <c r="B31" s="3234" t="s">
        <v>129</v>
      </c>
      <c r="C31" s="3233">
        <v>24550</v>
      </c>
      <c r="D31" s="3233">
        <v>23990</v>
      </c>
      <c r="E31" s="3233">
        <v>22930</v>
      </c>
      <c r="F31" s="3233">
        <v>7470</v>
      </c>
      <c r="G31" s="3246">
        <v>16790</v>
      </c>
      <c r="L31" s="3233" t="s">
        <v>2976</v>
      </c>
      <c r="M31" s="3233" t="s">
        <v>2977</v>
      </c>
      <c r="N31" s="3233" t="s">
        <v>2978</v>
      </c>
      <c r="O31" s="3233" t="s">
        <v>2979</v>
      </c>
      <c r="P31" s="3233" t="s">
        <v>2980</v>
      </c>
      <c r="Q31" s="3233" t="s">
        <v>2981</v>
      </c>
      <c r="R31" s="3233" t="s">
        <v>2982</v>
      </c>
    </row>
    <row r="32" spans="1:19" ht="14.25" customHeight="1" thickBot="1">
      <c r="A32" s="3233" t="s">
        <v>296</v>
      </c>
      <c r="B32" s="3234" t="s">
        <v>138</v>
      </c>
      <c r="C32" s="3233">
        <v>27210</v>
      </c>
      <c r="D32" s="3233">
        <v>23240</v>
      </c>
      <c r="E32" s="3233">
        <v>23260</v>
      </c>
      <c r="F32" s="3233">
        <v>7130</v>
      </c>
      <c r="G32" s="3246">
        <v>16270</v>
      </c>
      <c r="L32" s="3233" t="s">
        <v>2983</v>
      </c>
      <c r="M32" s="3233" t="s">
        <v>2984</v>
      </c>
      <c r="N32" s="3233" t="s">
        <v>300</v>
      </c>
      <c r="O32" s="3233" t="s">
        <v>2985</v>
      </c>
      <c r="P32" s="3233" t="s">
        <v>299</v>
      </c>
      <c r="Q32" s="3233" t="s">
        <v>2986</v>
      </c>
      <c r="R32" s="3240" t="s">
        <v>2987</v>
      </c>
    </row>
    <row r="33" spans="1:17" ht="14.25" customHeight="1" thickBot="1">
      <c r="A33" s="3233" t="s">
        <v>296</v>
      </c>
      <c r="B33" s="3234" t="s">
        <v>147</v>
      </c>
      <c r="C33" s="3233">
        <v>27300</v>
      </c>
      <c r="D33" s="3233">
        <v>22980</v>
      </c>
      <c r="E33" s="3233">
        <v>24260</v>
      </c>
      <c r="F33" s="3233">
        <v>5860</v>
      </c>
      <c r="G33" s="3246">
        <v>16090</v>
      </c>
      <c r="L33" s="3240" t="s">
        <v>2988</v>
      </c>
      <c r="M33" s="3233" t="s">
        <v>2989</v>
      </c>
      <c r="N33" s="3233" t="s">
        <v>301</v>
      </c>
      <c r="O33" s="3233" t="s">
        <v>2990</v>
      </c>
      <c r="P33" s="3233" t="s">
        <v>2991</v>
      </c>
      <c r="Q33" s="3233" t="s">
        <v>2992</v>
      </c>
    </row>
    <row r="34" spans="1:17" ht="14.25" customHeight="1">
      <c r="A34" s="3233" t="s">
        <v>296</v>
      </c>
      <c r="B34" s="3234" t="s">
        <v>156</v>
      </c>
      <c r="C34" s="3233">
        <v>23090</v>
      </c>
      <c r="D34" s="3233">
        <v>23390</v>
      </c>
      <c r="E34" s="3233">
        <v>23510</v>
      </c>
      <c r="F34" s="3233">
        <v>6700</v>
      </c>
      <c r="G34" s="3246">
        <v>16370</v>
      </c>
      <c r="M34" s="3233" t="s">
        <v>2993</v>
      </c>
      <c r="N34" s="3233" t="s">
        <v>302</v>
      </c>
      <c r="O34" s="3233" t="s">
        <v>2994</v>
      </c>
      <c r="P34" s="3233" t="s">
        <v>2995</v>
      </c>
      <c r="Q34" s="3233" t="s">
        <v>2996</v>
      </c>
    </row>
    <row r="35" spans="1:17" ht="14.25" customHeight="1">
      <c r="A35" s="3233" t="s">
        <v>296</v>
      </c>
      <c r="B35" s="3234" t="s">
        <v>163</v>
      </c>
      <c r="C35" s="3233">
        <v>27270</v>
      </c>
      <c r="D35" s="3233">
        <v>24270</v>
      </c>
      <c r="E35" s="3233">
        <v>24950</v>
      </c>
      <c r="F35" s="3233">
        <v>6600</v>
      </c>
      <c r="G35" s="3246">
        <v>16990</v>
      </c>
      <c r="M35" s="3233" t="s">
        <v>2997</v>
      </c>
      <c r="N35" s="3233" t="s">
        <v>2998</v>
      </c>
      <c r="O35" s="3233" t="s">
        <v>2999</v>
      </c>
      <c r="P35" s="3233" t="s">
        <v>3000</v>
      </c>
      <c r="Q35" s="3233" t="s">
        <v>3001</v>
      </c>
    </row>
    <row r="36" spans="1:17" ht="14.25" customHeight="1">
      <c r="A36" s="3233" t="s">
        <v>296</v>
      </c>
      <c r="B36" s="3234" t="s">
        <v>169</v>
      </c>
      <c r="C36" s="3233">
        <v>23490</v>
      </c>
      <c r="D36" s="3233">
        <v>23020</v>
      </c>
      <c r="E36" s="3233">
        <v>25230</v>
      </c>
      <c r="F36" s="3233">
        <v>6780</v>
      </c>
      <c r="G36" s="3246">
        <v>16120</v>
      </c>
      <c r="M36" s="3233" t="s">
        <v>3002</v>
      </c>
      <c r="N36" s="3233" t="s">
        <v>3003</v>
      </c>
      <c r="O36" s="3233" t="s">
        <v>3004</v>
      </c>
      <c r="P36" s="3233" t="s">
        <v>3005</v>
      </c>
      <c r="Q36" s="3233" t="s">
        <v>3006</v>
      </c>
    </row>
    <row r="37" spans="1:17" ht="14.25" customHeight="1">
      <c r="A37" s="3233" t="s">
        <v>296</v>
      </c>
      <c r="B37" s="3234" t="s">
        <v>176</v>
      </c>
      <c r="C37" s="3233">
        <v>24380</v>
      </c>
      <c r="D37" s="3233">
        <v>22240</v>
      </c>
      <c r="E37" s="3233">
        <v>25980</v>
      </c>
      <c r="F37" s="3233">
        <v>8160</v>
      </c>
      <c r="G37" s="3246">
        <v>15570</v>
      </c>
      <c r="M37" s="3233" t="s">
        <v>3007</v>
      </c>
      <c r="N37" s="3233" t="s">
        <v>3008</v>
      </c>
      <c r="O37" s="3233" t="s">
        <v>3009</v>
      </c>
      <c r="P37" s="3233" t="s">
        <v>3010</v>
      </c>
      <c r="Q37" s="3233" t="s">
        <v>3011</v>
      </c>
    </row>
    <row r="38" spans="1:17" ht="14.25" customHeight="1">
      <c r="A38" s="3233" t="s">
        <v>296</v>
      </c>
      <c r="B38" s="3234" t="s">
        <v>186</v>
      </c>
      <c r="C38" s="3233">
        <v>23120</v>
      </c>
      <c r="D38" s="3233">
        <v>24630</v>
      </c>
      <c r="E38" s="3233">
        <v>25030</v>
      </c>
      <c r="F38" s="3233">
        <v>7710</v>
      </c>
      <c r="G38" s="3246">
        <v>17240</v>
      </c>
      <c r="M38" s="3233" t="s">
        <v>3012</v>
      </c>
      <c r="N38" s="3233" t="s">
        <v>3013</v>
      </c>
      <c r="O38" s="3233" t="s">
        <v>3014</v>
      </c>
      <c r="P38" s="3233" t="s">
        <v>3015</v>
      </c>
      <c r="Q38" s="3233" t="s">
        <v>3016</v>
      </c>
    </row>
    <row r="39" spans="1:17" ht="14.25" customHeight="1">
      <c r="A39" s="3233" t="s">
        <v>296</v>
      </c>
      <c r="B39" s="3234" t="s">
        <v>195</v>
      </c>
      <c r="C39" s="3233">
        <v>22330</v>
      </c>
      <c r="D39" s="3233">
        <v>21140</v>
      </c>
      <c r="E39" s="3233">
        <v>23970</v>
      </c>
      <c r="F39" s="3233">
        <v>7940</v>
      </c>
      <c r="G39" s="3246">
        <v>14790</v>
      </c>
      <c r="M39" s="3233" t="s">
        <v>3017</v>
      </c>
      <c r="N39" s="3233" t="s">
        <v>3018</v>
      </c>
      <c r="O39" s="3233" t="s">
        <v>3019</v>
      </c>
      <c r="P39" s="3233" t="s">
        <v>3020</v>
      </c>
      <c r="Q39" s="3233" t="s">
        <v>3021</v>
      </c>
    </row>
    <row r="40" spans="1:17" ht="14.25" customHeight="1">
      <c r="A40" s="3233" t="s">
        <v>296</v>
      </c>
      <c r="B40" s="3234" t="s">
        <v>202</v>
      </c>
      <c r="C40" s="3233">
        <v>24740</v>
      </c>
      <c r="D40" s="3233">
        <v>24690</v>
      </c>
      <c r="E40" s="3233">
        <v>22610</v>
      </c>
      <c r="F40" s="3233"/>
      <c r="G40" s="3246">
        <v>17280</v>
      </c>
      <c r="M40" s="3233" t="s">
        <v>3022</v>
      </c>
      <c r="N40" s="3233" t="s">
        <v>3023</v>
      </c>
      <c r="O40" s="3233" t="s">
        <v>3024</v>
      </c>
      <c r="P40" s="3233" t="s">
        <v>3025</v>
      </c>
      <c r="Q40" s="3233" t="s">
        <v>3026</v>
      </c>
    </row>
    <row r="41" spans="1:17" ht="14.25" customHeight="1" thickBot="1">
      <c r="A41" s="3233" t="s">
        <v>296</v>
      </c>
      <c r="B41" s="3234" t="s">
        <v>209</v>
      </c>
      <c r="C41" s="3233">
        <v>21220</v>
      </c>
      <c r="D41" s="3233">
        <v>21120</v>
      </c>
      <c r="E41" s="3233">
        <v>22590</v>
      </c>
      <c r="F41" s="3233"/>
      <c r="G41" s="3246">
        <v>14780</v>
      </c>
      <c r="M41" s="3240" t="s">
        <v>3027</v>
      </c>
      <c r="N41" s="3233" t="s">
        <v>3028</v>
      </c>
      <c r="O41" s="3233" t="s">
        <v>3029</v>
      </c>
      <c r="P41" s="3233" t="s">
        <v>3030</v>
      </c>
      <c r="Q41" s="3233" t="s">
        <v>3031</v>
      </c>
    </row>
    <row r="42" spans="1:17" ht="14.25" customHeight="1">
      <c r="A42" s="3233" t="s">
        <v>296</v>
      </c>
      <c r="B42" s="3234" t="s">
        <v>215</v>
      </c>
      <c r="C42" s="3233">
        <v>24800</v>
      </c>
      <c r="D42" s="3233">
        <v>22280</v>
      </c>
      <c r="E42" s="3233">
        <v>24350</v>
      </c>
      <c r="F42" s="3233"/>
      <c r="G42" s="3246">
        <v>15590</v>
      </c>
      <c r="N42" s="3233" t="s">
        <v>3032</v>
      </c>
      <c r="O42" s="3233" t="s">
        <v>3033</v>
      </c>
      <c r="P42" s="3233" t="s">
        <v>3034</v>
      </c>
      <c r="Q42" s="3233" t="s">
        <v>3035</v>
      </c>
    </row>
    <row r="43" spans="1:17" ht="14.25" customHeight="1">
      <c r="A43" s="3233" t="s">
        <v>3036</v>
      </c>
      <c r="B43" s="3234" t="s">
        <v>223</v>
      </c>
      <c r="C43" s="3233">
        <v>21210</v>
      </c>
      <c r="D43" s="3233">
        <v>21160</v>
      </c>
      <c r="E43" s="3233">
        <v>22650</v>
      </c>
      <c r="F43" s="3233"/>
      <c r="G43" s="3246">
        <v>14800</v>
      </c>
      <c r="N43" s="3233" t="s">
        <v>3037</v>
      </c>
      <c r="O43" s="3233" t="s">
        <v>3038</v>
      </c>
      <c r="P43" s="3233" t="s">
        <v>3039</v>
      </c>
      <c r="Q43" s="3233" t="s">
        <v>3040</v>
      </c>
    </row>
    <row r="44" spans="1:17" ht="14.25" customHeight="1" thickBot="1">
      <c r="A44" s="3233" t="s">
        <v>296</v>
      </c>
      <c r="B44" s="3234" t="s">
        <v>231</v>
      </c>
      <c r="C44" s="3233">
        <v>22370</v>
      </c>
      <c r="D44" s="3233">
        <v>23140</v>
      </c>
      <c r="E44" s="3233">
        <v>25090</v>
      </c>
      <c r="F44" s="3233"/>
      <c r="G44" s="3246">
        <v>16190</v>
      </c>
      <c r="N44" s="3233" t="s">
        <v>3041</v>
      </c>
      <c r="O44" s="3233" t="s">
        <v>3042</v>
      </c>
      <c r="P44" s="3240" t="s">
        <v>3043</v>
      </c>
      <c r="Q44" s="3233" t="s">
        <v>3044</v>
      </c>
    </row>
    <row r="45" spans="1:17" ht="14.25" customHeight="1" thickBot="1">
      <c r="A45" s="3233" t="s">
        <v>296</v>
      </c>
      <c r="B45" s="3234" t="s">
        <v>236</v>
      </c>
      <c r="C45" s="3233">
        <v>21240</v>
      </c>
      <c r="D45" s="3233">
        <v>27050</v>
      </c>
      <c r="E45" s="3233">
        <v>28000</v>
      </c>
      <c r="F45" s="3233"/>
      <c r="G45" s="3246">
        <v>18940</v>
      </c>
      <c r="N45" s="3233" t="s">
        <v>3045</v>
      </c>
      <c r="O45" s="3240" t="s">
        <v>3046</v>
      </c>
      <c r="Q45" s="3233" t="s">
        <v>3047</v>
      </c>
    </row>
    <row r="46" spans="1:17" ht="14.25" customHeight="1">
      <c r="A46" s="3233" t="s">
        <v>296</v>
      </c>
      <c r="B46" s="3234" t="s">
        <v>245</v>
      </c>
      <c r="C46" s="3233">
        <v>23240</v>
      </c>
      <c r="D46" s="3233">
        <v>23000</v>
      </c>
      <c r="E46" s="3233">
        <v>24980</v>
      </c>
      <c r="F46" s="3233"/>
      <c r="G46" s="3246">
        <v>16100</v>
      </c>
      <c r="N46" s="3233" t="s">
        <v>3048</v>
      </c>
      <c r="Q46" s="3233" t="s">
        <v>3049</v>
      </c>
    </row>
    <row r="47" spans="1:17" ht="14.25" customHeight="1">
      <c r="A47" s="3233" t="s">
        <v>296</v>
      </c>
      <c r="B47" s="3234" t="s">
        <v>252</v>
      </c>
      <c r="C47" s="3233">
        <v>27150</v>
      </c>
      <c r="D47" s="3233">
        <v>23310</v>
      </c>
      <c r="E47" s="3233">
        <v>25150</v>
      </c>
      <c r="F47" s="3233"/>
      <c r="G47" s="3246">
        <v>16310</v>
      </c>
      <c r="N47" s="3233" t="s">
        <v>3050</v>
      </c>
      <c r="Q47" s="3233" t="s">
        <v>3051</v>
      </c>
    </row>
    <row r="48" spans="1:17" ht="14.25" customHeight="1">
      <c r="A48" s="3233" t="s">
        <v>296</v>
      </c>
      <c r="B48" s="3234" t="s">
        <v>260</v>
      </c>
      <c r="C48" s="3233">
        <v>23100</v>
      </c>
      <c r="D48" s="3233">
        <v>21110</v>
      </c>
      <c r="E48" s="3233">
        <v>23080</v>
      </c>
      <c r="F48" s="3233"/>
      <c r="G48" s="3246">
        <v>14780</v>
      </c>
      <c r="N48" s="3233" t="s">
        <v>3052</v>
      </c>
      <c r="Q48" s="3233" t="s">
        <v>3053</v>
      </c>
    </row>
    <row r="49" spans="1:17" ht="14.25" customHeight="1">
      <c r="A49" s="3233" t="s">
        <v>296</v>
      </c>
      <c r="B49" s="3234" t="s">
        <v>267</v>
      </c>
      <c r="C49" s="3233">
        <v>23400</v>
      </c>
      <c r="D49" s="3233">
        <v>22920</v>
      </c>
      <c r="E49" s="3233">
        <v>24900</v>
      </c>
      <c r="F49" s="3233"/>
      <c r="G49" s="3246">
        <v>16040</v>
      </c>
      <c r="N49" s="3233" t="s">
        <v>3054</v>
      </c>
      <c r="Q49" s="3233" t="s">
        <v>3055</v>
      </c>
    </row>
    <row r="50" spans="1:17" ht="14.25" customHeight="1">
      <c r="A50" s="3233" t="s">
        <v>296</v>
      </c>
      <c r="B50" s="3234" t="s">
        <v>2932</v>
      </c>
      <c r="C50" s="3233">
        <v>21200</v>
      </c>
      <c r="D50" s="3233">
        <v>26540</v>
      </c>
      <c r="E50" s="3233">
        <v>23200</v>
      </c>
      <c r="F50" s="3233"/>
      <c r="G50" s="3246">
        <v>18580</v>
      </c>
      <c r="N50" s="3233" t="s">
        <v>3056</v>
      </c>
      <c r="Q50" s="3234" t="s">
        <v>3057</v>
      </c>
    </row>
    <row r="51" spans="1:17" ht="14.25" customHeight="1" thickBot="1">
      <c r="A51" s="3233" t="s">
        <v>296</v>
      </c>
      <c r="B51" s="3234" t="s">
        <v>2934</v>
      </c>
      <c r="C51" s="3233">
        <v>23000</v>
      </c>
      <c r="D51" s="3233">
        <v>23460</v>
      </c>
      <c r="E51" s="3233">
        <v>25290</v>
      </c>
      <c r="F51" s="3233"/>
      <c r="G51" s="3246">
        <v>16420</v>
      </c>
      <c r="N51" s="3233" t="s">
        <v>3058</v>
      </c>
      <c r="Q51" s="3240" t="s">
        <v>3059</v>
      </c>
    </row>
    <row r="52" spans="1:17" ht="14.25" customHeight="1">
      <c r="A52" s="3233" t="s">
        <v>296</v>
      </c>
      <c r="B52" s="3234" t="s">
        <v>2938</v>
      </c>
      <c r="C52" s="3233">
        <v>26660</v>
      </c>
      <c r="D52" s="3233">
        <v>22350</v>
      </c>
      <c r="E52" s="3233">
        <v>22920</v>
      </c>
      <c r="F52" s="3233"/>
      <c r="G52" s="3246">
        <v>15640</v>
      </c>
      <c r="N52" s="3233" t="s">
        <v>3060</v>
      </c>
    </row>
    <row r="53" spans="1:17" ht="14.25" customHeight="1">
      <c r="A53" s="3233" t="s">
        <v>296</v>
      </c>
      <c r="B53" s="3234" t="s">
        <v>2943</v>
      </c>
      <c r="C53" s="3233">
        <v>23580</v>
      </c>
      <c r="D53" s="3233"/>
      <c r="E53" s="3233">
        <v>24280</v>
      </c>
      <c r="F53" s="3233"/>
      <c r="G53" s="3246"/>
      <c r="N53" s="3233" t="s">
        <v>3061</v>
      </c>
    </row>
    <row r="54" spans="1:17" ht="14.25" customHeight="1" thickBot="1">
      <c r="A54" s="3247" t="s">
        <v>296</v>
      </c>
      <c r="B54" s="3239" t="s">
        <v>2946</v>
      </c>
      <c r="C54" s="3240">
        <v>22460</v>
      </c>
      <c r="D54" s="3240"/>
      <c r="E54" s="3240"/>
      <c r="F54" s="3240"/>
      <c r="G54" s="3248"/>
      <c r="N54" s="3233" t="s">
        <v>3062</v>
      </c>
    </row>
    <row r="55" spans="1:17" ht="14.25" customHeight="1">
      <c r="A55" s="3238" t="s">
        <v>110</v>
      </c>
      <c r="B55" s="3229" t="s">
        <v>3063</v>
      </c>
      <c r="C55" s="3233">
        <v>21970</v>
      </c>
      <c r="D55" s="3233">
        <v>20370</v>
      </c>
      <c r="E55" s="3233">
        <v>20180</v>
      </c>
      <c r="F55" s="3233">
        <v>5730</v>
      </c>
      <c r="G55" s="3233">
        <v>13820</v>
      </c>
      <c r="N55" s="3233" t="s">
        <v>3064</v>
      </c>
    </row>
    <row r="56" spans="1:17" ht="14.25" customHeight="1">
      <c r="A56" s="3233" t="s">
        <v>110</v>
      </c>
      <c r="B56" s="3233" t="s">
        <v>130</v>
      </c>
      <c r="C56" s="3233">
        <v>20470</v>
      </c>
      <c r="D56" s="3233">
        <v>20700</v>
      </c>
      <c r="E56" s="3233">
        <v>20380</v>
      </c>
      <c r="F56" s="3233">
        <v>4760</v>
      </c>
      <c r="G56" s="3233">
        <v>14050</v>
      </c>
      <c r="N56" s="3233" t="s">
        <v>3065</v>
      </c>
    </row>
    <row r="57" spans="1:17" ht="14.25" customHeight="1">
      <c r="A57" s="3233" t="s">
        <v>110</v>
      </c>
      <c r="B57" s="3233" t="s">
        <v>139</v>
      </c>
      <c r="C57" s="3233">
        <v>20790</v>
      </c>
      <c r="D57" s="3233">
        <v>21370</v>
      </c>
      <c r="E57" s="3233">
        <v>20890</v>
      </c>
      <c r="F57" s="3233">
        <v>4910</v>
      </c>
      <c r="G57" s="3233">
        <v>14510</v>
      </c>
      <c r="N57" s="3233" t="s">
        <v>3066</v>
      </c>
    </row>
    <row r="58" spans="1:17" ht="14.25" customHeight="1">
      <c r="A58" s="3233" t="s">
        <v>110</v>
      </c>
      <c r="B58" s="3233" t="s">
        <v>148</v>
      </c>
      <c r="C58" s="3233">
        <v>21460</v>
      </c>
      <c r="D58" s="3233">
        <v>20920</v>
      </c>
      <c r="E58" s="3233">
        <v>23410</v>
      </c>
      <c r="F58" s="3233">
        <v>5100</v>
      </c>
      <c r="G58" s="3233">
        <v>14200</v>
      </c>
      <c r="N58" s="3233" t="s">
        <v>3067</v>
      </c>
    </row>
    <row r="59" spans="1:17" ht="14.25" customHeight="1">
      <c r="A59" s="3233" t="s">
        <v>110</v>
      </c>
      <c r="B59" s="3233" t="s">
        <v>157</v>
      </c>
      <c r="C59" s="3233">
        <v>21000</v>
      </c>
      <c r="D59" s="3233">
        <v>21550</v>
      </c>
      <c r="E59" s="3233">
        <v>21150</v>
      </c>
      <c r="F59" s="3233">
        <v>5250</v>
      </c>
      <c r="G59" s="3233">
        <v>14630</v>
      </c>
      <c r="N59" s="3233" t="s">
        <v>3068</v>
      </c>
    </row>
    <row r="60" spans="1:17" ht="14.25" customHeight="1">
      <c r="A60" s="3233" t="s">
        <v>110</v>
      </c>
      <c r="B60" s="3233" t="s">
        <v>164</v>
      </c>
      <c r="C60" s="3233">
        <v>21640</v>
      </c>
      <c r="D60" s="3233">
        <v>21260</v>
      </c>
      <c r="E60" s="3233">
        <v>24040</v>
      </c>
      <c r="F60" s="3233">
        <v>4470</v>
      </c>
      <c r="G60" s="3233">
        <v>14430</v>
      </c>
      <c r="N60" s="3233" t="s">
        <v>3069</v>
      </c>
    </row>
    <row r="61" spans="1:17" ht="14.25" customHeight="1">
      <c r="A61" s="3233" t="s">
        <v>110</v>
      </c>
      <c r="B61" s="3233" t="s">
        <v>170</v>
      </c>
      <c r="C61" s="3233">
        <v>21330</v>
      </c>
      <c r="D61" s="3233">
        <v>18640</v>
      </c>
      <c r="E61" s="3233">
        <v>21190</v>
      </c>
      <c r="F61" s="3233">
        <v>4180</v>
      </c>
      <c r="G61" s="3233">
        <v>12650</v>
      </c>
      <c r="N61" s="3233" t="s">
        <v>3070</v>
      </c>
    </row>
    <row r="62" spans="1:17" ht="14.25" customHeight="1">
      <c r="A62" s="3233" t="s">
        <v>110</v>
      </c>
      <c r="B62" s="3233" t="s">
        <v>177</v>
      </c>
      <c r="C62" s="3233">
        <v>18710</v>
      </c>
      <c r="D62" s="3233">
        <v>19400</v>
      </c>
      <c r="E62" s="3233">
        <v>23750</v>
      </c>
      <c r="F62" s="3233">
        <v>4860</v>
      </c>
      <c r="G62" s="3233">
        <v>13170</v>
      </c>
      <c r="N62" s="3233" t="s">
        <v>3071</v>
      </c>
    </row>
    <row r="63" spans="1:17" ht="14.25" customHeight="1">
      <c r="A63" s="3233" t="s">
        <v>110</v>
      </c>
      <c r="B63" s="3233" t="s">
        <v>187</v>
      </c>
      <c r="C63" s="3233">
        <v>19480</v>
      </c>
      <c r="D63" s="3233">
        <v>16830</v>
      </c>
      <c r="E63" s="3233">
        <v>21590</v>
      </c>
      <c r="F63" s="3233">
        <v>4560</v>
      </c>
      <c r="G63" s="3233">
        <v>11420</v>
      </c>
      <c r="N63" s="3233" t="s">
        <v>3072</v>
      </c>
    </row>
    <row r="64" spans="1:17" ht="14.25" customHeight="1" thickBot="1">
      <c r="A64" s="3233" t="s">
        <v>110</v>
      </c>
      <c r="B64" s="3233" t="s">
        <v>196</v>
      </c>
      <c r="C64" s="3233">
        <v>16920</v>
      </c>
      <c r="D64" s="3233">
        <v>19190</v>
      </c>
      <c r="E64" s="3233">
        <v>22200</v>
      </c>
      <c r="F64" s="3233">
        <v>4390</v>
      </c>
      <c r="G64" s="3233">
        <v>13030</v>
      </c>
      <c r="N64" s="3240" t="s">
        <v>3073</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2944</v>
      </c>
      <c r="C78" s="3233">
        <v>19820</v>
      </c>
      <c r="D78" s="3233">
        <v>19780</v>
      </c>
      <c r="E78" s="3233">
        <v>18560</v>
      </c>
      <c r="F78" s="3233"/>
      <c r="G78" s="3233">
        <v>13430</v>
      </c>
    </row>
    <row r="79" spans="1:7" s="3222" customFormat="1" ht="14.25" customHeight="1">
      <c r="A79" s="3233" t="s">
        <v>110</v>
      </c>
      <c r="B79" s="3233" t="s">
        <v>2947</v>
      </c>
      <c r="C79" s="3233">
        <v>21660</v>
      </c>
      <c r="D79" s="3233">
        <v>18000</v>
      </c>
      <c r="E79" s="3233">
        <v>22570</v>
      </c>
      <c r="F79" s="3233"/>
      <c r="G79" s="3233">
        <v>12220</v>
      </c>
    </row>
    <row r="80" spans="1:7" s="3222" customFormat="1" ht="14.25" customHeight="1">
      <c r="A80" s="3233" t="s">
        <v>110</v>
      </c>
      <c r="B80" s="3233" t="s">
        <v>2951</v>
      </c>
      <c r="C80" s="3233">
        <v>19850</v>
      </c>
      <c r="D80" s="3233"/>
      <c r="E80" s="3233">
        <v>21700</v>
      </c>
      <c r="F80" s="3233"/>
      <c r="G80" s="3233"/>
    </row>
    <row r="81" spans="1:7" s="3222" customFormat="1" ht="14.25" customHeight="1">
      <c r="A81" s="3233" t="s">
        <v>110</v>
      </c>
      <c r="B81" s="3233" t="s">
        <v>2956</v>
      </c>
      <c r="C81" s="3233">
        <v>18080</v>
      </c>
      <c r="D81" s="3233"/>
      <c r="E81" s="3233">
        <v>20900</v>
      </c>
      <c r="F81" s="3233"/>
      <c r="G81" s="3233"/>
    </row>
    <row r="82" spans="1:7" s="3222" customFormat="1" ht="14.25" customHeight="1">
      <c r="A82" s="3233" t="s">
        <v>110</v>
      </c>
      <c r="B82" s="3233" t="s">
        <v>2963</v>
      </c>
      <c r="C82" s="3233"/>
      <c r="D82" s="3233"/>
      <c r="E82" s="3233">
        <v>20840</v>
      </c>
      <c r="F82" s="3233"/>
      <c r="G82" s="3233"/>
    </row>
    <row r="83" spans="1:7" s="3222" customFormat="1" ht="14.25" customHeight="1">
      <c r="A83" s="3233" t="s">
        <v>110</v>
      </c>
      <c r="B83" s="3233" t="s">
        <v>3074</v>
      </c>
      <c r="C83" s="3233"/>
      <c r="D83" s="3233"/>
      <c r="E83" s="3233"/>
      <c r="F83" s="3233">
        <v>4770</v>
      </c>
      <c r="G83" s="3233"/>
    </row>
    <row r="84" spans="1:7" s="3222" customFormat="1" ht="14.25" customHeight="1">
      <c r="A84" s="3233" t="s">
        <v>110</v>
      </c>
      <c r="B84" s="3233" t="s">
        <v>3075</v>
      </c>
      <c r="C84" s="3233"/>
      <c r="D84" s="3233"/>
      <c r="E84" s="3233"/>
      <c r="F84" s="3233">
        <v>4600</v>
      </c>
      <c r="G84" s="3233"/>
    </row>
    <row r="85" spans="1:7" s="3222" customFormat="1" ht="14.25" customHeight="1">
      <c r="A85" s="3233" t="s">
        <v>110</v>
      </c>
      <c r="B85" s="3233" t="s">
        <v>3076</v>
      </c>
      <c r="C85" s="3233"/>
      <c r="D85" s="3233"/>
      <c r="E85" s="3233"/>
      <c r="F85" s="3233">
        <v>4680</v>
      </c>
      <c r="G85" s="3233"/>
    </row>
    <row r="86" spans="1:7" s="3222" customFormat="1" ht="14.25" customHeight="1" thickBot="1">
      <c r="A86" s="3241" t="s">
        <v>110</v>
      </c>
      <c r="B86" s="3243" t="s">
        <v>3077</v>
      </c>
      <c r="C86" s="3244">
        <v>16610</v>
      </c>
      <c r="D86" s="3244">
        <v>16540</v>
      </c>
      <c r="E86" s="3244">
        <v>18850</v>
      </c>
      <c r="F86" s="3244"/>
      <c r="G86" s="3244">
        <v>11220</v>
      </c>
    </row>
    <row r="87" spans="1:7" s="3222" customFormat="1" ht="14.25" customHeight="1">
      <c r="A87" s="3238" t="s">
        <v>303</v>
      </c>
      <c r="B87" s="3229" t="s">
        <v>3078</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2957</v>
      </c>
      <c r="C113" s="3233">
        <v>15520</v>
      </c>
      <c r="D113" s="3233">
        <v>15450</v>
      </c>
      <c r="E113" s="3233"/>
      <c r="F113" s="3233"/>
      <c r="G113" s="3246">
        <v>10210</v>
      </c>
    </row>
    <row r="114" spans="1:7" s="3222" customFormat="1" ht="14.25" customHeight="1">
      <c r="A114" s="3233" t="s">
        <v>303</v>
      </c>
      <c r="B114" s="3233" t="s">
        <v>2964</v>
      </c>
      <c r="C114" s="3233">
        <v>13110</v>
      </c>
      <c r="D114" s="3233">
        <v>13050</v>
      </c>
      <c r="E114" s="3233"/>
      <c r="F114" s="3233"/>
      <c r="G114" s="3246">
        <v>8620</v>
      </c>
    </row>
    <row r="115" spans="1:7" s="3222" customFormat="1" ht="14.25" customHeight="1">
      <c r="A115" s="3233" t="s">
        <v>303</v>
      </c>
      <c r="B115" s="3233" t="s">
        <v>2970</v>
      </c>
      <c r="C115" s="3233">
        <v>12460</v>
      </c>
      <c r="D115" s="3233">
        <v>12390</v>
      </c>
      <c r="E115" s="3233"/>
      <c r="F115" s="3233"/>
      <c r="G115" s="3246">
        <v>8190</v>
      </c>
    </row>
    <row r="116" spans="1:7" s="3222" customFormat="1" ht="14.25" customHeight="1">
      <c r="A116" s="3233" t="s">
        <v>303</v>
      </c>
      <c r="B116" s="3233" t="s">
        <v>2977</v>
      </c>
      <c r="C116" s="3233">
        <v>13580</v>
      </c>
      <c r="D116" s="3233">
        <v>13520</v>
      </c>
      <c r="E116" s="3233"/>
      <c r="F116" s="3233"/>
      <c r="G116" s="3246">
        <v>8930</v>
      </c>
    </row>
    <row r="117" spans="1:7" s="3222" customFormat="1" ht="14.25" customHeight="1">
      <c r="A117" s="3233" t="s">
        <v>303</v>
      </c>
      <c r="B117" s="3233" t="s">
        <v>2984</v>
      </c>
      <c r="C117" s="3233">
        <v>17120</v>
      </c>
      <c r="D117" s="3233">
        <v>17040</v>
      </c>
      <c r="E117" s="3233"/>
      <c r="F117" s="3233"/>
      <c r="G117" s="3246">
        <v>11260</v>
      </c>
    </row>
    <row r="118" spans="1:7" s="3222" customFormat="1" ht="14.25" customHeight="1">
      <c r="A118" s="3233" t="s">
        <v>303</v>
      </c>
      <c r="B118" s="3233" t="s">
        <v>2989</v>
      </c>
      <c r="C118" s="3233">
        <v>14860</v>
      </c>
      <c r="D118" s="3233">
        <v>14790</v>
      </c>
      <c r="E118" s="3233"/>
      <c r="F118" s="3233"/>
      <c r="G118" s="3246">
        <v>9780</v>
      </c>
    </row>
    <row r="119" spans="1:7" s="3222" customFormat="1" ht="14.25" customHeight="1">
      <c r="A119" s="3233" t="s">
        <v>303</v>
      </c>
      <c r="B119" s="3233" t="s">
        <v>2993</v>
      </c>
      <c r="C119" s="3233">
        <v>16470</v>
      </c>
      <c r="D119" s="3233">
        <v>16400</v>
      </c>
      <c r="E119" s="3233"/>
      <c r="F119" s="3233"/>
      <c r="G119" s="3246">
        <v>10840</v>
      </c>
    </row>
    <row r="120" spans="1:7" s="3222" customFormat="1" ht="14.25" customHeight="1">
      <c r="A120" s="3233" t="s">
        <v>303</v>
      </c>
      <c r="B120" s="3233" t="s">
        <v>3079</v>
      </c>
      <c r="C120" s="3233"/>
      <c r="D120" s="3233"/>
      <c r="E120" s="3233"/>
      <c r="F120" s="3233">
        <v>4160</v>
      </c>
      <c r="G120" s="3246"/>
    </row>
    <row r="121" spans="1:7" s="3222" customFormat="1" ht="14.25" customHeight="1">
      <c r="A121" s="3233" t="s">
        <v>303</v>
      </c>
      <c r="B121" s="3233" t="s">
        <v>3080</v>
      </c>
      <c r="C121" s="3233"/>
      <c r="D121" s="3233"/>
      <c r="E121" s="3233"/>
      <c r="F121" s="3233">
        <v>3880</v>
      </c>
      <c r="G121" s="3246"/>
    </row>
    <row r="122" spans="1:7" s="3222" customFormat="1" ht="14.25" customHeight="1">
      <c r="A122" s="3233" t="s">
        <v>303</v>
      </c>
      <c r="B122" s="3233" t="s">
        <v>3081</v>
      </c>
      <c r="C122" s="3233">
        <v>13750</v>
      </c>
      <c r="D122" s="3233">
        <v>13680</v>
      </c>
      <c r="E122" s="3233">
        <v>16460</v>
      </c>
      <c r="F122" s="3233">
        <v>2880</v>
      </c>
      <c r="G122" s="3246">
        <v>9040</v>
      </c>
    </row>
    <row r="123" spans="1:7" s="3222" customFormat="1" ht="14.25" customHeight="1">
      <c r="A123" s="3233" t="s">
        <v>303</v>
      </c>
      <c r="B123" s="3233" t="s">
        <v>3012</v>
      </c>
      <c r="C123" s="3233">
        <v>13590</v>
      </c>
      <c r="D123" s="3233">
        <v>13520</v>
      </c>
      <c r="E123" s="3233">
        <v>16290</v>
      </c>
      <c r="F123" s="3233">
        <v>2790</v>
      </c>
      <c r="G123" s="3246">
        <v>8930</v>
      </c>
    </row>
    <row r="124" spans="1:7" s="3222" customFormat="1" ht="14.25" customHeight="1">
      <c r="A124" s="3233" t="s">
        <v>303</v>
      </c>
      <c r="B124" s="3233" t="s">
        <v>3017</v>
      </c>
      <c r="C124" s="3233">
        <v>13400</v>
      </c>
      <c r="D124" s="3233">
        <v>13320</v>
      </c>
      <c r="E124" s="3233">
        <v>16100</v>
      </c>
      <c r="F124" s="3233">
        <v>2320</v>
      </c>
      <c r="G124" s="3246">
        <v>8800</v>
      </c>
    </row>
    <row r="125" spans="1:7" s="3222" customFormat="1" ht="14.25" customHeight="1">
      <c r="A125" s="3233" t="s">
        <v>303</v>
      </c>
      <c r="B125" s="3233" t="s">
        <v>3022</v>
      </c>
      <c r="C125" s="3233">
        <v>12860</v>
      </c>
      <c r="D125" s="3233">
        <v>12790</v>
      </c>
      <c r="E125" s="3233">
        <v>15370</v>
      </c>
      <c r="F125" s="3233">
        <v>2280</v>
      </c>
      <c r="G125" s="3246">
        <v>8450</v>
      </c>
    </row>
    <row r="126" spans="1:7" s="3222" customFormat="1" ht="14.25" customHeight="1" thickBot="1">
      <c r="A126" s="3247" t="s">
        <v>303</v>
      </c>
      <c r="B126" s="3240" t="s">
        <v>3027</v>
      </c>
      <c r="C126" s="3240">
        <v>12960</v>
      </c>
      <c r="D126" s="3240">
        <v>12890</v>
      </c>
      <c r="E126" s="3240">
        <v>15530</v>
      </c>
      <c r="F126" s="3240">
        <v>2910</v>
      </c>
      <c r="G126" s="3248">
        <v>8520</v>
      </c>
    </row>
    <row r="127" spans="1:7" s="3222" customFormat="1" ht="14.25" customHeight="1">
      <c r="A127" s="3238" t="s">
        <v>29</v>
      </c>
      <c r="B127" s="3229" t="s">
        <v>3082</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3083</v>
      </c>
      <c r="C148" s="3233">
        <v>10370</v>
      </c>
      <c r="D148" s="3233">
        <v>10310</v>
      </c>
      <c r="E148" s="3233">
        <v>12970</v>
      </c>
      <c r="F148" s="3233"/>
      <c r="G148" s="3233">
        <v>6630</v>
      </c>
    </row>
    <row r="149" spans="1:7" s="3222" customFormat="1" ht="14.25" customHeight="1">
      <c r="A149" s="3233" t="s">
        <v>29</v>
      </c>
      <c r="B149" s="3233" t="s">
        <v>3084</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2958</v>
      </c>
      <c r="C153" s="3233">
        <v>10880</v>
      </c>
      <c r="D153" s="3233">
        <v>10820</v>
      </c>
      <c r="E153" s="3233">
        <v>13660</v>
      </c>
      <c r="F153" s="3233">
        <v>2260</v>
      </c>
      <c r="G153" s="3233">
        <v>6970</v>
      </c>
    </row>
    <row r="154" spans="1:7" s="3222" customFormat="1" ht="14.25" customHeight="1">
      <c r="A154" s="3233" t="s">
        <v>29</v>
      </c>
      <c r="B154" s="3233" t="s">
        <v>3085</v>
      </c>
      <c r="C154" s="3233">
        <v>11220</v>
      </c>
      <c r="D154" s="3233">
        <v>11160</v>
      </c>
      <c r="E154" s="3233">
        <v>14130</v>
      </c>
      <c r="F154" s="3233">
        <v>2230</v>
      </c>
      <c r="G154" s="3233">
        <v>7180</v>
      </c>
    </row>
    <row r="155" spans="1:7" s="3222" customFormat="1" ht="14.25" customHeight="1">
      <c r="A155" s="3233" t="s">
        <v>29</v>
      </c>
      <c r="B155" s="3233" t="s">
        <v>2971</v>
      </c>
      <c r="C155" s="3233">
        <v>10430</v>
      </c>
      <c r="D155" s="3233">
        <v>10380</v>
      </c>
      <c r="E155" s="3233">
        <v>13140</v>
      </c>
      <c r="F155" s="3233">
        <v>2080</v>
      </c>
      <c r="G155" s="3233">
        <v>6650</v>
      </c>
    </row>
    <row r="156" spans="1:7" s="3222" customFormat="1" ht="14.25" customHeight="1">
      <c r="A156" s="3233" t="s">
        <v>29</v>
      </c>
      <c r="B156" s="3233" t="s">
        <v>3086</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3087</v>
      </c>
      <c r="C160" s="3233">
        <v>11180</v>
      </c>
      <c r="D160" s="3233">
        <v>11140</v>
      </c>
      <c r="E160" s="3233">
        <v>14050</v>
      </c>
      <c r="F160" s="3233">
        <v>2270</v>
      </c>
      <c r="G160" s="3233">
        <v>7170</v>
      </c>
    </row>
    <row r="161" spans="1:7" s="3222" customFormat="1" ht="14.25" customHeight="1">
      <c r="A161" s="3233" t="s">
        <v>29</v>
      </c>
      <c r="B161" s="3233" t="s">
        <v>3003</v>
      </c>
      <c r="C161" s="3233">
        <v>11160</v>
      </c>
      <c r="D161" s="3233">
        <v>11120</v>
      </c>
      <c r="E161" s="3233">
        <v>14020</v>
      </c>
      <c r="F161" s="3233">
        <v>2150</v>
      </c>
      <c r="G161" s="3233">
        <v>7160</v>
      </c>
    </row>
    <row r="162" spans="1:7" s="3222" customFormat="1" ht="14.25" customHeight="1">
      <c r="A162" s="3233" t="s">
        <v>29</v>
      </c>
      <c r="B162" s="3233" t="s">
        <v>3008</v>
      </c>
      <c r="C162" s="3233">
        <v>9620</v>
      </c>
      <c r="D162" s="3233">
        <v>9570</v>
      </c>
      <c r="E162" s="3233">
        <v>12320</v>
      </c>
      <c r="F162" s="3233">
        <v>2010</v>
      </c>
      <c r="G162" s="3233">
        <v>6160</v>
      </c>
    </row>
    <row r="163" spans="1:7" s="3222" customFormat="1" ht="14.25" customHeight="1">
      <c r="A163" s="3233" t="s">
        <v>29</v>
      </c>
      <c r="B163" s="3233" t="s">
        <v>3013</v>
      </c>
      <c r="C163" s="3233">
        <v>9320</v>
      </c>
      <c r="D163" s="3233">
        <v>9270</v>
      </c>
      <c r="E163" s="3233">
        <v>11790</v>
      </c>
      <c r="F163" s="3233">
        <v>1920</v>
      </c>
      <c r="G163" s="3233">
        <v>5960</v>
      </c>
    </row>
    <row r="164" spans="1:7" s="3222" customFormat="1" ht="14.25" customHeight="1">
      <c r="A164" s="3233" t="s">
        <v>29</v>
      </c>
      <c r="B164" s="3233" t="s">
        <v>3018</v>
      </c>
      <c r="C164" s="3233"/>
      <c r="D164" s="3233"/>
      <c r="E164" s="3233"/>
      <c r="F164" s="3233">
        <v>1980</v>
      </c>
      <c r="G164" s="3233"/>
    </row>
    <row r="165" spans="1:7" s="3222" customFormat="1" ht="14.25" customHeight="1">
      <c r="A165" s="3233" t="s">
        <v>29</v>
      </c>
      <c r="B165" s="3233" t="s">
        <v>3088</v>
      </c>
      <c r="C165" s="3233">
        <v>11060</v>
      </c>
      <c r="D165" s="3233">
        <v>11030</v>
      </c>
      <c r="E165" s="3233">
        <v>13850</v>
      </c>
      <c r="F165" s="3233">
        <v>2170</v>
      </c>
      <c r="G165" s="3233">
        <v>7090</v>
      </c>
    </row>
    <row r="166" spans="1:7" s="3222" customFormat="1" ht="14.25" customHeight="1">
      <c r="A166" s="3233" t="s">
        <v>29</v>
      </c>
      <c r="B166" s="3233" t="s">
        <v>3028</v>
      </c>
      <c r="C166" s="3233">
        <v>11050</v>
      </c>
      <c r="D166" s="3233">
        <v>11010</v>
      </c>
      <c r="E166" s="3233">
        <v>13920</v>
      </c>
      <c r="F166" s="3233">
        <v>2140</v>
      </c>
      <c r="G166" s="3233">
        <v>7080</v>
      </c>
    </row>
    <row r="167" spans="1:7" s="3222" customFormat="1" ht="14.25" customHeight="1">
      <c r="A167" s="3233" t="s">
        <v>29</v>
      </c>
      <c r="B167" s="3233" t="s">
        <v>3032</v>
      </c>
      <c r="C167" s="3233">
        <v>10930</v>
      </c>
      <c r="D167" s="3233">
        <v>10890</v>
      </c>
      <c r="E167" s="3233">
        <v>13790</v>
      </c>
      <c r="F167" s="3233">
        <v>2010</v>
      </c>
      <c r="G167" s="3233">
        <v>7000</v>
      </c>
    </row>
    <row r="168" spans="1:7" s="3222" customFormat="1" ht="14.25" customHeight="1">
      <c r="A168" s="3233" t="s">
        <v>29</v>
      </c>
      <c r="B168" s="3233" t="s">
        <v>3037</v>
      </c>
      <c r="C168" s="3233">
        <v>9420</v>
      </c>
      <c r="D168" s="3233">
        <v>9380</v>
      </c>
      <c r="E168" s="3233">
        <v>11970</v>
      </c>
      <c r="F168" s="3233"/>
      <c r="G168" s="3233">
        <v>6040</v>
      </c>
    </row>
    <row r="169" spans="1:7" s="3222" customFormat="1" ht="14.25" customHeight="1">
      <c r="A169" s="3233" t="s">
        <v>29</v>
      </c>
      <c r="B169" s="3233" t="s">
        <v>3089</v>
      </c>
      <c r="C169" s="3233"/>
      <c r="D169" s="3233"/>
      <c r="E169" s="3233"/>
      <c r="F169" s="3233">
        <v>2880</v>
      </c>
      <c r="G169" s="3233"/>
    </row>
    <row r="170" spans="1:7" s="3222" customFormat="1" ht="14.25" customHeight="1">
      <c r="A170" s="3233" t="s">
        <v>29</v>
      </c>
      <c r="B170" s="3233" t="s">
        <v>3045</v>
      </c>
      <c r="C170" s="3233"/>
      <c r="D170" s="3233"/>
      <c r="E170" s="3233"/>
      <c r="F170" s="3233">
        <v>2880</v>
      </c>
      <c r="G170" s="3233"/>
    </row>
    <row r="171" spans="1:7" s="3222" customFormat="1" ht="14.25" customHeight="1">
      <c r="A171" s="3233" t="s">
        <v>29</v>
      </c>
      <c r="B171" s="3233" t="s">
        <v>3048</v>
      </c>
      <c r="C171" s="3233"/>
      <c r="D171" s="3233"/>
      <c r="E171" s="3233"/>
      <c r="F171" s="3233">
        <v>2880</v>
      </c>
      <c r="G171" s="3233"/>
    </row>
    <row r="172" spans="1:7" s="3222" customFormat="1" ht="14.25" customHeight="1">
      <c r="A172" s="3233" t="s">
        <v>29</v>
      </c>
      <c r="B172" s="3233" t="s">
        <v>3050</v>
      </c>
      <c r="C172" s="3233"/>
      <c r="D172" s="3233"/>
      <c r="E172" s="3233"/>
      <c r="F172" s="3233">
        <v>2880</v>
      </c>
      <c r="G172" s="3233"/>
    </row>
    <row r="173" spans="1:7" s="3222" customFormat="1" ht="14.25" customHeight="1">
      <c r="A173" s="3233" t="s">
        <v>29</v>
      </c>
      <c r="B173" s="3233" t="s">
        <v>3052</v>
      </c>
      <c r="C173" s="3233"/>
      <c r="D173" s="3233"/>
      <c r="E173" s="3233"/>
      <c r="F173" s="3233">
        <v>2150</v>
      </c>
      <c r="G173" s="3233"/>
    </row>
    <row r="174" spans="1:7" s="3222" customFormat="1" ht="14.25" customHeight="1">
      <c r="A174" s="3233" t="s">
        <v>29</v>
      </c>
      <c r="B174" s="3233" t="s">
        <v>3054</v>
      </c>
      <c r="C174" s="3233"/>
      <c r="D174" s="3233"/>
      <c r="E174" s="3233"/>
      <c r="F174" s="3233">
        <v>2030</v>
      </c>
      <c r="G174" s="3233"/>
    </row>
    <row r="175" spans="1:7" s="3222" customFormat="1" ht="14.25" customHeight="1">
      <c r="A175" s="3233" t="s">
        <v>29</v>
      </c>
      <c r="B175" s="3233" t="s">
        <v>3056</v>
      </c>
      <c r="C175" s="3233"/>
      <c r="D175" s="3233"/>
      <c r="E175" s="3233"/>
      <c r="F175" s="3233">
        <v>2780</v>
      </c>
      <c r="G175" s="3233"/>
    </row>
    <row r="176" spans="1:7" s="3222" customFormat="1" ht="14.25" customHeight="1">
      <c r="A176" s="3233" t="s">
        <v>29</v>
      </c>
      <c r="B176" s="3233" t="s">
        <v>3058</v>
      </c>
      <c r="C176" s="3233"/>
      <c r="D176" s="3233"/>
      <c r="E176" s="3233"/>
      <c r="F176" s="3233">
        <v>2780</v>
      </c>
      <c r="G176" s="3233"/>
    </row>
    <row r="177" spans="1:7" s="3222" customFormat="1" ht="14.25" customHeight="1">
      <c r="A177" s="3233" t="s">
        <v>29</v>
      </c>
      <c r="B177" s="3233" t="s">
        <v>3090</v>
      </c>
      <c r="C177" s="3233"/>
      <c r="D177" s="3233"/>
      <c r="E177" s="3233"/>
      <c r="F177" s="3233">
        <v>2780</v>
      </c>
      <c r="G177" s="3233"/>
    </row>
    <row r="178" spans="1:7" s="3222" customFormat="1" ht="14.25" customHeight="1">
      <c r="A178" s="3233" t="s">
        <v>29</v>
      </c>
      <c r="B178" s="3233" t="s">
        <v>3091</v>
      </c>
      <c r="C178" s="3233"/>
      <c r="D178" s="3233"/>
      <c r="E178" s="3233"/>
      <c r="F178" s="3233">
        <v>2060</v>
      </c>
      <c r="G178" s="3233"/>
    </row>
    <row r="179" spans="1:7" s="3222" customFormat="1" ht="14.25" customHeight="1">
      <c r="A179" s="3233" t="s">
        <v>29</v>
      </c>
      <c r="B179" s="3233" t="s">
        <v>3092</v>
      </c>
      <c r="C179" s="3233"/>
      <c r="D179" s="3233"/>
      <c r="E179" s="3233"/>
      <c r="F179" s="3233">
        <v>2120</v>
      </c>
      <c r="G179" s="3233"/>
    </row>
    <row r="180" spans="1:7" s="3222" customFormat="1" ht="14.25" customHeight="1">
      <c r="A180" s="3233" t="s">
        <v>29</v>
      </c>
      <c r="B180" s="3233" t="s">
        <v>3064</v>
      </c>
      <c r="C180" s="3233"/>
      <c r="D180" s="3233"/>
      <c r="E180" s="3233"/>
      <c r="F180" s="3233">
        <v>2340</v>
      </c>
      <c r="G180" s="3233"/>
    </row>
    <row r="181" spans="1:7" s="3222" customFormat="1" ht="14.25" customHeight="1">
      <c r="A181" s="3233" t="s">
        <v>29</v>
      </c>
      <c r="B181" s="3233" t="s">
        <v>3065</v>
      </c>
      <c r="C181" s="3233"/>
      <c r="D181" s="3233"/>
      <c r="E181" s="3233"/>
      <c r="F181" s="3233">
        <v>2340</v>
      </c>
      <c r="G181" s="3233"/>
    </row>
    <row r="182" spans="1:7" s="3222" customFormat="1" ht="14.25" customHeight="1">
      <c r="A182" s="3233" t="s">
        <v>29</v>
      </c>
      <c r="B182" s="3233" t="s">
        <v>3066</v>
      </c>
      <c r="C182" s="3233"/>
      <c r="D182" s="3233"/>
      <c r="E182" s="3233"/>
      <c r="F182" s="3233">
        <v>2340</v>
      </c>
      <c r="G182" s="3233"/>
    </row>
    <row r="183" spans="1:7" s="3222" customFormat="1" ht="14.25" customHeight="1">
      <c r="A183" s="3233" t="s">
        <v>29</v>
      </c>
      <c r="B183" s="3233" t="s">
        <v>3067</v>
      </c>
      <c r="C183" s="3233"/>
      <c r="D183" s="3233"/>
      <c r="E183" s="3233"/>
      <c r="F183" s="3233">
        <v>2340</v>
      </c>
      <c r="G183" s="3233"/>
    </row>
    <row r="184" spans="1:7" s="3222" customFormat="1" ht="14.25" customHeight="1">
      <c r="A184" s="3233" t="s">
        <v>29</v>
      </c>
      <c r="B184" s="3233" t="s">
        <v>3068</v>
      </c>
      <c r="C184" s="3233"/>
      <c r="D184" s="3233"/>
      <c r="E184" s="3233"/>
      <c r="F184" s="3233">
        <v>2340</v>
      </c>
      <c r="G184" s="3233"/>
    </row>
    <row r="185" spans="1:7" s="3222" customFormat="1" ht="14.25" customHeight="1">
      <c r="A185" s="3233" t="s">
        <v>29</v>
      </c>
      <c r="B185" s="3233" t="s">
        <v>3069</v>
      </c>
      <c r="C185" s="3233"/>
      <c r="D185" s="3233"/>
      <c r="E185" s="3233"/>
      <c r="F185" s="3233">
        <v>2530</v>
      </c>
      <c r="G185" s="3233"/>
    </row>
    <row r="186" spans="1:7" s="3222" customFormat="1" ht="14.25" customHeight="1">
      <c r="A186" s="3233" t="s">
        <v>29</v>
      </c>
      <c r="B186" s="3233" t="s">
        <v>3070</v>
      </c>
      <c r="C186" s="3233"/>
      <c r="D186" s="3233"/>
      <c r="E186" s="3233"/>
      <c r="F186" s="3233">
        <v>2550</v>
      </c>
      <c r="G186" s="3233"/>
    </row>
    <row r="187" spans="1:7" s="3222" customFormat="1" ht="14.25" customHeight="1">
      <c r="A187" s="3233" t="s">
        <v>29</v>
      </c>
      <c r="B187" s="3233" t="s">
        <v>3071</v>
      </c>
      <c r="C187" s="3233"/>
      <c r="D187" s="3233"/>
      <c r="E187" s="3233"/>
      <c r="F187" s="3233">
        <v>2070</v>
      </c>
      <c r="G187" s="3233"/>
    </row>
    <row r="188" spans="1:7" s="3222" customFormat="1" ht="14.25" customHeight="1">
      <c r="A188" s="3233" t="s">
        <v>29</v>
      </c>
      <c r="B188" s="3233" t="s">
        <v>3072</v>
      </c>
      <c r="C188" s="3233"/>
      <c r="D188" s="3233"/>
      <c r="E188" s="3233"/>
      <c r="F188" s="3233">
        <v>2340</v>
      </c>
      <c r="G188" s="3233"/>
    </row>
    <row r="189" spans="1:7" s="3222" customFormat="1" ht="14.25" customHeight="1" thickBot="1">
      <c r="A189" s="3241" t="s">
        <v>29</v>
      </c>
      <c r="B189" s="3244" t="s">
        <v>3073</v>
      </c>
      <c r="C189" s="3244"/>
      <c r="D189" s="3244"/>
      <c r="E189" s="3244"/>
      <c r="F189" s="3244">
        <v>2050</v>
      </c>
      <c r="G189" s="3244"/>
    </row>
    <row r="190" spans="1:7" s="3222" customFormat="1" ht="14.25" customHeight="1">
      <c r="A190" s="3238" t="s">
        <v>304</v>
      </c>
      <c r="B190" s="3229" t="s">
        <v>3093</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3094</v>
      </c>
      <c r="C199" s="3233">
        <v>8690</v>
      </c>
      <c r="D199" s="3233">
        <v>8630</v>
      </c>
      <c r="E199" s="3233">
        <v>11350</v>
      </c>
      <c r="F199" s="3233">
        <v>1600</v>
      </c>
      <c r="G199" s="3246">
        <v>5450</v>
      </c>
    </row>
    <row r="200" spans="1:7" s="3222" customFormat="1" ht="14.25" customHeight="1">
      <c r="A200" s="3233" t="s">
        <v>304</v>
      </c>
      <c r="B200" s="3233" t="s">
        <v>2905</v>
      </c>
      <c r="C200" s="3233"/>
      <c r="D200" s="3233"/>
      <c r="E200" s="3233"/>
      <c r="F200" s="3233">
        <v>1510</v>
      </c>
      <c r="G200" s="3246"/>
    </row>
    <row r="201" spans="1:7" s="3222" customFormat="1" ht="14.25" customHeight="1">
      <c r="A201" s="3233" t="s">
        <v>304</v>
      </c>
      <c r="B201" s="3233" t="s">
        <v>3095</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3096</v>
      </c>
      <c r="C203" s="3233">
        <v>8130</v>
      </c>
      <c r="D203" s="3233">
        <v>8070</v>
      </c>
      <c r="E203" s="3233">
        <v>10820</v>
      </c>
      <c r="F203" s="3233">
        <v>1690</v>
      </c>
      <c r="G203" s="3246">
        <v>5100</v>
      </c>
    </row>
    <row r="204" spans="1:7" s="3222" customFormat="1" ht="14.25" customHeight="1">
      <c r="A204" s="3233" t="s">
        <v>304</v>
      </c>
      <c r="B204" s="3233" t="s">
        <v>2916</v>
      </c>
      <c r="C204" s="3233">
        <v>8350</v>
      </c>
      <c r="D204" s="3233">
        <v>8290</v>
      </c>
      <c r="E204" s="3233">
        <v>11080</v>
      </c>
      <c r="F204" s="3233">
        <v>1450</v>
      </c>
      <c r="G204" s="3246">
        <v>5240</v>
      </c>
    </row>
    <row r="205" spans="1:7" s="3222" customFormat="1" ht="14.25" customHeight="1">
      <c r="A205" s="3233" t="s">
        <v>304</v>
      </c>
      <c r="B205" s="3233" t="s">
        <v>2918</v>
      </c>
      <c r="C205" s="3233">
        <v>7190</v>
      </c>
      <c r="D205" s="3233">
        <v>7130</v>
      </c>
      <c r="E205" s="3233">
        <v>9490</v>
      </c>
      <c r="F205" s="3233">
        <v>1470</v>
      </c>
      <c r="G205" s="3246">
        <v>4510</v>
      </c>
    </row>
    <row r="206" spans="1:7" s="3222" customFormat="1" ht="14.25" customHeight="1">
      <c r="A206" s="3233" t="s">
        <v>304</v>
      </c>
      <c r="B206" s="3233" t="s">
        <v>2921</v>
      </c>
      <c r="C206" s="3233">
        <v>7000</v>
      </c>
      <c r="D206" s="3233">
        <v>6950</v>
      </c>
      <c r="E206" s="3233">
        <v>9170</v>
      </c>
      <c r="F206" s="3233">
        <v>1400</v>
      </c>
      <c r="G206" s="3246">
        <v>4380</v>
      </c>
    </row>
    <row r="207" spans="1:7" s="3222" customFormat="1" ht="14.25" customHeight="1">
      <c r="A207" s="3233" t="s">
        <v>304</v>
      </c>
      <c r="B207" s="3233" t="s">
        <v>2923</v>
      </c>
      <c r="C207" s="3233">
        <v>6950</v>
      </c>
      <c r="D207" s="3233">
        <v>6900</v>
      </c>
      <c r="E207" s="3233">
        <v>9110</v>
      </c>
      <c r="F207" s="3233">
        <v>1790</v>
      </c>
      <c r="G207" s="3246">
        <v>4360</v>
      </c>
    </row>
    <row r="208" spans="1:7" s="3222" customFormat="1" ht="14.25" customHeight="1">
      <c r="A208" s="3233" t="s">
        <v>304</v>
      </c>
      <c r="B208" s="3233" t="s">
        <v>3097</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2933</v>
      </c>
      <c r="C210" s="3233">
        <v>8710</v>
      </c>
      <c r="D210" s="3233">
        <v>8660</v>
      </c>
      <c r="E210" s="3233">
        <v>11440</v>
      </c>
      <c r="F210" s="3233">
        <v>1740</v>
      </c>
      <c r="G210" s="3246">
        <v>5470</v>
      </c>
    </row>
    <row r="211" spans="1:7" s="3222" customFormat="1" ht="14.25" customHeight="1">
      <c r="A211" s="3233" t="s">
        <v>304</v>
      </c>
      <c r="B211" s="3233" t="s">
        <v>3098</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3099</v>
      </c>
      <c r="C214" s="3233">
        <v>8090</v>
      </c>
      <c r="D214" s="3233">
        <v>8030</v>
      </c>
      <c r="E214" s="3233">
        <v>10780</v>
      </c>
      <c r="F214" s="3233">
        <v>1570</v>
      </c>
      <c r="G214" s="3246">
        <v>5070</v>
      </c>
    </row>
    <row r="215" spans="1:7" s="3222" customFormat="1" ht="14.25" customHeight="1">
      <c r="A215" s="3233" t="s">
        <v>304</v>
      </c>
      <c r="B215" s="3233" t="s">
        <v>3100</v>
      </c>
      <c r="C215" s="3233">
        <v>7950</v>
      </c>
      <c r="D215" s="3233">
        <v>7900</v>
      </c>
      <c r="E215" s="3233">
        <v>10560</v>
      </c>
      <c r="F215" s="3233">
        <v>1630</v>
      </c>
      <c r="G215" s="3246">
        <v>4990</v>
      </c>
    </row>
    <row r="216" spans="1:7" s="3222" customFormat="1" ht="14.25" customHeight="1">
      <c r="A216" s="3233" t="s">
        <v>304</v>
      </c>
      <c r="B216" s="3233" t="s">
        <v>3101</v>
      </c>
      <c r="C216" s="3233">
        <v>8490</v>
      </c>
      <c r="D216" s="3233">
        <v>8440</v>
      </c>
      <c r="E216" s="3233">
        <v>11260</v>
      </c>
      <c r="F216" s="3233">
        <v>1690</v>
      </c>
      <c r="G216" s="3246">
        <v>5330</v>
      </c>
    </row>
    <row r="217" spans="1:7" s="3222" customFormat="1" ht="14.25" customHeight="1">
      <c r="A217" s="3233" t="s">
        <v>304</v>
      </c>
      <c r="B217" s="3233" t="s">
        <v>2966</v>
      </c>
      <c r="C217" s="3233">
        <v>8200</v>
      </c>
      <c r="D217" s="3233">
        <v>8150</v>
      </c>
      <c r="E217" s="3233">
        <v>10910</v>
      </c>
      <c r="F217" s="3233">
        <v>1670</v>
      </c>
      <c r="G217" s="3246">
        <v>5150</v>
      </c>
    </row>
    <row r="218" spans="1:7" s="3222" customFormat="1" ht="14.25" customHeight="1">
      <c r="A218" s="3233" t="s">
        <v>304</v>
      </c>
      <c r="B218" s="3233" t="s">
        <v>3102</v>
      </c>
      <c r="C218" s="3233"/>
      <c r="D218" s="3233"/>
      <c r="E218" s="3233"/>
      <c r="F218" s="3233">
        <v>2040</v>
      </c>
      <c r="G218" s="3246"/>
    </row>
    <row r="219" spans="1:7" s="3222" customFormat="1" ht="14.25" customHeight="1">
      <c r="A219" s="3233" t="s">
        <v>304</v>
      </c>
      <c r="B219" s="3233" t="s">
        <v>3103</v>
      </c>
      <c r="C219" s="3233"/>
      <c r="D219" s="3233"/>
      <c r="E219" s="3233"/>
      <c r="F219" s="3233">
        <v>2040</v>
      </c>
      <c r="G219" s="3246"/>
    </row>
    <row r="220" spans="1:7" s="3222" customFormat="1" ht="14.25" customHeight="1">
      <c r="A220" s="3233" t="s">
        <v>304</v>
      </c>
      <c r="B220" s="3233" t="s">
        <v>3104</v>
      </c>
      <c r="C220" s="3233"/>
      <c r="D220" s="3233"/>
      <c r="E220" s="3233"/>
      <c r="F220" s="3233">
        <v>2040</v>
      </c>
      <c r="G220" s="3246"/>
    </row>
    <row r="221" spans="1:7" s="3222" customFormat="1" ht="14.25" customHeight="1">
      <c r="A221" s="3233" t="s">
        <v>304</v>
      </c>
      <c r="B221" s="3233" t="s">
        <v>3105</v>
      </c>
      <c r="C221" s="3233"/>
      <c r="D221" s="3233"/>
      <c r="E221" s="3233"/>
      <c r="F221" s="3233">
        <v>2040</v>
      </c>
      <c r="G221" s="3246"/>
    </row>
    <row r="222" spans="1:7" s="3222" customFormat="1" ht="14.25" customHeight="1">
      <c r="A222" s="3233" t="s">
        <v>304</v>
      </c>
      <c r="B222" s="3233" t="s">
        <v>3106</v>
      </c>
      <c r="C222" s="3233"/>
      <c r="D222" s="3233"/>
      <c r="E222" s="3233"/>
      <c r="F222" s="3233">
        <v>2040</v>
      </c>
      <c r="G222" s="3246"/>
    </row>
    <row r="223" spans="1:7" s="3222" customFormat="1" ht="14.25" customHeight="1">
      <c r="A223" s="3233" t="s">
        <v>304</v>
      </c>
      <c r="B223" s="3233" t="s">
        <v>3107</v>
      </c>
      <c r="C223" s="3233"/>
      <c r="D223" s="3233"/>
      <c r="E223" s="3233"/>
      <c r="F223" s="3233">
        <v>1930</v>
      </c>
      <c r="G223" s="3246"/>
    </row>
    <row r="224" spans="1:7" s="3222" customFormat="1" ht="14.25" customHeight="1">
      <c r="A224" s="3233" t="s">
        <v>304</v>
      </c>
      <c r="B224" s="3233" t="s">
        <v>3108</v>
      </c>
      <c r="C224" s="3233"/>
      <c r="D224" s="3233"/>
      <c r="E224" s="3233"/>
      <c r="F224" s="3233">
        <v>1930</v>
      </c>
      <c r="G224" s="3246"/>
    </row>
    <row r="225" spans="1:7" s="3222" customFormat="1" ht="14.25" customHeight="1">
      <c r="A225" s="3233" t="s">
        <v>304</v>
      </c>
      <c r="B225" s="3233" t="s">
        <v>3109</v>
      </c>
      <c r="C225" s="3233"/>
      <c r="D225" s="3233"/>
      <c r="E225" s="3233"/>
      <c r="F225" s="3233">
        <v>1930</v>
      </c>
      <c r="G225" s="3246"/>
    </row>
    <row r="226" spans="1:7" s="3222" customFormat="1" ht="14.25" customHeight="1">
      <c r="A226" s="3233" t="s">
        <v>304</v>
      </c>
      <c r="B226" s="3233" t="s">
        <v>3110</v>
      </c>
      <c r="C226" s="3233"/>
      <c r="D226" s="3233"/>
      <c r="E226" s="3233"/>
      <c r="F226" s="3233">
        <v>1700</v>
      </c>
      <c r="G226" s="3246"/>
    </row>
    <row r="227" spans="1:7" s="3222" customFormat="1" ht="14.25" customHeight="1">
      <c r="A227" s="3233" t="s">
        <v>304</v>
      </c>
      <c r="B227" s="3233" t="s">
        <v>3111</v>
      </c>
      <c r="C227" s="3233"/>
      <c r="D227" s="3233"/>
      <c r="E227" s="3233"/>
      <c r="F227" s="3233">
        <v>1520</v>
      </c>
      <c r="G227" s="3246"/>
    </row>
    <row r="228" spans="1:7" s="3222" customFormat="1" ht="14.25" customHeight="1">
      <c r="A228" s="3233" t="s">
        <v>304</v>
      </c>
      <c r="B228" s="3233" t="s">
        <v>3112</v>
      </c>
      <c r="C228" s="3233"/>
      <c r="D228" s="3233"/>
      <c r="E228" s="3233"/>
      <c r="F228" s="3233">
        <v>1520</v>
      </c>
      <c r="G228" s="3246"/>
    </row>
    <row r="229" spans="1:7" s="3222" customFormat="1" ht="14.25" customHeight="1">
      <c r="A229" s="3233" t="s">
        <v>304</v>
      </c>
      <c r="B229" s="3233" t="s">
        <v>3029</v>
      </c>
      <c r="C229" s="3233"/>
      <c r="D229" s="3233"/>
      <c r="E229" s="3233"/>
      <c r="F229" s="3233">
        <v>1520</v>
      </c>
      <c r="G229" s="3246"/>
    </row>
    <row r="230" spans="1:7" s="3222" customFormat="1" ht="14.25" customHeight="1">
      <c r="A230" s="3233" t="s">
        <v>304</v>
      </c>
      <c r="B230" s="3233" t="s">
        <v>3113</v>
      </c>
      <c r="C230" s="3233"/>
      <c r="D230" s="3233"/>
      <c r="E230" s="3233"/>
      <c r="F230" s="3233">
        <v>1820</v>
      </c>
      <c r="G230" s="3246"/>
    </row>
    <row r="231" spans="1:7" s="3222" customFormat="1" ht="14.25" customHeight="1">
      <c r="A231" s="3233" t="s">
        <v>304</v>
      </c>
      <c r="B231" s="3233" t="s">
        <v>3114</v>
      </c>
      <c r="C231" s="3233"/>
      <c r="D231" s="3233"/>
      <c r="E231" s="3233"/>
      <c r="F231" s="3233">
        <v>1760</v>
      </c>
      <c r="G231" s="3246"/>
    </row>
    <row r="232" spans="1:7" s="3222" customFormat="1" ht="14.25" customHeight="1">
      <c r="A232" s="3233" t="s">
        <v>304</v>
      </c>
      <c r="B232" s="3233" t="s">
        <v>3115</v>
      </c>
      <c r="C232" s="3233"/>
      <c r="D232" s="3233"/>
      <c r="E232" s="3233"/>
      <c r="F232" s="3233">
        <v>1840</v>
      </c>
      <c r="G232" s="3246"/>
    </row>
    <row r="233" spans="1:7" s="3222" customFormat="1" ht="14.25" customHeight="1" thickBot="1">
      <c r="A233" s="3247" t="s">
        <v>304</v>
      </c>
      <c r="B233" s="3240" t="s">
        <v>3046</v>
      </c>
      <c r="C233" s="3240"/>
      <c r="D233" s="3240"/>
      <c r="E233" s="3240"/>
      <c r="F233" s="3240">
        <v>1770</v>
      </c>
      <c r="G233" s="3248"/>
    </row>
    <row r="234" spans="1:7" s="3222" customFormat="1" ht="14.25" customHeight="1">
      <c r="A234" s="3238" t="s">
        <v>305</v>
      </c>
      <c r="B234" s="3229" t="s">
        <v>3116</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2887</v>
      </c>
      <c r="C238" s="3233">
        <v>6920</v>
      </c>
      <c r="D238" s="3233">
        <v>6890</v>
      </c>
      <c r="E238" s="3233">
        <v>8640</v>
      </c>
      <c r="F238" s="3233">
        <v>1310</v>
      </c>
      <c r="G238" s="3233">
        <v>4230</v>
      </c>
    </row>
    <row r="239" spans="1:7" s="3222" customFormat="1" ht="14.25" customHeight="1">
      <c r="A239" s="3233" t="s">
        <v>305</v>
      </c>
      <c r="B239" s="3233" t="s">
        <v>3117</v>
      </c>
      <c r="C239" s="3233">
        <v>6780</v>
      </c>
      <c r="D239" s="3233">
        <v>6750</v>
      </c>
      <c r="E239" s="3233">
        <v>8440</v>
      </c>
      <c r="F239" s="3233">
        <v>1160</v>
      </c>
      <c r="G239" s="3233">
        <v>4140</v>
      </c>
    </row>
    <row r="240" spans="1:7" s="3222" customFormat="1" ht="14.25" customHeight="1">
      <c r="A240" s="3233" t="s">
        <v>305</v>
      </c>
      <c r="B240" s="3233" t="s">
        <v>3118</v>
      </c>
      <c r="C240" s="3233">
        <v>5420</v>
      </c>
      <c r="D240" s="3233">
        <v>5380</v>
      </c>
      <c r="E240" s="3233">
        <v>6640</v>
      </c>
      <c r="F240" s="3233">
        <v>1020</v>
      </c>
      <c r="G240" s="3233">
        <v>3300</v>
      </c>
    </row>
    <row r="241" spans="1:7" s="3222" customFormat="1" ht="14.25" customHeight="1">
      <c r="A241" s="3233" t="s">
        <v>305</v>
      </c>
      <c r="B241" s="3233" t="s">
        <v>3119</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3120</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3121</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3122</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3123</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3124</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2949</v>
      </c>
      <c r="C258" s="3233">
        <v>6190</v>
      </c>
      <c r="D258" s="3233">
        <v>6160</v>
      </c>
      <c r="E258" s="3233">
        <v>7680</v>
      </c>
      <c r="F258" s="3233">
        <v>1170</v>
      </c>
      <c r="G258" s="3233">
        <v>3780</v>
      </c>
    </row>
    <row r="259" spans="1:7" s="3222" customFormat="1" ht="14.25" customHeight="1">
      <c r="A259" s="3233" t="s">
        <v>305</v>
      </c>
      <c r="B259" s="3233" t="s">
        <v>3125</v>
      </c>
      <c r="C259" s="3233">
        <v>7610</v>
      </c>
      <c r="D259" s="3233">
        <v>7570</v>
      </c>
      <c r="E259" s="3233">
        <v>9350</v>
      </c>
      <c r="F259" s="3233">
        <v>1350</v>
      </c>
      <c r="G259" s="3233">
        <v>4650</v>
      </c>
    </row>
    <row r="260" spans="1:7" s="3222" customFormat="1" ht="14.25" customHeight="1">
      <c r="A260" s="3233" t="s">
        <v>305</v>
      </c>
      <c r="B260" s="3233" t="s">
        <v>3126</v>
      </c>
      <c r="C260" s="3233">
        <v>6920</v>
      </c>
      <c r="D260" s="3233">
        <v>6880</v>
      </c>
      <c r="E260" s="3233">
        <v>8380</v>
      </c>
      <c r="F260" s="3233">
        <v>1160</v>
      </c>
      <c r="G260" s="3233">
        <v>4220</v>
      </c>
    </row>
    <row r="261" spans="1:7" s="3222" customFormat="1" ht="14.25" customHeight="1">
      <c r="A261" s="3233" t="s">
        <v>305</v>
      </c>
      <c r="B261" s="3233" t="s">
        <v>3127</v>
      </c>
      <c r="C261" s="3233">
        <v>6850</v>
      </c>
      <c r="D261" s="3233">
        <v>6810</v>
      </c>
      <c r="E261" s="3233">
        <v>8290</v>
      </c>
      <c r="F261" s="3233">
        <v>1130</v>
      </c>
      <c r="G261" s="3233">
        <v>4180</v>
      </c>
    </row>
    <row r="262" spans="1:7" s="3222" customFormat="1" ht="14.25" customHeight="1">
      <c r="A262" s="3233" t="s">
        <v>305</v>
      </c>
      <c r="B262" s="3233" t="s">
        <v>3128</v>
      </c>
      <c r="C262" s="3233">
        <v>5860</v>
      </c>
      <c r="D262" s="3233">
        <v>5820</v>
      </c>
      <c r="E262" s="3233">
        <v>7640</v>
      </c>
      <c r="F262" s="3233">
        <v>1070</v>
      </c>
      <c r="G262" s="3233">
        <v>3570</v>
      </c>
    </row>
    <row r="263" spans="1:7" s="3222" customFormat="1" ht="14.25" customHeight="1">
      <c r="A263" s="3233" t="s">
        <v>305</v>
      </c>
      <c r="B263" s="3233" t="s">
        <v>3129</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3130</v>
      </c>
      <c r="C265" s="3233"/>
      <c r="D265" s="3233"/>
      <c r="E265" s="3233"/>
      <c r="F265" s="3233">
        <v>1500</v>
      </c>
      <c r="G265" s="3233"/>
    </row>
    <row r="266" spans="1:7" s="3222" customFormat="1" ht="14.25" customHeight="1">
      <c r="A266" s="3233" t="s">
        <v>305</v>
      </c>
      <c r="B266" s="3233" t="s">
        <v>3131</v>
      </c>
      <c r="C266" s="3233"/>
      <c r="D266" s="3233"/>
      <c r="E266" s="3233"/>
      <c r="F266" s="3233">
        <v>1500</v>
      </c>
      <c r="G266" s="3233"/>
    </row>
    <row r="267" spans="1:7" s="3222" customFormat="1" ht="14.25" customHeight="1">
      <c r="A267" s="3233" t="s">
        <v>305</v>
      </c>
      <c r="B267" s="3233" t="s">
        <v>3132</v>
      </c>
      <c r="C267" s="3233"/>
      <c r="D267" s="3233"/>
      <c r="E267" s="3233"/>
      <c r="F267" s="3233">
        <v>1500</v>
      </c>
      <c r="G267" s="3233"/>
    </row>
    <row r="268" spans="1:7" s="3222" customFormat="1" ht="14.25" customHeight="1">
      <c r="A268" s="3233" t="s">
        <v>305</v>
      </c>
      <c r="B268" s="3233" t="s">
        <v>3133</v>
      </c>
      <c r="C268" s="3233"/>
      <c r="D268" s="3233"/>
      <c r="E268" s="3233"/>
      <c r="F268" s="3233">
        <v>1290</v>
      </c>
      <c r="G268" s="3233"/>
    </row>
    <row r="269" spans="1:7" s="3222" customFormat="1" ht="14.25" customHeight="1">
      <c r="A269" s="3233" t="s">
        <v>305</v>
      </c>
      <c r="B269" s="3233" t="s">
        <v>3134</v>
      </c>
      <c r="C269" s="3233"/>
      <c r="D269" s="3233"/>
      <c r="E269" s="3233"/>
      <c r="F269" s="3233">
        <v>1150</v>
      </c>
      <c r="G269" s="3233"/>
    </row>
    <row r="270" spans="1:7" s="3222" customFormat="1" ht="14.25" customHeight="1">
      <c r="A270" s="3233" t="s">
        <v>305</v>
      </c>
      <c r="B270" s="3233" t="s">
        <v>3135</v>
      </c>
      <c r="C270" s="3233"/>
      <c r="D270" s="3233"/>
      <c r="E270" s="3233"/>
      <c r="F270" s="3233">
        <v>1380</v>
      </c>
      <c r="G270" s="3233"/>
    </row>
    <row r="271" spans="1:7" s="3222" customFormat="1" ht="14.25" customHeight="1">
      <c r="A271" s="3233" t="s">
        <v>305</v>
      </c>
      <c r="B271" s="3233" t="s">
        <v>3136</v>
      </c>
      <c r="C271" s="3233"/>
      <c r="D271" s="3233"/>
      <c r="E271" s="3233"/>
      <c r="F271" s="3233">
        <v>1460</v>
      </c>
      <c r="G271" s="3233"/>
    </row>
    <row r="272" spans="1:7" s="3222" customFormat="1" ht="14.25" customHeight="1">
      <c r="A272" s="3233" t="s">
        <v>305</v>
      </c>
      <c r="B272" s="3233" t="s">
        <v>3137</v>
      </c>
      <c r="C272" s="3233"/>
      <c r="D272" s="3233"/>
      <c r="E272" s="3233"/>
      <c r="F272" s="3233">
        <v>1460</v>
      </c>
      <c r="G272" s="3233"/>
    </row>
    <row r="273" spans="1:7" s="3222" customFormat="1" ht="14.25" customHeight="1">
      <c r="A273" s="3233" t="s">
        <v>305</v>
      </c>
      <c r="B273" s="3233" t="s">
        <v>3030</v>
      </c>
      <c r="C273" s="3233"/>
      <c r="D273" s="3233"/>
      <c r="E273" s="3233"/>
      <c r="F273" s="3233">
        <v>1490</v>
      </c>
      <c r="G273" s="3233"/>
    </row>
    <row r="274" spans="1:7" s="3222" customFormat="1" ht="14.25" customHeight="1">
      <c r="A274" s="3233" t="s">
        <v>305</v>
      </c>
      <c r="B274" s="3233" t="s">
        <v>3138</v>
      </c>
      <c r="C274" s="3233"/>
      <c r="D274" s="3233"/>
      <c r="E274" s="3233"/>
      <c r="F274" s="3233">
        <v>1490</v>
      </c>
      <c r="G274" s="3233"/>
    </row>
    <row r="275" spans="1:7" s="3222" customFormat="1" ht="14.25" customHeight="1">
      <c r="A275" s="3233" t="s">
        <v>305</v>
      </c>
      <c r="B275" s="3233" t="s">
        <v>3139</v>
      </c>
      <c r="C275" s="3233"/>
      <c r="D275" s="3233"/>
      <c r="E275" s="3233"/>
      <c r="F275" s="3233">
        <v>1220</v>
      </c>
      <c r="G275" s="3233"/>
    </row>
    <row r="276" spans="1:7" s="3222" customFormat="1" ht="14.25" customHeight="1" thickBot="1">
      <c r="A276" s="3241" t="s">
        <v>305</v>
      </c>
      <c r="B276" s="3243" t="s">
        <v>3140</v>
      </c>
      <c r="C276" s="3244"/>
      <c r="D276" s="3244"/>
      <c r="E276" s="3244"/>
      <c r="F276" s="3244">
        <v>1380</v>
      </c>
      <c r="G276" s="3244"/>
    </row>
    <row r="277" spans="1:7" s="3222" customFormat="1" ht="14.25" customHeight="1">
      <c r="A277" s="3238" t="s">
        <v>306</v>
      </c>
      <c r="B277" s="3229" t="s">
        <v>3141</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3142</v>
      </c>
      <c r="C279" s="3233">
        <v>4760</v>
      </c>
      <c r="D279" s="3233">
        <v>4720</v>
      </c>
      <c r="E279" s="3233">
        <v>5540</v>
      </c>
      <c r="F279" s="3233">
        <v>810</v>
      </c>
      <c r="G279" s="3246">
        <v>2850</v>
      </c>
    </row>
    <row r="280" spans="1:7" s="3222" customFormat="1" ht="14.25" customHeight="1">
      <c r="A280" s="3233" t="s">
        <v>306</v>
      </c>
      <c r="B280" s="3233" t="s">
        <v>3143</v>
      </c>
      <c r="C280" s="3233">
        <v>4010</v>
      </c>
      <c r="D280" s="3233">
        <v>3950</v>
      </c>
      <c r="E280" s="3233">
        <v>4710</v>
      </c>
      <c r="F280" s="3233">
        <v>800</v>
      </c>
      <c r="G280" s="3246">
        <v>2390</v>
      </c>
    </row>
    <row r="281" spans="1:7" s="3222" customFormat="1" ht="14.25" customHeight="1">
      <c r="A281" s="3233" t="s">
        <v>306</v>
      </c>
      <c r="B281" s="3233" t="s">
        <v>3144</v>
      </c>
      <c r="C281" s="3233">
        <v>4480</v>
      </c>
      <c r="D281" s="3233">
        <v>4420</v>
      </c>
      <c r="E281" s="3233">
        <v>5230</v>
      </c>
      <c r="F281" s="3233">
        <v>870</v>
      </c>
      <c r="G281" s="3246">
        <v>2660</v>
      </c>
    </row>
    <row r="282" spans="1:7" s="3222" customFormat="1" ht="14.25" customHeight="1">
      <c r="A282" s="3233" t="s">
        <v>306</v>
      </c>
      <c r="B282" s="3233" t="s">
        <v>3145</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3146</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3147</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2922</v>
      </c>
      <c r="C293" s="3233">
        <v>5320</v>
      </c>
      <c r="D293" s="3233">
        <v>5270</v>
      </c>
      <c r="E293" s="3233">
        <v>6160</v>
      </c>
      <c r="F293" s="3233">
        <v>990</v>
      </c>
      <c r="G293" s="3246">
        <v>3170</v>
      </c>
    </row>
    <row r="294" spans="1:7" s="3222" customFormat="1" ht="14.25" customHeight="1">
      <c r="A294" s="3233" t="s">
        <v>306</v>
      </c>
      <c r="B294" s="3233" t="s">
        <v>3148</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2941</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3149</v>
      </c>
      <c r="C302" s="3233">
        <v>5520</v>
      </c>
      <c r="D302" s="3233">
        <v>5470</v>
      </c>
      <c r="E302" s="3233">
        <v>6410</v>
      </c>
      <c r="F302" s="3233">
        <v>950</v>
      </c>
      <c r="G302" s="3246">
        <v>3300</v>
      </c>
    </row>
    <row r="303" spans="1:7" s="3222" customFormat="1" ht="14.25" customHeight="1">
      <c r="A303" s="3233" t="s">
        <v>306</v>
      </c>
      <c r="B303" s="3233" t="s">
        <v>2961</v>
      </c>
      <c r="C303" s="3233">
        <v>5630</v>
      </c>
      <c r="D303" s="3233">
        <v>5590</v>
      </c>
      <c r="E303" s="3233">
        <v>6550</v>
      </c>
      <c r="F303" s="3233">
        <v>1010</v>
      </c>
      <c r="G303" s="3246">
        <v>3370</v>
      </c>
    </row>
    <row r="304" spans="1:7" s="3222" customFormat="1" ht="14.25" customHeight="1">
      <c r="A304" s="3233" t="s">
        <v>306</v>
      </c>
      <c r="B304" s="3233" t="s">
        <v>2968</v>
      </c>
      <c r="C304" s="3233">
        <v>5680</v>
      </c>
      <c r="D304" s="3233">
        <v>5620</v>
      </c>
      <c r="E304" s="3233">
        <v>6620</v>
      </c>
      <c r="F304" s="3233">
        <v>1050</v>
      </c>
      <c r="G304" s="3246">
        <v>3390</v>
      </c>
    </row>
    <row r="305" spans="1:7" s="3222" customFormat="1" ht="14.25" customHeight="1">
      <c r="A305" s="3233" t="s">
        <v>306</v>
      </c>
      <c r="B305" s="3233" t="s">
        <v>2974</v>
      </c>
      <c r="C305" s="3233">
        <v>5590</v>
      </c>
      <c r="D305" s="3233">
        <v>5530</v>
      </c>
      <c r="E305" s="3233">
        <v>6460</v>
      </c>
      <c r="F305" s="3233">
        <v>900</v>
      </c>
      <c r="G305" s="3246">
        <v>3340</v>
      </c>
    </row>
    <row r="306" spans="1:7" s="3222" customFormat="1" ht="14.25" customHeight="1">
      <c r="A306" s="3233" t="s">
        <v>306</v>
      </c>
      <c r="B306" s="3233" t="s">
        <v>3150</v>
      </c>
      <c r="C306" s="3233">
        <v>5560</v>
      </c>
      <c r="D306" s="3233">
        <v>5510</v>
      </c>
      <c r="E306" s="3233">
        <v>6440</v>
      </c>
      <c r="F306" s="3233">
        <v>900</v>
      </c>
      <c r="G306" s="3246">
        <v>3320</v>
      </c>
    </row>
    <row r="307" spans="1:7" s="3222" customFormat="1" ht="14.25" customHeight="1">
      <c r="A307" s="3233" t="s">
        <v>306</v>
      </c>
      <c r="B307" s="3233" t="s">
        <v>2986</v>
      </c>
      <c r="C307" s="3233">
        <v>5650</v>
      </c>
      <c r="D307" s="3233">
        <v>5600</v>
      </c>
      <c r="E307" s="3233">
        <v>6590</v>
      </c>
      <c r="F307" s="3233">
        <v>930</v>
      </c>
      <c r="G307" s="3246">
        <v>3380</v>
      </c>
    </row>
    <row r="308" spans="1:7" s="3222" customFormat="1" ht="14.25" customHeight="1">
      <c r="A308" s="3233" t="s">
        <v>306</v>
      </c>
      <c r="B308" s="3233" t="s">
        <v>3151</v>
      </c>
      <c r="C308" s="3233">
        <v>5620</v>
      </c>
      <c r="D308" s="3233">
        <v>5580</v>
      </c>
      <c r="E308" s="3233">
        <v>6540</v>
      </c>
      <c r="F308" s="3233">
        <v>910</v>
      </c>
      <c r="G308" s="3246">
        <v>3370</v>
      </c>
    </row>
    <row r="309" spans="1:7" s="3222" customFormat="1" ht="14.25" customHeight="1">
      <c r="A309" s="3233" t="s">
        <v>306</v>
      </c>
      <c r="B309" s="3233" t="s">
        <v>3152</v>
      </c>
      <c r="C309" s="3233">
        <v>5060</v>
      </c>
      <c r="D309" s="3233">
        <v>5020</v>
      </c>
      <c r="E309" s="3233">
        <v>6370</v>
      </c>
      <c r="F309" s="3233">
        <v>800</v>
      </c>
      <c r="G309" s="3246">
        <v>3020</v>
      </c>
    </row>
    <row r="310" spans="1:7" s="3222" customFormat="1" ht="14.25" customHeight="1">
      <c r="A310" s="3233" t="s">
        <v>306</v>
      </c>
      <c r="B310" s="3233" t="s">
        <v>3001</v>
      </c>
      <c r="C310" s="3233">
        <v>5150</v>
      </c>
      <c r="D310" s="3233">
        <v>5110</v>
      </c>
      <c r="E310" s="3233">
        <v>6500</v>
      </c>
      <c r="F310" s="3233">
        <v>880</v>
      </c>
      <c r="G310" s="3246">
        <v>3080</v>
      </c>
    </row>
    <row r="311" spans="1:7" s="3222" customFormat="1" ht="14.25" customHeight="1">
      <c r="A311" s="3233" t="s">
        <v>306</v>
      </c>
      <c r="B311" s="3233" t="s">
        <v>3153</v>
      </c>
      <c r="C311" s="3233">
        <v>4750</v>
      </c>
      <c r="D311" s="3233">
        <v>4710</v>
      </c>
      <c r="E311" s="3233">
        <v>5510</v>
      </c>
      <c r="F311" s="3233">
        <v>880</v>
      </c>
      <c r="G311" s="3246">
        <v>2840</v>
      </c>
    </row>
    <row r="312" spans="1:7" s="3222" customFormat="1" ht="14.25" customHeight="1">
      <c r="A312" s="3233" t="s">
        <v>306</v>
      </c>
      <c r="B312" s="3233" t="s">
        <v>3011</v>
      </c>
      <c r="C312" s="3233">
        <v>4690</v>
      </c>
      <c r="D312" s="3233">
        <v>4640</v>
      </c>
      <c r="E312" s="3233">
        <v>5420</v>
      </c>
      <c r="F312" s="3233">
        <v>800</v>
      </c>
      <c r="G312" s="3246">
        <v>2800</v>
      </c>
    </row>
    <row r="313" spans="1:7" s="3222" customFormat="1" ht="14.25" customHeight="1">
      <c r="A313" s="3233" t="s">
        <v>306</v>
      </c>
      <c r="B313" s="3233" t="s">
        <v>3016</v>
      </c>
      <c r="C313" s="3233">
        <v>4810</v>
      </c>
      <c r="D313" s="3233">
        <v>4760</v>
      </c>
      <c r="E313" s="3233">
        <v>5550</v>
      </c>
      <c r="F313" s="3233">
        <v>920</v>
      </c>
      <c r="G313" s="3246">
        <v>2870</v>
      </c>
    </row>
    <row r="314" spans="1:7" s="3222" customFormat="1" ht="14.25" customHeight="1">
      <c r="A314" s="3233" t="s">
        <v>306</v>
      </c>
      <c r="B314" s="3233" t="s">
        <v>3154</v>
      </c>
      <c r="C314" s="3233"/>
      <c r="D314" s="3233"/>
      <c r="E314" s="3233"/>
      <c r="F314" s="3233">
        <v>1020</v>
      </c>
      <c r="G314" s="3246"/>
    </row>
    <row r="315" spans="1:7" s="3222" customFormat="1" ht="14.25" customHeight="1">
      <c r="A315" s="3233" t="s">
        <v>306</v>
      </c>
      <c r="B315" s="3233" t="s">
        <v>3155</v>
      </c>
      <c r="C315" s="3233"/>
      <c r="D315" s="3233"/>
      <c r="E315" s="3233"/>
      <c r="F315" s="3233">
        <v>1050</v>
      </c>
      <c r="G315" s="3246"/>
    </row>
    <row r="316" spans="1:7" s="3222" customFormat="1" ht="14.25" customHeight="1">
      <c r="A316" s="3233" t="s">
        <v>306</v>
      </c>
      <c r="B316" s="3233" t="s">
        <v>3031</v>
      </c>
      <c r="C316" s="3233"/>
      <c r="D316" s="3233"/>
      <c r="E316" s="3233"/>
      <c r="F316" s="3233">
        <v>900</v>
      </c>
      <c r="G316" s="3246"/>
    </row>
    <row r="317" spans="1:7" s="3222" customFormat="1" ht="14.25" customHeight="1">
      <c r="A317" s="3233" t="s">
        <v>306</v>
      </c>
      <c r="B317" s="3233" t="s">
        <v>3156</v>
      </c>
      <c r="C317" s="3233"/>
      <c r="D317" s="3233"/>
      <c r="E317" s="3233"/>
      <c r="F317" s="3233">
        <v>920</v>
      </c>
      <c r="G317" s="3246"/>
    </row>
    <row r="318" spans="1:7" s="3222" customFormat="1" ht="14.25" customHeight="1">
      <c r="A318" s="3233" t="s">
        <v>306</v>
      </c>
      <c r="B318" s="3233" t="s">
        <v>3157</v>
      </c>
      <c r="C318" s="3233"/>
      <c r="D318" s="3233"/>
      <c r="E318" s="3233"/>
      <c r="F318" s="3233">
        <v>1080</v>
      </c>
      <c r="G318" s="3246"/>
    </row>
    <row r="319" spans="1:7" s="3222" customFormat="1" ht="14.25" customHeight="1">
      <c r="A319" s="3233" t="s">
        <v>306</v>
      </c>
      <c r="B319" s="3233" t="s">
        <v>3044</v>
      </c>
      <c r="C319" s="3233"/>
      <c r="D319" s="3233"/>
      <c r="E319" s="3233"/>
      <c r="F319" s="3233">
        <v>1020</v>
      </c>
      <c r="G319" s="3246"/>
    </row>
    <row r="320" spans="1:7" s="3222" customFormat="1" ht="14.25" customHeight="1">
      <c r="A320" s="3233" t="s">
        <v>306</v>
      </c>
      <c r="B320" s="3233" t="s">
        <v>3047</v>
      </c>
      <c r="C320" s="3233"/>
      <c r="D320" s="3233"/>
      <c r="E320" s="3233"/>
      <c r="F320" s="3233">
        <v>1050</v>
      </c>
      <c r="G320" s="3246"/>
    </row>
    <row r="321" spans="1:7" s="3222" customFormat="1" ht="14.25" customHeight="1">
      <c r="A321" s="3233" t="s">
        <v>306</v>
      </c>
      <c r="B321" s="3233" t="s">
        <v>3049</v>
      </c>
      <c r="C321" s="3233"/>
      <c r="D321" s="3233"/>
      <c r="E321" s="3233"/>
      <c r="F321" s="3233">
        <v>960</v>
      </c>
      <c r="G321" s="3246"/>
    </row>
    <row r="322" spans="1:7" s="3222" customFormat="1" ht="14.25" customHeight="1">
      <c r="A322" s="3233" t="s">
        <v>306</v>
      </c>
      <c r="B322" s="3233" t="s">
        <v>3051</v>
      </c>
      <c r="C322" s="3233"/>
      <c r="D322" s="3233"/>
      <c r="E322" s="3233"/>
      <c r="F322" s="3233">
        <v>960</v>
      </c>
      <c r="G322" s="3246"/>
    </row>
    <row r="323" spans="1:7" s="3222" customFormat="1" ht="14.25" customHeight="1">
      <c r="A323" s="3233" t="s">
        <v>306</v>
      </c>
      <c r="B323" s="3233" t="s">
        <v>3053</v>
      </c>
      <c r="C323" s="3233"/>
      <c r="D323" s="3233"/>
      <c r="E323" s="3233"/>
      <c r="F323" s="3233">
        <v>880</v>
      </c>
      <c r="G323" s="3246"/>
    </row>
    <row r="324" spans="1:7" s="3222" customFormat="1" ht="14.25" customHeight="1">
      <c r="A324" s="3233" t="s">
        <v>306</v>
      </c>
      <c r="B324" s="3233" t="s">
        <v>3055</v>
      </c>
      <c r="C324" s="3233"/>
      <c r="D324" s="3233"/>
      <c r="E324" s="3233"/>
      <c r="F324" s="3233">
        <v>930</v>
      </c>
      <c r="G324" s="3246"/>
    </row>
    <row r="325" spans="1:7" s="3222" customFormat="1" ht="14.25" customHeight="1">
      <c r="A325" s="3233" t="s">
        <v>306</v>
      </c>
      <c r="B325" s="3234" t="s">
        <v>3057</v>
      </c>
      <c r="C325" s="3233"/>
      <c r="D325" s="3233"/>
      <c r="E325" s="3233"/>
      <c r="F325" s="3233">
        <v>900</v>
      </c>
      <c r="G325" s="3246"/>
    </row>
    <row r="326" spans="1:7" s="3222" customFormat="1" ht="14.25" customHeight="1" thickBot="1">
      <c r="A326" s="3247" t="s">
        <v>306</v>
      </c>
      <c r="B326" s="3240" t="s">
        <v>3059</v>
      </c>
      <c r="C326" s="3240"/>
      <c r="D326" s="3240"/>
      <c r="E326" s="3240"/>
      <c r="F326" s="3240">
        <v>790</v>
      </c>
      <c r="G326" s="3248"/>
    </row>
    <row r="327" spans="1:7" s="3222" customFormat="1" ht="14.25" customHeight="1">
      <c r="A327" s="3238" t="s">
        <v>307</v>
      </c>
      <c r="B327" s="3229" t="s">
        <v>3158</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3159</v>
      </c>
      <c r="C329" s="3233">
        <v>2730</v>
      </c>
      <c r="D329" s="3233">
        <v>2690</v>
      </c>
      <c r="E329" s="3233">
        <v>3100</v>
      </c>
      <c r="F329" s="3233">
        <v>660</v>
      </c>
      <c r="G329" s="3233">
        <v>1610</v>
      </c>
    </row>
    <row r="330" spans="1:7" s="3222" customFormat="1" ht="14.25" customHeight="1">
      <c r="A330" s="3233" t="s">
        <v>307</v>
      </c>
      <c r="B330" s="3233" t="s">
        <v>3160</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2893</v>
      </c>
      <c r="C332" s="3233">
        <v>3520</v>
      </c>
      <c r="D332" s="3233">
        <v>3480</v>
      </c>
      <c r="E332" s="3233">
        <v>3830</v>
      </c>
      <c r="F332" s="3233">
        <v>720</v>
      </c>
      <c r="G332" s="3233">
        <v>2090</v>
      </c>
    </row>
    <row r="333" spans="1:7" s="3222" customFormat="1" ht="14.25" customHeight="1">
      <c r="A333" s="3233" t="s">
        <v>307</v>
      </c>
      <c r="B333" s="3233" t="s">
        <v>3161</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2903</v>
      </c>
      <c r="C336" s="3233">
        <v>3570</v>
      </c>
      <c r="D336" s="3233">
        <v>3530</v>
      </c>
      <c r="E336" s="3233">
        <v>3880</v>
      </c>
      <c r="F336" s="3233">
        <v>770</v>
      </c>
      <c r="G336" s="3233">
        <v>2110</v>
      </c>
    </row>
    <row r="337" spans="1:10" s="3222" customFormat="1" ht="14.25" customHeight="1">
      <c r="A337" s="3233" t="s">
        <v>307</v>
      </c>
      <c r="B337" s="3233" t="s">
        <v>3162</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3163</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3164</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2928</v>
      </c>
      <c r="C345" s="3233">
        <v>3190</v>
      </c>
      <c r="D345" s="3233">
        <v>3140</v>
      </c>
      <c r="E345" s="3233">
        <v>3450</v>
      </c>
      <c r="F345" s="3233">
        <v>720</v>
      </c>
      <c r="G345" s="3233">
        <v>1880</v>
      </c>
      <c r="J345" s="3222"/>
    </row>
    <row r="346" spans="1:10">
      <c r="A346" s="3233" t="s">
        <v>307</v>
      </c>
      <c r="B346" s="3233" t="s">
        <v>3165</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2937</v>
      </c>
      <c r="C348" s="3233">
        <v>4000</v>
      </c>
      <c r="D348" s="3233">
        <v>3950</v>
      </c>
      <c r="E348" s="3233">
        <v>4430</v>
      </c>
      <c r="F348" s="3233">
        <v>760</v>
      </c>
      <c r="G348" s="3233">
        <v>2360</v>
      </c>
      <c r="J348" s="3222"/>
    </row>
    <row r="349" spans="1:10">
      <c r="A349" s="3233" t="s">
        <v>307</v>
      </c>
      <c r="B349" s="3233" t="s">
        <v>2942</v>
      </c>
      <c r="C349" s="3233">
        <v>3820</v>
      </c>
      <c r="D349" s="3233">
        <v>3780</v>
      </c>
      <c r="E349" s="3233">
        <v>4170</v>
      </c>
      <c r="F349" s="3233">
        <v>710</v>
      </c>
      <c r="G349" s="3233">
        <v>2260</v>
      </c>
      <c r="J349" s="3222"/>
    </row>
    <row r="350" spans="1:10">
      <c r="A350" s="3233" t="s">
        <v>307</v>
      </c>
      <c r="B350" s="3233" t="s">
        <v>3166</v>
      </c>
      <c r="C350" s="3233">
        <v>3760</v>
      </c>
      <c r="D350" s="3233">
        <v>3730</v>
      </c>
      <c r="E350" s="3233">
        <v>4100</v>
      </c>
      <c r="F350" s="3233">
        <v>800</v>
      </c>
      <c r="G350" s="3233">
        <v>2230</v>
      </c>
      <c r="J350" s="3222"/>
    </row>
    <row r="351" spans="1:10">
      <c r="A351" s="3233" t="s">
        <v>307</v>
      </c>
      <c r="B351" s="3233" t="s">
        <v>2950</v>
      </c>
      <c r="C351" s="3233">
        <v>3610</v>
      </c>
      <c r="D351" s="3233">
        <v>3580</v>
      </c>
      <c r="E351" s="3233">
        <v>3930</v>
      </c>
      <c r="F351" s="3233">
        <v>700</v>
      </c>
      <c r="G351" s="3233">
        <v>2140</v>
      </c>
      <c r="J351" s="3222"/>
    </row>
    <row r="352" spans="1:10">
      <c r="A352" s="3233" t="s">
        <v>307</v>
      </c>
      <c r="B352" s="3233" t="s">
        <v>2955</v>
      </c>
      <c r="C352" s="3233">
        <v>3670</v>
      </c>
      <c r="D352" s="3233">
        <v>3630</v>
      </c>
      <c r="E352" s="3233">
        <v>4000</v>
      </c>
      <c r="F352" s="3233">
        <v>750</v>
      </c>
      <c r="G352" s="3233">
        <v>2180</v>
      </c>
    </row>
    <row r="353" spans="1:7" s="3226" customFormat="1">
      <c r="A353" s="3233" t="s">
        <v>307</v>
      </c>
      <c r="B353" s="3233" t="s">
        <v>3167</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2975</v>
      </c>
      <c r="C355" s="3233">
        <v>3650</v>
      </c>
      <c r="D355" s="3233">
        <v>3610</v>
      </c>
      <c r="E355" s="3233">
        <v>4200</v>
      </c>
      <c r="F355" s="3233">
        <v>640</v>
      </c>
      <c r="G355" s="3233">
        <v>2160</v>
      </c>
    </row>
    <row r="356" spans="1:7" s="3226" customFormat="1">
      <c r="A356" s="3233" t="s">
        <v>307</v>
      </c>
      <c r="B356" s="3233" t="s">
        <v>2982</v>
      </c>
      <c r="C356" s="3233">
        <v>3260</v>
      </c>
      <c r="D356" s="3233">
        <v>3230</v>
      </c>
      <c r="E356" s="3233">
        <v>3740</v>
      </c>
      <c r="F356" s="3233">
        <v>600</v>
      </c>
      <c r="G356" s="3233">
        <v>1930</v>
      </c>
    </row>
    <row r="357" spans="1:7" s="3226" customFormat="1" ht="12" thickBot="1">
      <c r="A357" s="3241" t="s">
        <v>307</v>
      </c>
      <c r="B357" s="3244" t="s">
        <v>3168</v>
      </c>
      <c r="C357" s="3244">
        <v>3690</v>
      </c>
      <c r="D357" s="3244">
        <v>3650</v>
      </c>
      <c r="E357" s="3244">
        <v>4020</v>
      </c>
      <c r="F357" s="3244">
        <v>700</v>
      </c>
      <c r="G357" s="3244">
        <v>2190</v>
      </c>
    </row>
    <row r="358" spans="1:7" s="3226" customFormat="1">
      <c r="A358" s="3238" t="s">
        <v>3169</v>
      </c>
      <c r="B358" s="3229" t="s">
        <v>3170</v>
      </c>
      <c r="C358" s="3229">
        <v>2080</v>
      </c>
      <c r="D358" s="3229">
        <v>2040</v>
      </c>
      <c r="E358" s="3229">
        <v>2010</v>
      </c>
      <c r="F358" s="3229">
        <v>530</v>
      </c>
      <c r="G358" s="3245">
        <v>1230</v>
      </c>
    </row>
    <row r="359" spans="1:7" s="3226" customFormat="1">
      <c r="A359" s="3233" t="s">
        <v>3169</v>
      </c>
      <c r="B359" s="3233" t="s">
        <v>3171</v>
      </c>
      <c r="C359" s="3233">
        <v>1850</v>
      </c>
      <c r="D359" s="3233">
        <v>1820</v>
      </c>
      <c r="E359" s="3233">
        <v>1780</v>
      </c>
      <c r="F359" s="3233">
        <v>520</v>
      </c>
      <c r="G359" s="3246">
        <v>1100</v>
      </c>
    </row>
    <row r="360" spans="1:7" s="3226" customFormat="1">
      <c r="A360" s="3233" t="s">
        <v>3169</v>
      </c>
      <c r="B360" s="3233" t="s">
        <v>3172</v>
      </c>
      <c r="C360" s="3233">
        <v>2020</v>
      </c>
      <c r="D360" s="3233">
        <v>1990</v>
      </c>
      <c r="E360" s="3233">
        <v>1950</v>
      </c>
      <c r="F360" s="3233">
        <v>500</v>
      </c>
      <c r="G360" s="3246">
        <v>1200</v>
      </c>
    </row>
    <row r="361" spans="1:7" s="3226" customFormat="1">
      <c r="A361" s="3233" t="s">
        <v>3169</v>
      </c>
      <c r="B361" s="3233" t="s">
        <v>153</v>
      </c>
      <c r="C361" s="3233">
        <v>2260</v>
      </c>
      <c r="D361" s="3233">
        <v>2220</v>
      </c>
      <c r="E361" s="3233">
        <v>2180</v>
      </c>
      <c r="F361" s="3233">
        <v>580</v>
      </c>
      <c r="G361" s="3246">
        <v>1340</v>
      </c>
    </row>
    <row r="362" spans="1:7" s="3226" customFormat="1">
      <c r="A362" s="3233" t="s">
        <v>3169</v>
      </c>
      <c r="B362" s="3233" t="s">
        <v>3173</v>
      </c>
      <c r="C362" s="3233">
        <v>2650</v>
      </c>
      <c r="D362" s="3233">
        <v>2610</v>
      </c>
      <c r="E362" s="3233">
        <v>2570</v>
      </c>
      <c r="F362" s="3233">
        <v>630</v>
      </c>
      <c r="G362" s="3246">
        <v>1570</v>
      </c>
    </row>
    <row r="363" spans="1:7" s="3226" customFormat="1">
      <c r="A363" s="3233" t="s">
        <v>3169</v>
      </c>
      <c r="B363" s="3233" t="s">
        <v>2894</v>
      </c>
      <c r="C363" s="3233">
        <v>2390</v>
      </c>
      <c r="D363" s="3233">
        <v>2360</v>
      </c>
      <c r="E363" s="3233">
        <v>2320</v>
      </c>
      <c r="F363" s="3233">
        <v>600</v>
      </c>
      <c r="G363" s="3246">
        <v>1420</v>
      </c>
    </row>
    <row r="364" spans="1:7" s="3226" customFormat="1">
      <c r="A364" s="3233" t="s">
        <v>3169</v>
      </c>
      <c r="B364" s="3233" t="s">
        <v>3174</v>
      </c>
      <c r="C364" s="3233">
        <v>2050</v>
      </c>
      <c r="D364" s="3233">
        <v>2030</v>
      </c>
      <c r="E364" s="3233">
        <v>1990</v>
      </c>
      <c r="F364" s="3233">
        <v>550</v>
      </c>
      <c r="G364" s="3246">
        <v>1220</v>
      </c>
    </row>
    <row r="365" spans="1:7" s="3226" customFormat="1">
      <c r="A365" s="3233" t="s">
        <v>3169</v>
      </c>
      <c r="B365" s="3233" t="s">
        <v>200</v>
      </c>
      <c r="C365" s="3233">
        <v>2140</v>
      </c>
      <c r="D365" s="3233">
        <v>2100</v>
      </c>
      <c r="E365" s="3233">
        <v>2060</v>
      </c>
      <c r="F365" s="3233">
        <v>540</v>
      </c>
      <c r="G365" s="3246">
        <v>1270</v>
      </c>
    </row>
    <row r="366" spans="1:7" s="3226" customFormat="1">
      <c r="A366" s="3233" t="s">
        <v>3169</v>
      </c>
      <c r="B366" s="3233" t="s">
        <v>2901</v>
      </c>
      <c r="C366" s="3233">
        <v>2410</v>
      </c>
      <c r="D366" s="3233">
        <v>2370</v>
      </c>
      <c r="E366" s="3233">
        <v>2330</v>
      </c>
      <c r="F366" s="3233">
        <v>570</v>
      </c>
      <c r="G366" s="3246">
        <v>1440</v>
      </c>
    </row>
    <row r="367" spans="1:7" s="3226" customFormat="1">
      <c r="A367" s="3233" t="s">
        <v>3169</v>
      </c>
      <c r="B367" s="3233" t="s">
        <v>3175</v>
      </c>
      <c r="C367" s="3233">
        <v>2300</v>
      </c>
      <c r="D367" s="3233">
        <v>2260</v>
      </c>
      <c r="E367" s="3233">
        <v>2220</v>
      </c>
      <c r="F367" s="3233">
        <v>560</v>
      </c>
      <c r="G367" s="3246">
        <v>1370</v>
      </c>
    </row>
    <row r="368" spans="1:7" s="3226" customFormat="1">
      <c r="A368" s="3233" t="s">
        <v>3169</v>
      </c>
      <c r="B368" s="3233" t="s">
        <v>3176</v>
      </c>
      <c r="C368" s="3233">
        <v>2430</v>
      </c>
      <c r="D368" s="3233">
        <v>2390</v>
      </c>
      <c r="E368" s="3233">
        <v>2350</v>
      </c>
      <c r="F368" s="3233">
        <v>570</v>
      </c>
      <c r="G368" s="3246">
        <v>1450</v>
      </c>
    </row>
    <row r="369" spans="1:7" s="3226" customFormat="1">
      <c r="A369" s="3233" t="s">
        <v>3169</v>
      </c>
      <c r="B369" s="3233" t="s">
        <v>214</v>
      </c>
      <c r="C369" s="3233">
        <v>2320</v>
      </c>
      <c r="D369" s="3233">
        <v>2290</v>
      </c>
      <c r="E369" s="3233">
        <v>2250</v>
      </c>
      <c r="F369" s="3233">
        <v>550</v>
      </c>
      <c r="G369" s="3246">
        <v>1380</v>
      </c>
    </row>
    <row r="370" spans="1:7" s="3226" customFormat="1">
      <c r="A370" s="3233" t="s">
        <v>3169</v>
      </c>
      <c r="B370" s="3233" t="s">
        <v>221</v>
      </c>
      <c r="C370" s="3233">
        <v>2190</v>
      </c>
      <c r="D370" s="3233">
        <v>2170</v>
      </c>
      <c r="E370" s="3233">
        <v>2130</v>
      </c>
      <c r="F370" s="3233">
        <v>530</v>
      </c>
      <c r="G370" s="3246">
        <v>1310</v>
      </c>
    </row>
    <row r="371" spans="1:7" s="3226" customFormat="1">
      <c r="A371" s="3233" t="s">
        <v>3169</v>
      </c>
      <c r="B371" s="3233" t="s">
        <v>229</v>
      </c>
      <c r="C371" s="3233">
        <v>2460</v>
      </c>
      <c r="D371" s="3233">
        <v>2420</v>
      </c>
      <c r="E371" s="3233">
        <v>2370</v>
      </c>
      <c r="F371" s="3233">
        <v>560</v>
      </c>
      <c r="G371" s="3246">
        <v>1470</v>
      </c>
    </row>
    <row r="372" spans="1:7" s="3226" customFormat="1">
      <c r="A372" s="3233" t="s">
        <v>3169</v>
      </c>
      <c r="B372" s="3233" t="s">
        <v>3177</v>
      </c>
      <c r="C372" s="3233">
        <v>2250</v>
      </c>
      <c r="D372" s="3233">
        <v>2210</v>
      </c>
      <c r="E372" s="3233">
        <v>2180</v>
      </c>
      <c r="F372" s="3233">
        <v>550</v>
      </c>
      <c r="G372" s="3246">
        <v>1340</v>
      </c>
    </row>
    <row r="373" spans="1:7" s="3226" customFormat="1">
      <c r="A373" s="3233" t="s">
        <v>3169</v>
      </c>
      <c r="B373" s="3233" t="s">
        <v>258</v>
      </c>
      <c r="C373" s="3233">
        <v>2210</v>
      </c>
      <c r="D373" s="3233">
        <v>2190</v>
      </c>
      <c r="E373" s="3233">
        <v>2150</v>
      </c>
      <c r="F373" s="3233">
        <v>530</v>
      </c>
      <c r="G373" s="3246">
        <v>1320</v>
      </c>
    </row>
    <row r="374" spans="1:7" s="3226" customFormat="1">
      <c r="A374" s="3233" t="s">
        <v>3169</v>
      </c>
      <c r="B374" s="3233" t="s">
        <v>266</v>
      </c>
      <c r="C374" s="3233">
        <v>2320</v>
      </c>
      <c r="D374" s="3233">
        <v>2280</v>
      </c>
      <c r="E374" s="3233">
        <v>2230</v>
      </c>
      <c r="F374" s="3233">
        <v>580</v>
      </c>
      <c r="G374" s="3246">
        <v>1380</v>
      </c>
    </row>
    <row r="375" spans="1:7" s="3226" customFormat="1">
      <c r="A375" s="3233" t="s">
        <v>3169</v>
      </c>
      <c r="B375" s="3233" t="s">
        <v>3178</v>
      </c>
      <c r="C375" s="3233">
        <v>2090</v>
      </c>
      <c r="D375" s="3233">
        <v>2050</v>
      </c>
      <c r="E375" s="3233">
        <v>2020</v>
      </c>
      <c r="F375" s="3233">
        <v>520</v>
      </c>
      <c r="G375" s="3246">
        <v>1240</v>
      </c>
    </row>
    <row r="376" spans="1:7" s="3226" customFormat="1">
      <c r="A376" s="3233" t="s">
        <v>3169</v>
      </c>
      <c r="B376" s="3233" t="s">
        <v>277</v>
      </c>
      <c r="C376" s="3233">
        <v>2010</v>
      </c>
      <c r="D376" s="3233">
        <v>1980</v>
      </c>
      <c r="E376" s="3233">
        <v>1940</v>
      </c>
      <c r="F376" s="3233">
        <v>540</v>
      </c>
      <c r="G376" s="3246">
        <v>1190</v>
      </c>
    </row>
    <row r="377" spans="1:7" s="3226" customFormat="1" ht="12" thickBot="1">
      <c r="A377" s="3241" t="s">
        <v>3169</v>
      </c>
      <c r="B377" s="3244" t="s">
        <v>2931</v>
      </c>
      <c r="C377" s="3244">
        <v>1930</v>
      </c>
      <c r="D377" s="3244">
        <v>1890</v>
      </c>
      <c r="E377" s="3244">
        <v>1860</v>
      </c>
      <c r="F377" s="3244">
        <v>530</v>
      </c>
      <c r="G377" s="3249">
        <v>1150</v>
      </c>
    </row>
    <row r="378" spans="1:7" s="3226" customFormat="1">
      <c r="A378" s="3250" t="s">
        <v>3179</v>
      </c>
      <c r="B378" s="3229" t="s">
        <v>3180</v>
      </c>
      <c r="C378" s="3229">
        <v>1520</v>
      </c>
      <c r="D378" s="3229">
        <v>1490</v>
      </c>
      <c r="E378" s="3229">
        <v>1460</v>
      </c>
      <c r="F378" s="3229">
        <v>460</v>
      </c>
      <c r="G378" s="3245">
        <v>940</v>
      </c>
    </row>
    <row r="379" spans="1:7" s="3226" customFormat="1">
      <c r="A379" s="3251" t="s">
        <v>3179</v>
      </c>
      <c r="B379" s="3233" t="s">
        <v>3181</v>
      </c>
      <c r="C379" s="3233">
        <v>1500</v>
      </c>
      <c r="D379" s="3233">
        <v>1470</v>
      </c>
      <c r="E379" s="3233">
        <v>1430</v>
      </c>
      <c r="F379" s="3233">
        <v>460</v>
      </c>
      <c r="G379" s="3246">
        <v>920</v>
      </c>
    </row>
    <row r="380" spans="1:7" s="3226" customFormat="1">
      <c r="A380" s="3251" t="s">
        <v>3179</v>
      </c>
      <c r="B380" s="3233" t="s">
        <v>3182</v>
      </c>
      <c r="C380" s="3233">
        <v>1620</v>
      </c>
      <c r="D380" s="3233">
        <v>1590</v>
      </c>
      <c r="E380" s="3233">
        <v>1560</v>
      </c>
      <c r="F380" s="3233">
        <v>480</v>
      </c>
      <c r="G380" s="3246">
        <v>1000</v>
      </c>
    </row>
    <row r="381" spans="1:7" s="3226" customFormat="1">
      <c r="A381" s="3251" t="s">
        <v>3179</v>
      </c>
      <c r="B381" s="3233" t="s">
        <v>3183</v>
      </c>
      <c r="C381" s="3233">
        <v>1460</v>
      </c>
      <c r="D381" s="3233">
        <v>1430</v>
      </c>
      <c r="E381" s="3233">
        <v>1390</v>
      </c>
      <c r="F381" s="3233">
        <v>450</v>
      </c>
      <c r="G381" s="3246">
        <v>900</v>
      </c>
    </row>
    <row r="382" spans="1:7" s="3226" customFormat="1">
      <c r="A382" s="3251" t="s">
        <v>3179</v>
      </c>
      <c r="B382" s="3233" t="s">
        <v>3184</v>
      </c>
      <c r="C382" s="3233">
        <v>1310</v>
      </c>
      <c r="D382" s="3233">
        <v>1280</v>
      </c>
      <c r="E382" s="3233">
        <v>1250</v>
      </c>
      <c r="F382" s="3233">
        <v>440</v>
      </c>
      <c r="G382" s="3246">
        <v>800</v>
      </c>
    </row>
    <row r="383" spans="1:7" s="3226" customFormat="1">
      <c r="A383" s="3251" t="s">
        <v>3179</v>
      </c>
      <c r="B383" s="3233" t="s">
        <v>3185</v>
      </c>
      <c r="C383" s="3233">
        <v>1260</v>
      </c>
      <c r="D383" s="3233">
        <v>1230</v>
      </c>
      <c r="E383" s="3233">
        <v>1200</v>
      </c>
      <c r="F383" s="3233">
        <v>420</v>
      </c>
      <c r="G383" s="3246">
        <v>770</v>
      </c>
    </row>
    <row r="384" spans="1:7" s="3226" customFormat="1" ht="12" thickBot="1">
      <c r="A384" s="3252" t="s">
        <v>3179</v>
      </c>
      <c r="B384" s="3240" t="s">
        <v>3186</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5" t="s">
        <v>3187</v>
      </c>
      <c r="B1" s="3775"/>
    </row>
    <row r="2" spans="1:7" ht="14.25" thickBot="1">
      <c r="A2" s="3255"/>
      <c r="B2" s="3255"/>
    </row>
    <row r="3" spans="1:7" ht="14.25" thickBot="1">
      <c r="A3" s="3255"/>
      <c r="B3" s="3255"/>
      <c r="C3" s="3256" t="s">
        <v>2815</v>
      </c>
      <c r="D3" s="3256" t="s">
        <v>2873</v>
      </c>
      <c r="E3" s="3256" t="s">
        <v>2817</v>
      </c>
      <c r="F3" s="3256" t="s">
        <v>2874</v>
      </c>
      <c r="G3" s="3256" t="s">
        <v>2635</v>
      </c>
    </row>
    <row r="4" spans="1:7" ht="14.25" thickBot="1">
      <c r="A4" s="3257" t="s">
        <v>2872</v>
      </c>
      <c r="B4" s="3258" t="s">
        <v>2878</v>
      </c>
      <c r="C4" s="3256"/>
      <c r="D4" s="3256"/>
      <c r="E4" s="3256"/>
      <c r="F4" s="3256"/>
      <c r="G4" s="3256"/>
    </row>
    <row r="5" spans="1:7">
      <c r="A5" s="3259" t="s">
        <v>2846</v>
      </c>
      <c r="B5" s="3260" t="s">
        <v>2860</v>
      </c>
      <c r="C5" s="3261">
        <v>9.8000000000000004E-2</v>
      </c>
      <c r="D5" s="3261">
        <v>8.6999999999999994E-2</v>
      </c>
      <c r="E5" s="3261">
        <v>8.6999999999999994E-2</v>
      </c>
      <c r="F5" s="3261">
        <v>9.8000000000000004E-2</v>
      </c>
      <c r="G5" s="3262">
        <v>9.5000000000000001E-2</v>
      </c>
    </row>
    <row r="6" spans="1:7">
      <c r="A6" s="3263" t="s">
        <v>144</v>
      </c>
      <c r="B6" s="3264" t="s">
        <v>2875</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2861</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2911</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2929</v>
      </c>
      <c r="C29" s="3273"/>
      <c r="D29" s="3269">
        <v>5.1999999999999998E-2</v>
      </c>
      <c r="E29" s="3269">
        <v>7.0000000000000007E-2</v>
      </c>
      <c r="F29" s="3273"/>
      <c r="G29" s="3271">
        <v>7.0999999999999994E-2</v>
      </c>
    </row>
    <row r="30" spans="1:7">
      <c r="A30" s="3274" t="s">
        <v>296</v>
      </c>
      <c r="B30" s="3260" t="s">
        <v>2862</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2848</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2932</v>
      </c>
      <c r="C50" s="3265">
        <v>9.8000000000000004E-2</v>
      </c>
      <c r="D50" s="3265">
        <v>7.2999999999999995E-2</v>
      </c>
      <c r="E50" s="3265">
        <v>7.0999999999999994E-2</v>
      </c>
      <c r="F50" s="3276"/>
      <c r="G50" s="3266">
        <v>7.2999999999999995E-2</v>
      </c>
    </row>
    <row r="51" spans="1:7">
      <c r="A51" s="3275" t="s">
        <v>296</v>
      </c>
      <c r="B51" s="3264" t="s">
        <v>2934</v>
      </c>
      <c r="C51" s="3265">
        <v>9.9000000000000005E-2</v>
      </c>
      <c r="D51" s="3265">
        <v>8.5000000000000006E-2</v>
      </c>
      <c r="E51" s="3265">
        <v>6.3E-2</v>
      </c>
      <c r="F51" s="3276"/>
      <c r="G51" s="3266">
        <v>9.6000000000000002E-2</v>
      </c>
    </row>
    <row r="52" spans="1:7">
      <c r="A52" s="3275" t="s">
        <v>296</v>
      </c>
      <c r="B52" s="3264" t="s">
        <v>2938</v>
      </c>
      <c r="C52" s="3265">
        <v>7.3999999999999996E-2</v>
      </c>
      <c r="D52" s="3265">
        <v>9.6000000000000002E-2</v>
      </c>
      <c r="E52" s="3265">
        <v>0.05</v>
      </c>
      <c r="F52" s="3276"/>
      <c r="G52" s="3266">
        <v>9.8000000000000004E-2</v>
      </c>
    </row>
    <row r="53" spans="1:7">
      <c r="A53" s="3275" t="s">
        <v>296</v>
      </c>
      <c r="B53" s="3264" t="s">
        <v>2943</v>
      </c>
      <c r="C53" s="3265">
        <v>8.5999999999999993E-2</v>
      </c>
      <c r="D53" s="3276"/>
      <c r="E53" s="3265">
        <v>9.1999999999999998E-2</v>
      </c>
      <c r="F53" s="3276"/>
      <c r="G53" s="3277"/>
    </row>
    <row r="54" spans="1:7" ht="14.25" thickBot="1">
      <c r="A54" s="3278" t="s">
        <v>296</v>
      </c>
      <c r="B54" s="3268" t="s">
        <v>2946</v>
      </c>
      <c r="C54" s="3269">
        <v>9.6000000000000002E-2</v>
      </c>
      <c r="D54" s="3270"/>
      <c r="E54" s="3279"/>
      <c r="F54" s="3270"/>
      <c r="G54" s="3280"/>
    </row>
    <row r="55" spans="1:7">
      <c r="A55" s="3274" t="s">
        <v>110</v>
      </c>
      <c r="B55" s="3260" t="s">
        <v>2863</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2944</v>
      </c>
      <c r="C78" s="3265">
        <v>0.1</v>
      </c>
      <c r="D78" s="3265">
        <v>8.5000000000000006E-2</v>
      </c>
      <c r="E78" s="3265">
        <v>9.6000000000000002E-2</v>
      </c>
      <c r="F78" s="3276"/>
      <c r="G78" s="3266">
        <v>9.6000000000000002E-2</v>
      </c>
    </row>
    <row r="79" spans="1:7">
      <c r="A79" s="3275" t="s">
        <v>110</v>
      </c>
      <c r="B79" s="3264" t="s">
        <v>2947</v>
      </c>
      <c r="C79" s="3265">
        <v>0.05</v>
      </c>
      <c r="D79" s="3265">
        <v>9.6000000000000002E-2</v>
      </c>
      <c r="E79" s="3265">
        <v>9.5000000000000001E-2</v>
      </c>
      <c r="F79" s="3276"/>
      <c r="G79" s="3266">
        <v>9.8000000000000004E-2</v>
      </c>
    </row>
    <row r="80" spans="1:7">
      <c r="A80" s="3275" t="s">
        <v>110</v>
      </c>
      <c r="B80" s="3264" t="s">
        <v>2951</v>
      </c>
      <c r="C80" s="3265">
        <v>8.5999999999999993E-2</v>
      </c>
      <c r="D80" s="3281"/>
      <c r="E80" s="3265">
        <v>0.1</v>
      </c>
      <c r="F80" s="3276"/>
      <c r="G80" s="3277"/>
    </row>
    <row r="81" spans="1:7">
      <c r="A81" s="3275" t="s">
        <v>110</v>
      </c>
      <c r="B81" s="3264" t="s">
        <v>2956</v>
      </c>
      <c r="C81" s="3265">
        <v>9.6000000000000002E-2</v>
      </c>
      <c r="D81" s="3276"/>
      <c r="E81" s="3265">
        <v>9.8000000000000004E-2</v>
      </c>
      <c r="F81" s="3276"/>
      <c r="G81" s="3277"/>
    </row>
    <row r="82" spans="1:7">
      <c r="A82" s="3275" t="s">
        <v>110</v>
      </c>
      <c r="B82" s="3264" t="s">
        <v>2963</v>
      </c>
      <c r="C82" s="3281"/>
      <c r="D82" s="3276"/>
      <c r="E82" s="3265">
        <v>7.6999999999999999E-2</v>
      </c>
      <c r="F82" s="3276"/>
      <c r="G82" s="3277"/>
    </row>
    <row r="83" spans="1:7">
      <c r="A83" s="3275" t="s">
        <v>110</v>
      </c>
      <c r="B83" s="3264" t="s">
        <v>2969</v>
      </c>
      <c r="C83" s="3276"/>
      <c r="D83" s="3276"/>
      <c r="E83" s="3276"/>
      <c r="F83" s="3265">
        <v>0.1</v>
      </c>
      <c r="G83" s="3282"/>
    </row>
    <row r="84" spans="1:7">
      <c r="A84" s="3275" t="s">
        <v>110</v>
      </c>
      <c r="B84" s="3264" t="s">
        <v>2976</v>
      </c>
      <c r="C84" s="3276"/>
      <c r="D84" s="3276"/>
      <c r="E84" s="3276"/>
      <c r="F84" s="3265">
        <v>0.1</v>
      </c>
      <c r="G84" s="3282"/>
    </row>
    <row r="85" spans="1:7">
      <c r="A85" s="3275" t="s">
        <v>110</v>
      </c>
      <c r="B85" s="3264" t="s">
        <v>2983</v>
      </c>
      <c r="C85" s="3276"/>
      <c r="D85" s="3276"/>
      <c r="E85" s="3276"/>
      <c r="F85" s="3265">
        <v>0.1</v>
      </c>
      <c r="G85" s="3282"/>
    </row>
    <row r="86" spans="1:7" ht="14.25" thickBot="1">
      <c r="A86" s="3278" t="s">
        <v>110</v>
      </c>
      <c r="B86" s="3268" t="s">
        <v>2988</v>
      </c>
      <c r="C86" s="3269">
        <v>9.8000000000000004E-2</v>
      </c>
      <c r="D86" s="3269">
        <v>9.8000000000000004E-2</v>
      </c>
      <c r="E86" s="3269">
        <v>9.6000000000000002E-2</v>
      </c>
      <c r="F86" s="3279"/>
      <c r="G86" s="3271">
        <v>0.1</v>
      </c>
    </row>
    <row r="87" spans="1:7">
      <c r="A87" s="3274" t="s">
        <v>303</v>
      </c>
      <c r="B87" s="3260" t="s">
        <v>2864</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2957</v>
      </c>
      <c r="C113" s="3265">
        <v>0.1</v>
      </c>
      <c r="D113" s="3265">
        <v>0.1</v>
      </c>
      <c r="E113" s="3276"/>
      <c r="F113" s="3276"/>
      <c r="G113" s="3266">
        <v>0.1</v>
      </c>
    </row>
    <row r="114" spans="1:7">
      <c r="A114" s="3275" t="s">
        <v>303</v>
      </c>
      <c r="B114" s="3264" t="s">
        <v>2964</v>
      </c>
      <c r="C114" s="3265">
        <v>9.7000000000000003E-2</v>
      </c>
      <c r="D114" s="3265">
        <v>9.7000000000000003E-2</v>
      </c>
      <c r="E114" s="3276"/>
      <c r="F114" s="3276"/>
      <c r="G114" s="3266">
        <v>9.9000000000000005E-2</v>
      </c>
    </row>
    <row r="115" spans="1:7">
      <c r="A115" s="3275" t="s">
        <v>303</v>
      </c>
      <c r="B115" s="3264" t="s">
        <v>2970</v>
      </c>
      <c r="C115" s="3265">
        <v>0.1</v>
      </c>
      <c r="D115" s="3265">
        <v>0.1</v>
      </c>
      <c r="E115" s="3276"/>
      <c r="F115" s="3276"/>
      <c r="G115" s="3266">
        <v>0.1</v>
      </c>
    </row>
    <row r="116" spans="1:7">
      <c r="A116" s="3275" t="s">
        <v>303</v>
      </c>
      <c r="B116" s="3264" t="s">
        <v>2977</v>
      </c>
      <c r="C116" s="3265">
        <v>0.1</v>
      </c>
      <c r="D116" s="3265">
        <v>0.1</v>
      </c>
      <c r="E116" s="3276"/>
      <c r="F116" s="3276"/>
      <c r="G116" s="3266">
        <v>0.1</v>
      </c>
    </row>
    <row r="117" spans="1:7">
      <c r="A117" s="3275" t="s">
        <v>303</v>
      </c>
      <c r="B117" s="3264" t="s">
        <v>2984</v>
      </c>
      <c r="C117" s="3265">
        <v>9.7000000000000003E-2</v>
      </c>
      <c r="D117" s="3265">
        <v>9.7000000000000003E-2</v>
      </c>
      <c r="E117" s="3276"/>
      <c r="F117" s="3276"/>
      <c r="G117" s="3266">
        <v>9.7000000000000003E-2</v>
      </c>
    </row>
    <row r="118" spans="1:7">
      <c r="A118" s="3275" t="s">
        <v>303</v>
      </c>
      <c r="B118" s="3264" t="s">
        <v>2989</v>
      </c>
      <c r="C118" s="3265">
        <v>0.1</v>
      </c>
      <c r="D118" s="3265">
        <v>0.1</v>
      </c>
      <c r="E118" s="3276"/>
      <c r="F118" s="3276"/>
      <c r="G118" s="3266">
        <v>0.1</v>
      </c>
    </row>
    <row r="119" spans="1:7">
      <c r="A119" s="3275" t="s">
        <v>303</v>
      </c>
      <c r="B119" s="3264" t="s">
        <v>2993</v>
      </c>
      <c r="C119" s="3265">
        <v>5.0999999999999997E-2</v>
      </c>
      <c r="D119" s="3265">
        <v>5.1999999999999998E-2</v>
      </c>
      <c r="E119" s="3276"/>
      <c r="F119" s="3281"/>
      <c r="G119" s="3266">
        <v>0.06</v>
      </c>
    </row>
    <row r="120" spans="1:7">
      <c r="A120" s="3275" t="s">
        <v>303</v>
      </c>
      <c r="B120" s="3264" t="s">
        <v>2997</v>
      </c>
      <c r="C120" s="3276"/>
      <c r="D120" s="3276"/>
      <c r="E120" s="3276"/>
      <c r="F120" s="3265">
        <v>0.1</v>
      </c>
      <c r="G120" s="3282"/>
    </row>
    <row r="121" spans="1:7">
      <c r="A121" s="3275" t="s">
        <v>303</v>
      </c>
      <c r="B121" s="3264" t="s">
        <v>3002</v>
      </c>
      <c r="C121" s="3276"/>
      <c r="D121" s="3276"/>
      <c r="E121" s="3276"/>
      <c r="F121" s="3265">
        <v>0.1</v>
      </c>
      <c r="G121" s="3282"/>
    </row>
    <row r="122" spans="1:7">
      <c r="A122" s="3275" t="s">
        <v>303</v>
      </c>
      <c r="B122" s="3264" t="s">
        <v>3007</v>
      </c>
      <c r="C122" s="3265">
        <v>0.1</v>
      </c>
      <c r="D122" s="3265">
        <v>0.1</v>
      </c>
      <c r="E122" s="3265">
        <v>9.8000000000000004E-2</v>
      </c>
      <c r="F122" s="3265">
        <v>0.1</v>
      </c>
      <c r="G122" s="3266">
        <v>0.1</v>
      </c>
    </row>
    <row r="123" spans="1:7">
      <c r="A123" s="3275" t="s">
        <v>303</v>
      </c>
      <c r="B123" s="3264" t="s">
        <v>3012</v>
      </c>
      <c r="C123" s="3265">
        <v>0.1</v>
      </c>
      <c r="D123" s="3265">
        <v>0.1</v>
      </c>
      <c r="E123" s="3265">
        <v>9.8000000000000004E-2</v>
      </c>
      <c r="F123" s="3265">
        <v>0.1</v>
      </c>
      <c r="G123" s="3266">
        <v>0.1</v>
      </c>
    </row>
    <row r="124" spans="1:7">
      <c r="A124" s="3275" t="s">
        <v>303</v>
      </c>
      <c r="B124" s="3264" t="s">
        <v>3017</v>
      </c>
      <c r="C124" s="3265">
        <v>0.1</v>
      </c>
      <c r="D124" s="3265">
        <v>0.1</v>
      </c>
      <c r="E124" s="3265">
        <v>9.8000000000000004E-2</v>
      </c>
      <c r="F124" s="3281"/>
      <c r="G124" s="3266">
        <v>0.1</v>
      </c>
    </row>
    <row r="125" spans="1:7">
      <c r="A125" s="3275" t="s">
        <v>303</v>
      </c>
      <c r="B125" s="3264" t="s">
        <v>3022</v>
      </c>
      <c r="C125" s="3265">
        <v>9.8000000000000004E-2</v>
      </c>
      <c r="D125" s="3265">
        <v>9.8000000000000004E-2</v>
      </c>
      <c r="E125" s="3265">
        <v>9.6000000000000002E-2</v>
      </c>
      <c r="F125" s="3281"/>
      <c r="G125" s="3266">
        <v>0.1</v>
      </c>
    </row>
    <row r="126" spans="1:7" ht="14.25" thickBot="1">
      <c r="A126" s="3278" t="s">
        <v>303</v>
      </c>
      <c r="B126" s="3268" t="s">
        <v>3188</v>
      </c>
      <c r="C126" s="3269">
        <v>0.1</v>
      </c>
      <c r="D126" s="3269">
        <v>0.1</v>
      </c>
      <c r="E126" s="3269">
        <v>9.8000000000000004E-2</v>
      </c>
      <c r="F126" s="3269">
        <v>0.1</v>
      </c>
      <c r="G126" s="3271">
        <v>0.1</v>
      </c>
    </row>
    <row r="127" spans="1:7">
      <c r="A127" s="3274" t="s">
        <v>29</v>
      </c>
      <c r="B127" s="3260" t="s">
        <v>2865</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2935</v>
      </c>
      <c r="C148" s="3265">
        <v>0.13</v>
      </c>
      <c r="D148" s="3265">
        <v>0.13</v>
      </c>
      <c r="E148" s="3265">
        <v>0.13</v>
      </c>
      <c r="F148" s="3276"/>
      <c r="G148" s="3266">
        <v>0.13</v>
      </c>
    </row>
    <row r="149" spans="1:7">
      <c r="A149" s="3275" t="s">
        <v>29</v>
      </c>
      <c r="B149" s="3264" t="s">
        <v>2939</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2958</v>
      </c>
      <c r="C153" s="3265">
        <v>0.13</v>
      </c>
      <c r="D153" s="3265">
        <v>0.13</v>
      </c>
      <c r="E153" s="3265">
        <v>0.13</v>
      </c>
      <c r="F153" s="3265">
        <v>0.13</v>
      </c>
      <c r="G153" s="3266">
        <v>0.13</v>
      </c>
    </row>
    <row r="154" spans="1:7">
      <c r="A154" s="3275" t="s">
        <v>29</v>
      </c>
      <c r="B154" s="3264" t="s">
        <v>2965</v>
      </c>
      <c r="C154" s="3265">
        <v>0.121</v>
      </c>
      <c r="D154" s="3265">
        <v>0.121</v>
      </c>
      <c r="E154" s="3265">
        <v>0.105</v>
      </c>
      <c r="F154" s="3265">
        <v>0.121</v>
      </c>
      <c r="G154" s="3266">
        <v>0.123</v>
      </c>
    </row>
    <row r="155" spans="1:7">
      <c r="A155" s="3275" t="s">
        <v>29</v>
      </c>
      <c r="B155" s="3264" t="s">
        <v>2971</v>
      </c>
      <c r="C155" s="3265">
        <v>0.1</v>
      </c>
      <c r="D155" s="3265">
        <v>0.1</v>
      </c>
      <c r="E155" s="3265">
        <v>0.1</v>
      </c>
      <c r="F155" s="3265">
        <v>0.1</v>
      </c>
      <c r="G155" s="3266">
        <v>0.1</v>
      </c>
    </row>
    <row r="156" spans="1:7">
      <c r="A156" s="3275" t="s">
        <v>29</v>
      </c>
      <c r="B156" s="3264" t="s">
        <v>2978</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2998</v>
      </c>
      <c r="C160" s="3265">
        <v>0.13</v>
      </c>
      <c r="D160" s="3265">
        <v>0.13</v>
      </c>
      <c r="E160" s="3265">
        <v>0.124</v>
      </c>
      <c r="F160" s="3265">
        <v>0.126</v>
      </c>
      <c r="G160" s="3266">
        <v>0.13</v>
      </c>
    </row>
    <row r="161" spans="1:7">
      <c r="A161" s="3275" t="s">
        <v>29</v>
      </c>
      <c r="B161" s="3264" t="s">
        <v>3003</v>
      </c>
      <c r="C161" s="3265">
        <v>0.13</v>
      </c>
      <c r="D161" s="3265">
        <v>0.13</v>
      </c>
      <c r="E161" s="3265">
        <v>0.124</v>
      </c>
      <c r="F161" s="3265">
        <v>0.127</v>
      </c>
      <c r="G161" s="3266">
        <v>0.13</v>
      </c>
    </row>
    <row r="162" spans="1:7">
      <c r="A162" s="3275" t="s">
        <v>29</v>
      </c>
      <c r="B162" s="3264" t="s">
        <v>3008</v>
      </c>
      <c r="C162" s="3265">
        <v>0.1</v>
      </c>
      <c r="D162" s="3265">
        <v>0.1</v>
      </c>
      <c r="E162" s="3265">
        <v>0.1</v>
      </c>
      <c r="F162" s="3265">
        <v>0.121</v>
      </c>
      <c r="G162" s="3266">
        <v>0.105</v>
      </c>
    </row>
    <row r="163" spans="1:7">
      <c r="A163" s="3275" t="s">
        <v>29</v>
      </c>
      <c r="B163" s="3264" t="s">
        <v>3013</v>
      </c>
      <c r="C163" s="3265">
        <v>0.1</v>
      </c>
      <c r="D163" s="3265">
        <v>0.1</v>
      </c>
      <c r="E163" s="3265">
        <v>0.1</v>
      </c>
      <c r="F163" s="3265">
        <v>0.1</v>
      </c>
      <c r="G163" s="3266">
        <v>0.1</v>
      </c>
    </row>
    <row r="164" spans="1:7">
      <c r="A164" s="3275" t="s">
        <v>29</v>
      </c>
      <c r="B164" s="3264" t="s">
        <v>3018</v>
      </c>
      <c r="C164" s="3281"/>
      <c r="D164" s="3281"/>
      <c r="E164" s="3281"/>
      <c r="F164" s="3265">
        <v>0.1</v>
      </c>
      <c r="G164" s="3277"/>
    </row>
    <row r="165" spans="1:7">
      <c r="A165" s="3275" t="s">
        <v>29</v>
      </c>
      <c r="B165" s="3264" t="s">
        <v>3189</v>
      </c>
      <c r="C165" s="3265">
        <v>0.126</v>
      </c>
      <c r="D165" s="3265">
        <v>0.126</v>
      </c>
      <c r="E165" s="3265">
        <v>0.11899999999999999</v>
      </c>
      <c r="F165" s="3265">
        <v>0.13</v>
      </c>
      <c r="G165" s="3266">
        <v>0.128</v>
      </c>
    </row>
    <row r="166" spans="1:7">
      <c r="A166" s="3275" t="s">
        <v>29</v>
      </c>
      <c r="B166" s="3264" t="s">
        <v>3028</v>
      </c>
      <c r="C166" s="3265">
        <v>0.129</v>
      </c>
      <c r="D166" s="3265">
        <v>0.129</v>
      </c>
      <c r="E166" s="3265">
        <v>0.123</v>
      </c>
      <c r="F166" s="3265">
        <v>0.128</v>
      </c>
      <c r="G166" s="3266">
        <v>0.13</v>
      </c>
    </row>
    <row r="167" spans="1:7">
      <c r="A167" s="3275" t="s">
        <v>29</v>
      </c>
      <c r="B167" s="3264" t="s">
        <v>3032</v>
      </c>
      <c r="C167" s="3265">
        <v>0.125</v>
      </c>
      <c r="D167" s="3265">
        <v>0.125</v>
      </c>
      <c r="E167" s="3265">
        <v>0.11700000000000001</v>
      </c>
      <c r="F167" s="3265">
        <v>0.13</v>
      </c>
      <c r="G167" s="3266">
        <v>0.126</v>
      </c>
    </row>
    <row r="168" spans="1:7">
      <c r="A168" s="3275" t="s">
        <v>29</v>
      </c>
      <c r="B168" s="3264" t="s">
        <v>3037</v>
      </c>
      <c r="C168" s="3265">
        <v>0.128</v>
      </c>
      <c r="D168" s="3265">
        <v>0.128</v>
      </c>
      <c r="E168" s="3265">
        <v>0.123</v>
      </c>
      <c r="F168" s="3276"/>
      <c r="G168" s="3266">
        <v>0.13</v>
      </c>
    </row>
    <row r="169" spans="1:7">
      <c r="A169" s="3275" t="s">
        <v>29</v>
      </c>
      <c r="B169" s="3264" t="s">
        <v>3190</v>
      </c>
      <c r="C169" s="3281"/>
      <c r="D169" s="3281"/>
      <c r="E169" s="3281"/>
      <c r="F169" s="3265">
        <v>0.05</v>
      </c>
      <c r="G169" s="3277"/>
    </row>
    <row r="170" spans="1:7">
      <c r="A170" s="3275" t="s">
        <v>29</v>
      </c>
      <c r="B170" s="3264" t="s">
        <v>3191</v>
      </c>
      <c r="C170" s="3281"/>
      <c r="D170" s="3281"/>
      <c r="E170" s="3281"/>
      <c r="F170" s="3265">
        <v>0.05</v>
      </c>
      <c r="G170" s="3277"/>
    </row>
    <row r="171" spans="1:7">
      <c r="A171" s="3275" t="s">
        <v>29</v>
      </c>
      <c r="B171" s="3264" t="s">
        <v>3192</v>
      </c>
      <c r="C171" s="3281"/>
      <c r="D171" s="3281"/>
      <c r="E171" s="3281"/>
      <c r="F171" s="3265">
        <v>0.05</v>
      </c>
      <c r="G171" s="3282"/>
    </row>
    <row r="172" spans="1:7">
      <c r="A172" s="3275" t="s">
        <v>29</v>
      </c>
      <c r="B172" s="3264" t="s">
        <v>3193</v>
      </c>
      <c r="C172" s="3281"/>
      <c r="D172" s="3281"/>
      <c r="E172" s="3281"/>
      <c r="F172" s="3265">
        <v>0.05</v>
      </c>
      <c r="G172" s="3282"/>
    </row>
    <row r="173" spans="1:7">
      <c r="A173" s="3275" t="s">
        <v>29</v>
      </c>
      <c r="B173" s="3264" t="s">
        <v>3194</v>
      </c>
      <c r="C173" s="3281"/>
      <c r="D173" s="3281"/>
      <c r="E173" s="3281"/>
      <c r="F173" s="3265">
        <v>0.05</v>
      </c>
      <c r="G173" s="3277"/>
    </row>
    <row r="174" spans="1:7">
      <c r="A174" s="3275" t="s">
        <v>29</v>
      </c>
      <c r="B174" s="3264" t="s">
        <v>3195</v>
      </c>
      <c r="C174" s="3281"/>
      <c r="D174" s="3281"/>
      <c r="E174" s="3281"/>
      <c r="F174" s="3265">
        <v>0.05</v>
      </c>
      <c r="G174" s="3277"/>
    </row>
    <row r="175" spans="1:7">
      <c r="A175" s="3275" t="s">
        <v>29</v>
      </c>
      <c r="B175" s="3264" t="s">
        <v>3196</v>
      </c>
      <c r="C175" s="3281"/>
      <c r="D175" s="3281"/>
      <c r="E175" s="3281"/>
      <c r="F175" s="3265">
        <v>0.05</v>
      </c>
      <c r="G175" s="3277"/>
    </row>
    <row r="176" spans="1:7">
      <c r="A176" s="3275" t="s">
        <v>29</v>
      </c>
      <c r="B176" s="3264" t="s">
        <v>3197</v>
      </c>
      <c r="C176" s="3281"/>
      <c r="D176" s="3281"/>
      <c r="E176" s="3281"/>
      <c r="F176" s="3265">
        <v>0.05</v>
      </c>
      <c r="G176" s="3277"/>
    </row>
    <row r="177" spans="1:7">
      <c r="A177" s="3275" t="s">
        <v>29</v>
      </c>
      <c r="B177" s="3264" t="s">
        <v>3198</v>
      </c>
      <c r="C177" s="3276"/>
      <c r="D177" s="3276"/>
      <c r="E177" s="3276"/>
      <c r="F177" s="3265">
        <v>0.05</v>
      </c>
      <c r="G177" s="3282"/>
    </row>
    <row r="178" spans="1:7">
      <c r="A178" s="3275" t="s">
        <v>29</v>
      </c>
      <c r="B178" s="3264" t="s">
        <v>3199</v>
      </c>
      <c r="C178" s="3276"/>
      <c r="D178" s="3276"/>
      <c r="E178" s="3276"/>
      <c r="F178" s="3265">
        <v>0.05</v>
      </c>
      <c r="G178" s="3282"/>
    </row>
    <row r="179" spans="1:7">
      <c r="A179" s="3275" t="s">
        <v>29</v>
      </c>
      <c r="B179" s="3264" t="s">
        <v>3200</v>
      </c>
      <c r="C179" s="3276"/>
      <c r="D179" s="3276"/>
      <c r="E179" s="3276"/>
      <c r="F179" s="3265">
        <v>0.05</v>
      </c>
      <c r="G179" s="3282"/>
    </row>
    <row r="180" spans="1:7">
      <c r="A180" s="3275" t="s">
        <v>29</v>
      </c>
      <c r="B180" s="3264" t="s">
        <v>3201</v>
      </c>
      <c r="C180" s="3276"/>
      <c r="D180" s="3276"/>
      <c r="E180" s="3276"/>
      <c r="F180" s="3265">
        <v>0.05</v>
      </c>
      <c r="G180" s="3282"/>
    </row>
    <row r="181" spans="1:7">
      <c r="A181" s="3275" t="s">
        <v>29</v>
      </c>
      <c r="B181" s="3264" t="s">
        <v>3202</v>
      </c>
      <c r="C181" s="3276"/>
      <c r="D181" s="3276"/>
      <c r="E181" s="3276"/>
      <c r="F181" s="3265">
        <v>0.05</v>
      </c>
      <c r="G181" s="3282"/>
    </row>
    <row r="182" spans="1:7">
      <c r="A182" s="3275" t="s">
        <v>29</v>
      </c>
      <c r="B182" s="3264" t="s">
        <v>3203</v>
      </c>
      <c r="C182" s="3276"/>
      <c r="D182" s="3276"/>
      <c r="E182" s="3276"/>
      <c r="F182" s="3265">
        <v>0.05</v>
      </c>
      <c r="G182" s="3282"/>
    </row>
    <row r="183" spans="1:7">
      <c r="A183" s="3275" t="s">
        <v>29</v>
      </c>
      <c r="B183" s="3264" t="s">
        <v>3204</v>
      </c>
      <c r="C183" s="3276"/>
      <c r="D183" s="3276"/>
      <c r="E183" s="3276"/>
      <c r="F183" s="3265">
        <v>0.05</v>
      </c>
      <c r="G183" s="3282"/>
    </row>
    <row r="184" spans="1:7">
      <c r="A184" s="3275" t="s">
        <v>29</v>
      </c>
      <c r="B184" s="3264" t="s">
        <v>3205</v>
      </c>
      <c r="C184" s="3276"/>
      <c r="D184" s="3276"/>
      <c r="E184" s="3276"/>
      <c r="F184" s="3265">
        <v>0.05</v>
      </c>
      <c r="G184" s="3282"/>
    </row>
    <row r="185" spans="1:7">
      <c r="A185" s="3275" t="s">
        <v>29</v>
      </c>
      <c r="B185" s="3264" t="s">
        <v>3206</v>
      </c>
      <c r="C185" s="3276"/>
      <c r="D185" s="3276"/>
      <c r="E185" s="3276"/>
      <c r="F185" s="3265">
        <v>0.05</v>
      </c>
      <c r="G185" s="3282"/>
    </row>
    <row r="186" spans="1:7">
      <c r="A186" s="3275" t="s">
        <v>29</v>
      </c>
      <c r="B186" s="3264" t="s">
        <v>3207</v>
      </c>
      <c r="C186" s="3276"/>
      <c r="D186" s="3276"/>
      <c r="E186" s="3276"/>
      <c r="F186" s="3265">
        <v>0.05</v>
      </c>
      <c r="G186" s="3282"/>
    </row>
    <row r="187" spans="1:7">
      <c r="A187" s="3275" t="s">
        <v>29</v>
      </c>
      <c r="B187" s="3264" t="s">
        <v>3208</v>
      </c>
      <c r="C187" s="3276"/>
      <c r="D187" s="3276"/>
      <c r="E187" s="3276"/>
      <c r="F187" s="3265">
        <v>0.05</v>
      </c>
      <c r="G187" s="3282"/>
    </row>
    <row r="188" spans="1:7">
      <c r="A188" s="3275" t="s">
        <v>29</v>
      </c>
      <c r="B188" s="3264" t="s">
        <v>3209</v>
      </c>
      <c r="C188" s="3276"/>
      <c r="D188" s="3276"/>
      <c r="E188" s="3276"/>
      <c r="F188" s="3265">
        <v>0.05</v>
      </c>
      <c r="G188" s="3282"/>
    </row>
    <row r="189" spans="1:7" ht="14.25" thickBot="1">
      <c r="A189" s="3278" t="s">
        <v>29</v>
      </c>
      <c r="B189" s="3268" t="s">
        <v>3210</v>
      </c>
      <c r="C189" s="3270"/>
      <c r="D189" s="3270"/>
      <c r="E189" s="3270"/>
      <c r="F189" s="3269">
        <v>0.05</v>
      </c>
      <c r="G189" s="3283"/>
    </row>
    <row r="190" spans="1:7">
      <c r="A190" s="3274" t="s">
        <v>304</v>
      </c>
      <c r="B190" s="3260" t="s">
        <v>2866</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2902</v>
      </c>
      <c r="C199" s="3265">
        <v>0.13</v>
      </c>
      <c r="D199" s="3265">
        <v>0.13</v>
      </c>
      <c r="E199" s="3265">
        <v>0.13</v>
      </c>
      <c r="F199" s="3265">
        <v>0.13</v>
      </c>
      <c r="G199" s="3266">
        <v>0.13</v>
      </c>
    </row>
    <row r="200" spans="1:7">
      <c r="A200" s="3275" t="s">
        <v>304</v>
      </c>
      <c r="B200" s="3264" t="s">
        <v>2905</v>
      </c>
      <c r="C200" s="3281"/>
      <c r="D200" s="3281"/>
      <c r="E200" s="3281"/>
      <c r="F200" s="3265">
        <v>0.13</v>
      </c>
      <c r="G200" s="3277"/>
    </row>
    <row r="201" spans="1:7">
      <c r="A201" s="3275" t="s">
        <v>304</v>
      </c>
      <c r="B201" s="3264" t="s">
        <v>2910</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2913</v>
      </c>
      <c r="C203" s="3265">
        <v>0.129</v>
      </c>
      <c r="D203" s="3265">
        <v>0.129</v>
      </c>
      <c r="E203" s="3265">
        <v>0.13</v>
      </c>
      <c r="F203" s="3265">
        <v>0.13</v>
      </c>
      <c r="G203" s="3266">
        <v>0.13</v>
      </c>
    </row>
    <row r="204" spans="1:7">
      <c r="A204" s="3275" t="s">
        <v>304</v>
      </c>
      <c r="B204" s="3264" t="s">
        <v>2916</v>
      </c>
      <c r="C204" s="3265">
        <v>0.129</v>
      </c>
      <c r="D204" s="3265">
        <v>0.129</v>
      </c>
      <c r="E204" s="3265">
        <v>0.123</v>
      </c>
      <c r="F204" s="3265">
        <v>0.13</v>
      </c>
      <c r="G204" s="3266">
        <v>0.13</v>
      </c>
    </row>
    <row r="205" spans="1:7">
      <c r="A205" s="3275" t="s">
        <v>304</v>
      </c>
      <c r="B205" s="3264" t="s">
        <v>2918</v>
      </c>
      <c r="C205" s="3265">
        <v>0.13</v>
      </c>
      <c r="D205" s="3265">
        <v>0.13</v>
      </c>
      <c r="E205" s="3265">
        <v>0.13</v>
      </c>
      <c r="F205" s="3265">
        <v>0.13</v>
      </c>
      <c r="G205" s="3266">
        <v>0.13</v>
      </c>
    </row>
    <row r="206" spans="1:7">
      <c r="A206" s="3275" t="s">
        <v>304</v>
      </c>
      <c r="B206" s="3264" t="s">
        <v>2921</v>
      </c>
      <c r="C206" s="3265">
        <v>0.13</v>
      </c>
      <c r="D206" s="3265">
        <v>0.13</v>
      </c>
      <c r="E206" s="3265">
        <v>0.13</v>
      </c>
      <c r="F206" s="3265">
        <v>0.128</v>
      </c>
      <c r="G206" s="3266">
        <v>0.13</v>
      </c>
    </row>
    <row r="207" spans="1:7">
      <c r="A207" s="3275" t="s">
        <v>304</v>
      </c>
      <c r="B207" s="3264" t="s">
        <v>2923</v>
      </c>
      <c r="C207" s="3265">
        <v>0.13</v>
      </c>
      <c r="D207" s="3265">
        <v>0.13</v>
      </c>
      <c r="E207" s="3265">
        <v>0.13</v>
      </c>
      <c r="F207" s="3265">
        <v>0.13</v>
      </c>
      <c r="G207" s="3266">
        <v>0.13</v>
      </c>
    </row>
    <row r="208" spans="1:7">
      <c r="A208" s="3275" t="s">
        <v>304</v>
      </c>
      <c r="B208" s="3264" t="s">
        <v>2926</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2933</v>
      </c>
      <c r="C210" s="3265">
        <v>0.121</v>
      </c>
      <c r="D210" s="3265">
        <v>0.121</v>
      </c>
      <c r="E210" s="3265">
        <v>0.125</v>
      </c>
      <c r="F210" s="3265">
        <v>0.13</v>
      </c>
      <c r="G210" s="3266">
        <v>0.123</v>
      </c>
    </row>
    <row r="211" spans="1:7">
      <c r="A211" s="3275" t="s">
        <v>304</v>
      </c>
      <c r="B211" s="3264" t="s">
        <v>2936</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2948</v>
      </c>
      <c r="C214" s="3265">
        <v>0.128</v>
      </c>
      <c r="D214" s="3265">
        <v>0.128</v>
      </c>
      <c r="E214" s="3265">
        <v>0.13</v>
      </c>
      <c r="F214" s="3265">
        <v>0.13</v>
      </c>
      <c r="G214" s="3266">
        <v>0.13</v>
      </c>
    </row>
    <row r="215" spans="1:7">
      <c r="A215" s="3275" t="s">
        <v>304</v>
      </c>
      <c r="B215" s="3264" t="s">
        <v>2952</v>
      </c>
      <c r="C215" s="3265">
        <v>0.13</v>
      </c>
      <c r="D215" s="3265">
        <v>0.13</v>
      </c>
      <c r="E215" s="3265">
        <v>0.13</v>
      </c>
      <c r="F215" s="3265">
        <v>0.129</v>
      </c>
      <c r="G215" s="3266">
        <v>0.13</v>
      </c>
    </row>
    <row r="216" spans="1:7">
      <c r="A216" s="3275" t="s">
        <v>304</v>
      </c>
      <c r="B216" s="3264" t="s">
        <v>2959</v>
      </c>
      <c r="C216" s="3265">
        <v>0.13</v>
      </c>
      <c r="D216" s="3265">
        <v>0.13</v>
      </c>
      <c r="E216" s="3265">
        <v>0.13</v>
      </c>
      <c r="F216" s="3265">
        <v>0.13</v>
      </c>
      <c r="G216" s="3266">
        <v>0.13</v>
      </c>
    </row>
    <row r="217" spans="1:7">
      <c r="A217" s="3275" t="s">
        <v>304</v>
      </c>
      <c r="B217" s="3264" t="s">
        <v>2966</v>
      </c>
      <c r="C217" s="3265">
        <v>0.129</v>
      </c>
      <c r="D217" s="3265">
        <v>0.129</v>
      </c>
      <c r="E217" s="3265">
        <v>0.13</v>
      </c>
      <c r="F217" s="3265">
        <v>0.13</v>
      </c>
      <c r="G217" s="3266">
        <v>0.13</v>
      </c>
    </row>
    <row r="218" spans="1:7">
      <c r="A218" s="3275" t="s">
        <v>304</v>
      </c>
      <c r="B218" s="3264" t="s">
        <v>2972</v>
      </c>
      <c r="C218" s="3276"/>
      <c r="D218" s="3276"/>
      <c r="E218" s="3276"/>
      <c r="F218" s="3265">
        <v>0.05</v>
      </c>
      <c r="G218" s="3282"/>
    </row>
    <row r="219" spans="1:7">
      <c r="A219" s="3275" t="s">
        <v>304</v>
      </c>
      <c r="B219" s="3264" t="s">
        <v>2979</v>
      </c>
      <c r="C219" s="3276"/>
      <c r="D219" s="3276"/>
      <c r="E219" s="3276"/>
      <c r="F219" s="3265">
        <v>0.05</v>
      </c>
      <c r="G219" s="3282"/>
    </row>
    <row r="220" spans="1:7">
      <c r="A220" s="3275" t="s">
        <v>304</v>
      </c>
      <c r="B220" s="3264" t="s">
        <v>2985</v>
      </c>
      <c r="C220" s="3276"/>
      <c r="D220" s="3276"/>
      <c r="E220" s="3276"/>
      <c r="F220" s="3265">
        <v>0.05</v>
      </c>
      <c r="G220" s="3282"/>
    </row>
    <row r="221" spans="1:7">
      <c r="A221" s="3275" t="s">
        <v>304</v>
      </c>
      <c r="B221" s="3264" t="s">
        <v>2990</v>
      </c>
      <c r="C221" s="3276"/>
      <c r="D221" s="3276"/>
      <c r="E221" s="3276"/>
      <c r="F221" s="3265">
        <v>0.05</v>
      </c>
      <c r="G221" s="3282"/>
    </row>
    <row r="222" spans="1:7">
      <c r="A222" s="3275" t="s">
        <v>304</v>
      </c>
      <c r="B222" s="3264" t="s">
        <v>2994</v>
      </c>
      <c r="C222" s="3276"/>
      <c r="D222" s="3276"/>
      <c r="E222" s="3276"/>
      <c r="F222" s="3265">
        <v>0.05</v>
      </c>
      <c r="G222" s="3282"/>
    </row>
    <row r="223" spans="1:7">
      <c r="A223" s="3275" t="s">
        <v>304</v>
      </c>
      <c r="B223" s="3264" t="s">
        <v>2999</v>
      </c>
      <c r="C223" s="3276"/>
      <c r="D223" s="3276"/>
      <c r="E223" s="3276"/>
      <c r="F223" s="3265">
        <v>0.05</v>
      </c>
      <c r="G223" s="3282"/>
    </row>
    <row r="224" spans="1:7">
      <c r="A224" s="3275" t="s">
        <v>304</v>
      </c>
      <c r="B224" s="3264" t="s">
        <v>3004</v>
      </c>
      <c r="C224" s="3276"/>
      <c r="D224" s="3276"/>
      <c r="E224" s="3276"/>
      <c r="F224" s="3265">
        <v>0.05</v>
      </c>
      <c r="G224" s="3282"/>
    </row>
    <row r="225" spans="1:7">
      <c r="A225" s="3275" t="s">
        <v>304</v>
      </c>
      <c r="B225" s="3264" t="s">
        <v>3009</v>
      </c>
      <c r="C225" s="3276"/>
      <c r="D225" s="3276"/>
      <c r="E225" s="3276"/>
      <c r="F225" s="3265">
        <v>0.05</v>
      </c>
      <c r="G225" s="3282"/>
    </row>
    <row r="226" spans="1:7">
      <c r="A226" s="3275" t="s">
        <v>304</v>
      </c>
      <c r="B226" s="3264" t="s">
        <v>3211</v>
      </c>
      <c r="C226" s="3276"/>
      <c r="D226" s="3276"/>
      <c r="E226" s="3276"/>
      <c r="F226" s="3265">
        <v>0.05</v>
      </c>
      <c r="G226" s="3282"/>
    </row>
    <row r="227" spans="1:7">
      <c r="A227" s="3275" t="s">
        <v>304</v>
      </c>
      <c r="B227" s="3264" t="s">
        <v>3212</v>
      </c>
      <c r="C227" s="3276"/>
      <c r="D227" s="3276"/>
      <c r="E227" s="3276"/>
      <c r="F227" s="3265">
        <v>0.05</v>
      </c>
      <c r="G227" s="3282"/>
    </row>
    <row r="228" spans="1:7">
      <c r="A228" s="3275" t="s">
        <v>304</v>
      </c>
      <c r="B228" s="3264" t="s">
        <v>3213</v>
      </c>
      <c r="C228" s="3276"/>
      <c r="D228" s="3276"/>
      <c r="E228" s="3276"/>
      <c r="F228" s="3265">
        <v>0.05</v>
      </c>
      <c r="G228" s="3282"/>
    </row>
    <row r="229" spans="1:7">
      <c r="A229" s="3275" t="s">
        <v>304</v>
      </c>
      <c r="B229" s="3264" t="s">
        <v>3214</v>
      </c>
      <c r="C229" s="3276"/>
      <c r="D229" s="3276"/>
      <c r="E229" s="3276"/>
      <c r="F229" s="3265">
        <v>0.05</v>
      </c>
      <c r="G229" s="3282"/>
    </row>
    <row r="230" spans="1:7">
      <c r="A230" s="3275" t="s">
        <v>304</v>
      </c>
      <c r="B230" s="3264" t="s">
        <v>3215</v>
      </c>
      <c r="C230" s="3276"/>
      <c r="D230" s="3276"/>
      <c r="E230" s="3276"/>
      <c r="F230" s="3265">
        <v>0.05</v>
      </c>
      <c r="G230" s="3282"/>
    </row>
    <row r="231" spans="1:7">
      <c r="A231" s="3275" t="s">
        <v>304</v>
      </c>
      <c r="B231" s="3264" t="s">
        <v>3216</v>
      </c>
      <c r="C231" s="3276"/>
      <c r="D231" s="3276"/>
      <c r="E231" s="3276"/>
      <c r="F231" s="3265">
        <v>0.05</v>
      </c>
      <c r="G231" s="3282"/>
    </row>
    <row r="232" spans="1:7">
      <c r="A232" s="3275" t="s">
        <v>304</v>
      </c>
      <c r="B232" s="3264" t="s">
        <v>3217</v>
      </c>
      <c r="C232" s="3276"/>
      <c r="D232" s="3276"/>
      <c r="E232" s="3276"/>
      <c r="F232" s="3265">
        <v>0.05</v>
      </c>
      <c r="G232" s="3282"/>
    </row>
    <row r="233" spans="1:7" ht="14.25" thickBot="1">
      <c r="A233" s="3278" t="s">
        <v>304</v>
      </c>
      <c r="B233" s="3268" t="s">
        <v>3218</v>
      </c>
      <c r="C233" s="3270"/>
      <c r="D233" s="3270"/>
      <c r="E233" s="3270"/>
      <c r="F233" s="3269">
        <v>0.05</v>
      </c>
      <c r="G233" s="3283"/>
    </row>
    <row r="234" spans="1:7">
      <c r="A234" s="3274" t="s">
        <v>305</v>
      </c>
      <c r="B234" s="3260" t="s">
        <v>2867</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2887</v>
      </c>
      <c r="C238" s="3265">
        <v>0.14899999999999999</v>
      </c>
      <c r="D238" s="3265">
        <v>0.14899999999999999</v>
      </c>
      <c r="E238" s="3265">
        <v>0.15</v>
      </c>
      <c r="F238" s="3265">
        <v>0.15</v>
      </c>
      <c r="G238" s="3266">
        <v>0.15</v>
      </c>
    </row>
    <row r="239" spans="1:7">
      <c r="A239" s="3275" t="s">
        <v>305</v>
      </c>
      <c r="B239" s="3264" t="s">
        <v>2891</v>
      </c>
      <c r="C239" s="3265">
        <v>0.15</v>
      </c>
      <c r="D239" s="3265">
        <v>0.15</v>
      </c>
      <c r="E239" s="3265">
        <v>0.15</v>
      </c>
      <c r="F239" s="3265">
        <v>0.15</v>
      </c>
      <c r="G239" s="3266">
        <v>0.15</v>
      </c>
    </row>
    <row r="240" spans="1:7">
      <c r="A240" s="3275" t="s">
        <v>305</v>
      </c>
      <c r="B240" s="3264" t="s">
        <v>2896</v>
      </c>
      <c r="C240" s="3265">
        <v>0.15</v>
      </c>
      <c r="D240" s="3265">
        <v>0.15</v>
      </c>
      <c r="E240" s="3265">
        <v>0.15</v>
      </c>
      <c r="F240" s="3265">
        <v>0.15</v>
      </c>
      <c r="G240" s="3266">
        <v>0.15</v>
      </c>
    </row>
    <row r="241" spans="1:7">
      <c r="A241" s="3275" t="s">
        <v>305</v>
      </c>
      <c r="B241" s="3264" t="s">
        <v>2900</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2906</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2914</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2919</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2927</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2940</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2949</v>
      </c>
      <c r="C258" s="3265">
        <v>0.14299999999999999</v>
      </c>
      <c r="D258" s="3265">
        <v>0.14299999999999999</v>
      </c>
      <c r="E258" s="3265">
        <v>0.15</v>
      </c>
      <c r="F258" s="3265">
        <v>0.14799999999999999</v>
      </c>
      <c r="G258" s="3266">
        <v>0.14599999999999999</v>
      </c>
    </row>
    <row r="259" spans="1:7">
      <c r="A259" s="3275" t="s">
        <v>305</v>
      </c>
      <c r="B259" s="3264" t="s">
        <v>2953</v>
      </c>
      <c r="C259" s="3265">
        <v>0.14399999999999999</v>
      </c>
      <c r="D259" s="3265">
        <v>0.14399999999999999</v>
      </c>
      <c r="E259" s="3265">
        <v>0.14899999999999999</v>
      </c>
      <c r="F259" s="3265">
        <v>0.14699999999999999</v>
      </c>
      <c r="G259" s="3266">
        <v>0.14599999999999999</v>
      </c>
    </row>
    <row r="260" spans="1:7">
      <c r="A260" s="3275" t="s">
        <v>305</v>
      </c>
      <c r="B260" s="3264" t="s">
        <v>2960</v>
      </c>
      <c r="C260" s="3265">
        <v>0.109</v>
      </c>
      <c r="D260" s="3265">
        <v>0.111</v>
      </c>
      <c r="E260" s="3265">
        <v>0.13100000000000001</v>
      </c>
      <c r="F260" s="3265">
        <v>0.126</v>
      </c>
      <c r="G260" s="3266">
        <v>0.11899999999999999</v>
      </c>
    </row>
    <row r="261" spans="1:7">
      <c r="A261" s="3275" t="s">
        <v>305</v>
      </c>
      <c r="B261" s="3264" t="s">
        <v>2967</v>
      </c>
      <c r="C261" s="3265">
        <v>0.1</v>
      </c>
      <c r="D261" s="3265">
        <v>0.1</v>
      </c>
      <c r="E261" s="3265">
        <v>0.11799999999999999</v>
      </c>
      <c r="F261" s="3265">
        <v>0.108</v>
      </c>
      <c r="G261" s="3266">
        <v>0.107</v>
      </c>
    </row>
    <row r="262" spans="1:7">
      <c r="A262" s="3275" t="s">
        <v>305</v>
      </c>
      <c r="B262" s="3264" t="s">
        <v>2973</v>
      </c>
      <c r="C262" s="3265">
        <v>0.1</v>
      </c>
      <c r="D262" s="3265">
        <v>0.1</v>
      </c>
      <c r="E262" s="3265">
        <v>0.1</v>
      </c>
      <c r="F262" s="3265">
        <v>0.14099999999999999</v>
      </c>
      <c r="G262" s="3266">
        <v>0.1</v>
      </c>
    </row>
    <row r="263" spans="1:7">
      <c r="A263" s="3275" t="s">
        <v>305</v>
      </c>
      <c r="B263" s="3264" t="s">
        <v>2980</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2991</v>
      </c>
      <c r="C265" s="3276"/>
      <c r="D265" s="3276"/>
      <c r="E265" s="3276"/>
      <c r="F265" s="3265">
        <v>0.05</v>
      </c>
      <c r="G265" s="3282"/>
    </row>
    <row r="266" spans="1:7">
      <c r="A266" s="3275" t="s">
        <v>305</v>
      </c>
      <c r="B266" s="3264" t="s">
        <v>2995</v>
      </c>
      <c r="C266" s="3276"/>
      <c r="D266" s="3276"/>
      <c r="E266" s="3276"/>
      <c r="F266" s="3265">
        <v>0.05</v>
      </c>
      <c r="G266" s="3282"/>
    </row>
    <row r="267" spans="1:7">
      <c r="A267" s="3275" t="s">
        <v>305</v>
      </c>
      <c r="B267" s="3264" t="s">
        <v>3000</v>
      </c>
      <c r="C267" s="3276"/>
      <c r="D267" s="3276"/>
      <c r="E267" s="3276"/>
      <c r="F267" s="3265">
        <v>0.05</v>
      </c>
      <c r="G267" s="3282"/>
    </row>
    <row r="268" spans="1:7">
      <c r="A268" s="3275" t="s">
        <v>305</v>
      </c>
      <c r="B268" s="3264" t="s">
        <v>3005</v>
      </c>
      <c r="C268" s="3276"/>
      <c r="D268" s="3276"/>
      <c r="E268" s="3276"/>
      <c r="F268" s="3265">
        <v>0.05</v>
      </c>
      <c r="G268" s="3282"/>
    </row>
    <row r="269" spans="1:7">
      <c r="A269" s="3275" t="s">
        <v>305</v>
      </c>
      <c r="B269" s="3264" t="s">
        <v>3010</v>
      </c>
      <c r="C269" s="3276"/>
      <c r="D269" s="3276"/>
      <c r="E269" s="3276"/>
      <c r="F269" s="3265">
        <v>0.05</v>
      </c>
      <c r="G269" s="3282"/>
    </row>
    <row r="270" spans="1:7">
      <c r="A270" s="3275" t="s">
        <v>305</v>
      </c>
      <c r="B270" s="3264" t="s">
        <v>3015</v>
      </c>
      <c r="C270" s="3276"/>
      <c r="D270" s="3276"/>
      <c r="E270" s="3276"/>
      <c r="F270" s="3265">
        <v>0.05</v>
      </c>
      <c r="G270" s="3282"/>
    </row>
    <row r="271" spans="1:7">
      <c r="A271" s="3275" t="s">
        <v>305</v>
      </c>
      <c r="B271" s="3264" t="s">
        <v>3219</v>
      </c>
      <c r="C271" s="3276"/>
      <c r="D271" s="3276"/>
      <c r="E271" s="3276"/>
      <c r="F271" s="3265">
        <v>0.05</v>
      </c>
      <c r="G271" s="3282"/>
    </row>
    <row r="272" spans="1:7">
      <c r="A272" s="3275" t="s">
        <v>305</v>
      </c>
      <c r="B272" s="3264" t="s">
        <v>3220</v>
      </c>
      <c r="C272" s="3276"/>
      <c r="D272" s="3276"/>
      <c r="E272" s="3276"/>
      <c r="F272" s="3265">
        <v>0.05</v>
      </c>
      <c r="G272" s="3282"/>
    </row>
    <row r="273" spans="1:7">
      <c r="A273" s="3275" t="s">
        <v>305</v>
      </c>
      <c r="B273" s="3264" t="s">
        <v>3221</v>
      </c>
      <c r="C273" s="3276"/>
      <c r="D273" s="3276"/>
      <c r="E273" s="3276"/>
      <c r="F273" s="3265">
        <v>0.05</v>
      </c>
      <c r="G273" s="3282"/>
    </row>
    <row r="274" spans="1:7">
      <c r="A274" s="3275" t="s">
        <v>305</v>
      </c>
      <c r="B274" s="3264" t="s">
        <v>3222</v>
      </c>
      <c r="C274" s="3276"/>
      <c r="D274" s="3276"/>
      <c r="E274" s="3276"/>
      <c r="F274" s="3265">
        <v>0.05</v>
      </c>
      <c r="G274" s="3282"/>
    </row>
    <row r="275" spans="1:7">
      <c r="A275" s="3275" t="s">
        <v>305</v>
      </c>
      <c r="B275" s="3264" t="s">
        <v>3223</v>
      </c>
      <c r="C275" s="3276"/>
      <c r="D275" s="3276"/>
      <c r="E275" s="3276"/>
      <c r="F275" s="3265">
        <v>0.05</v>
      </c>
      <c r="G275" s="3282"/>
    </row>
    <row r="276" spans="1:7" ht="14.25" thickBot="1">
      <c r="A276" s="3278" t="s">
        <v>305</v>
      </c>
      <c r="B276" s="3268" t="s">
        <v>3224</v>
      </c>
      <c r="C276" s="3270"/>
      <c r="D276" s="3270"/>
      <c r="E276" s="3270"/>
      <c r="F276" s="3269">
        <v>0.05</v>
      </c>
      <c r="G276" s="3283"/>
    </row>
    <row r="277" spans="1:7">
      <c r="A277" s="3274" t="s">
        <v>306</v>
      </c>
      <c r="B277" s="3260" t="s">
        <v>2868</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2880</v>
      </c>
      <c r="C279" s="3265">
        <v>0.15</v>
      </c>
      <c r="D279" s="3265">
        <v>0.15</v>
      </c>
      <c r="E279" s="3265">
        <v>0.15</v>
      </c>
      <c r="F279" s="3265">
        <v>0.15</v>
      </c>
      <c r="G279" s="3266">
        <v>0.15</v>
      </c>
    </row>
    <row r="280" spans="1:7">
      <c r="A280" s="3275" t="s">
        <v>306</v>
      </c>
      <c r="B280" s="3264" t="s">
        <v>2884</v>
      </c>
      <c r="C280" s="3265">
        <v>0.15</v>
      </c>
      <c r="D280" s="3265">
        <v>0.15</v>
      </c>
      <c r="E280" s="3265">
        <v>0.15</v>
      </c>
      <c r="F280" s="3265">
        <v>0.15</v>
      </c>
      <c r="G280" s="3266">
        <v>0.15</v>
      </c>
    </row>
    <row r="281" spans="1:7">
      <c r="A281" s="3275" t="s">
        <v>306</v>
      </c>
      <c r="B281" s="3264" t="s">
        <v>2888</v>
      </c>
      <c r="C281" s="3265">
        <v>0.15</v>
      </c>
      <c r="D281" s="3265">
        <v>0.15</v>
      </c>
      <c r="E281" s="3265">
        <v>0.15</v>
      </c>
      <c r="F281" s="3265">
        <v>0.15</v>
      </c>
      <c r="G281" s="3266">
        <v>0.15</v>
      </c>
    </row>
    <row r="282" spans="1:7">
      <c r="A282" s="3275" t="s">
        <v>306</v>
      </c>
      <c r="B282" s="3264" t="s">
        <v>2892</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2907</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2912</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2922</v>
      </c>
      <c r="C293" s="3265">
        <v>0.15</v>
      </c>
      <c r="D293" s="3265">
        <v>0.15</v>
      </c>
      <c r="E293" s="3265">
        <v>0.15</v>
      </c>
      <c r="F293" s="3265">
        <v>0.14499999999999999</v>
      </c>
      <c r="G293" s="3266">
        <v>0.15</v>
      </c>
    </row>
    <row r="294" spans="1:7">
      <c r="A294" s="3275" t="s">
        <v>306</v>
      </c>
      <c r="B294" s="3264" t="s">
        <v>2924</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2941</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2954</v>
      </c>
      <c r="C302" s="3265">
        <v>0.15</v>
      </c>
      <c r="D302" s="3265">
        <v>0.15</v>
      </c>
      <c r="E302" s="3265">
        <v>0.15</v>
      </c>
      <c r="F302" s="3265">
        <v>0.14699999999999999</v>
      </c>
      <c r="G302" s="3266">
        <v>0.15</v>
      </c>
    </row>
    <row r="303" spans="1:7">
      <c r="A303" s="3275" t="s">
        <v>306</v>
      </c>
      <c r="B303" s="3264" t="s">
        <v>2961</v>
      </c>
      <c r="C303" s="3265">
        <v>0.15</v>
      </c>
      <c r="D303" s="3265">
        <v>0.15</v>
      </c>
      <c r="E303" s="3265">
        <v>0.15</v>
      </c>
      <c r="F303" s="3265">
        <v>0.14199999999999999</v>
      </c>
      <c r="G303" s="3266">
        <v>0.15</v>
      </c>
    </row>
    <row r="304" spans="1:7">
      <c r="A304" s="3275" t="s">
        <v>306</v>
      </c>
      <c r="B304" s="3264" t="s">
        <v>2968</v>
      </c>
      <c r="C304" s="3265">
        <v>0.15</v>
      </c>
      <c r="D304" s="3265">
        <v>0.15</v>
      </c>
      <c r="E304" s="3265">
        <v>0.15</v>
      </c>
      <c r="F304" s="3265">
        <v>0.14499999999999999</v>
      </c>
      <c r="G304" s="3266">
        <v>0.15</v>
      </c>
    </row>
    <row r="305" spans="1:7">
      <c r="A305" s="3275" t="s">
        <v>306</v>
      </c>
      <c r="B305" s="3264" t="s">
        <v>2974</v>
      </c>
      <c r="C305" s="3265">
        <v>0.15</v>
      </c>
      <c r="D305" s="3265">
        <v>0.15</v>
      </c>
      <c r="E305" s="3265">
        <v>0.15</v>
      </c>
      <c r="F305" s="3265">
        <v>0.111</v>
      </c>
      <c r="G305" s="3266">
        <v>0.15</v>
      </c>
    </row>
    <row r="306" spans="1:7">
      <c r="A306" s="3275" t="s">
        <v>306</v>
      </c>
      <c r="B306" s="3264" t="s">
        <v>2981</v>
      </c>
      <c r="C306" s="3265">
        <v>0.15</v>
      </c>
      <c r="D306" s="3265">
        <v>0.15</v>
      </c>
      <c r="E306" s="3265">
        <v>0.15</v>
      </c>
      <c r="F306" s="3265">
        <v>0.126</v>
      </c>
      <c r="G306" s="3266">
        <v>0.15</v>
      </c>
    </row>
    <row r="307" spans="1:7">
      <c r="A307" s="3275" t="s">
        <v>306</v>
      </c>
      <c r="B307" s="3264" t="s">
        <v>2986</v>
      </c>
      <c r="C307" s="3265">
        <v>0.15</v>
      </c>
      <c r="D307" s="3265">
        <v>0.15</v>
      </c>
      <c r="E307" s="3265">
        <v>0.15</v>
      </c>
      <c r="F307" s="3265">
        <v>0.12</v>
      </c>
      <c r="G307" s="3266">
        <v>0.15</v>
      </c>
    </row>
    <row r="308" spans="1:7">
      <c r="A308" s="3275" t="s">
        <v>306</v>
      </c>
      <c r="B308" s="3264" t="s">
        <v>2992</v>
      </c>
      <c r="C308" s="3265">
        <v>0.15</v>
      </c>
      <c r="D308" s="3265">
        <v>0.15</v>
      </c>
      <c r="E308" s="3265">
        <v>0.15</v>
      </c>
      <c r="F308" s="3265">
        <v>0.13</v>
      </c>
      <c r="G308" s="3266">
        <v>0.15</v>
      </c>
    </row>
    <row r="309" spans="1:7">
      <c r="A309" s="3275" t="s">
        <v>306</v>
      </c>
      <c r="B309" s="3264" t="s">
        <v>2996</v>
      </c>
      <c r="C309" s="3265">
        <v>0.15</v>
      </c>
      <c r="D309" s="3265">
        <v>0.15</v>
      </c>
      <c r="E309" s="3265">
        <v>0.15</v>
      </c>
      <c r="F309" s="3265">
        <v>0.14099999999999999</v>
      </c>
      <c r="G309" s="3266">
        <v>0.15</v>
      </c>
    </row>
    <row r="310" spans="1:7">
      <c r="A310" s="3275" t="s">
        <v>306</v>
      </c>
      <c r="B310" s="3264" t="s">
        <v>3001</v>
      </c>
      <c r="C310" s="3265">
        <v>0.15</v>
      </c>
      <c r="D310" s="3265">
        <v>0.15</v>
      </c>
      <c r="E310" s="3265">
        <v>0.15</v>
      </c>
      <c r="F310" s="3265">
        <v>0.15</v>
      </c>
      <c r="G310" s="3266">
        <v>0.15</v>
      </c>
    </row>
    <row r="311" spans="1:7">
      <c r="A311" s="3275" t="s">
        <v>306</v>
      </c>
      <c r="B311" s="3264" t="s">
        <v>3006</v>
      </c>
      <c r="C311" s="3265">
        <v>0.13200000000000001</v>
      </c>
      <c r="D311" s="3265">
        <v>0.13300000000000001</v>
      </c>
      <c r="E311" s="3265">
        <v>0.14499999999999999</v>
      </c>
      <c r="F311" s="3265">
        <v>0.14199999999999999</v>
      </c>
      <c r="G311" s="3266">
        <v>0.14000000000000001</v>
      </c>
    </row>
    <row r="312" spans="1:7">
      <c r="A312" s="3275" t="s">
        <v>306</v>
      </c>
      <c r="B312" s="3264" t="s">
        <v>3011</v>
      </c>
      <c r="C312" s="3265">
        <v>0.13800000000000001</v>
      </c>
      <c r="D312" s="3265">
        <v>0.14000000000000001</v>
      </c>
      <c r="E312" s="3265">
        <v>0.14599999999999999</v>
      </c>
      <c r="F312" s="3265">
        <v>0.14899999999999999</v>
      </c>
      <c r="G312" s="3266">
        <v>0.14199999999999999</v>
      </c>
    </row>
    <row r="313" spans="1:7">
      <c r="A313" s="3275" t="s">
        <v>306</v>
      </c>
      <c r="B313" s="3264" t="s">
        <v>3016</v>
      </c>
      <c r="C313" s="3265">
        <v>0.125</v>
      </c>
      <c r="D313" s="3265">
        <v>0.127</v>
      </c>
      <c r="E313" s="3265">
        <v>0.14399999999999999</v>
      </c>
      <c r="F313" s="3265">
        <v>0.115</v>
      </c>
      <c r="G313" s="3266">
        <v>0.13600000000000001</v>
      </c>
    </row>
    <row r="314" spans="1:7">
      <c r="A314" s="3275" t="s">
        <v>306</v>
      </c>
      <c r="B314" s="3264" t="s">
        <v>3225</v>
      </c>
      <c r="C314" s="3281"/>
      <c r="D314" s="3281"/>
      <c r="E314" s="3281"/>
      <c r="F314" s="3265">
        <v>0.05</v>
      </c>
      <c r="G314" s="3282"/>
    </row>
    <row r="315" spans="1:7">
      <c r="A315" s="3275" t="s">
        <v>306</v>
      </c>
      <c r="B315" s="3264" t="s">
        <v>3226</v>
      </c>
      <c r="C315" s="3281"/>
      <c r="D315" s="3281"/>
      <c r="E315" s="3281"/>
      <c r="F315" s="3265">
        <v>0.05</v>
      </c>
      <c r="G315" s="3282"/>
    </row>
    <row r="316" spans="1:7">
      <c r="A316" s="3275" t="s">
        <v>306</v>
      </c>
      <c r="B316" s="3264" t="s">
        <v>3227</v>
      </c>
      <c r="C316" s="3276"/>
      <c r="D316" s="3276"/>
      <c r="E316" s="3276"/>
      <c r="F316" s="3265">
        <v>0.05</v>
      </c>
      <c r="G316" s="3282"/>
    </row>
    <row r="317" spans="1:7">
      <c r="A317" s="3275" t="s">
        <v>306</v>
      </c>
      <c r="B317" s="3264" t="s">
        <v>3228</v>
      </c>
      <c r="C317" s="3276"/>
      <c r="D317" s="3276"/>
      <c r="E317" s="3276"/>
      <c r="F317" s="3265">
        <v>0.05</v>
      </c>
      <c r="G317" s="3282"/>
    </row>
    <row r="318" spans="1:7">
      <c r="A318" s="3275" t="s">
        <v>306</v>
      </c>
      <c r="B318" s="3264" t="s">
        <v>3229</v>
      </c>
      <c r="C318" s="3276"/>
      <c r="D318" s="3276"/>
      <c r="E318" s="3276"/>
      <c r="F318" s="3265">
        <v>0.05</v>
      </c>
      <c r="G318" s="3282"/>
    </row>
    <row r="319" spans="1:7">
      <c r="A319" s="3275" t="s">
        <v>306</v>
      </c>
      <c r="B319" s="3264" t="s">
        <v>3230</v>
      </c>
      <c r="C319" s="3276"/>
      <c r="D319" s="3276"/>
      <c r="E319" s="3276"/>
      <c r="F319" s="3265">
        <v>0.05</v>
      </c>
      <c r="G319" s="3282"/>
    </row>
    <row r="320" spans="1:7">
      <c r="A320" s="3275" t="s">
        <v>306</v>
      </c>
      <c r="B320" s="3264" t="s">
        <v>3231</v>
      </c>
      <c r="C320" s="3276"/>
      <c r="D320" s="3276"/>
      <c r="E320" s="3276"/>
      <c r="F320" s="3265">
        <v>0.05</v>
      </c>
      <c r="G320" s="3282"/>
    </row>
    <row r="321" spans="1:7">
      <c r="A321" s="3275" t="s">
        <v>306</v>
      </c>
      <c r="B321" s="3264" t="s">
        <v>3232</v>
      </c>
      <c r="C321" s="3276"/>
      <c r="D321" s="3276"/>
      <c r="E321" s="3276"/>
      <c r="F321" s="3265">
        <v>0.05</v>
      </c>
      <c r="G321" s="3282"/>
    </row>
    <row r="322" spans="1:7">
      <c r="A322" s="3275" t="s">
        <v>306</v>
      </c>
      <c r="B322" s="3264" t="s">
        <v>3233</v>
      </c>
      <c r="C322" s="3276"/>
      <c r="D322" s="3276"/>
      <c r="E322" s="3276"/>
      <c r="F322" s="3265">
        <v>0.05</v>
      </c>
      <c r="G322" s="3282"/>
    </row>
    <row r="323" spans="1:7">
      <c r="A323" s="3275" t="s">
        <v>306</v>
      </c>
      <c r="B323" s="3264" t="s">
        <v>3234</v>
      </c>
      <c r="C323" s="3276"/>
      <c r="D323" s="3276"/>
      <c r="E323" s="3276"/>
      <c r="F323" s="3265">
        <v>0.05</v>
      </c>
      <c r="G323" s="3282"/>
    </row>
    <row r="324" spans="1:7">
      <c r="A324" s="3275" t="s">
        <v>306</v>
      </c>
      <c r="B324" s="3264" t="s">
        <v>3235</v>
      </c>
      <c r="C324" s="3276"/>
      <c r="D324" s="3276"/>
      <c r="E324" s="3276"/>
      <c r="F324" s="3265">
        <v>0.05</v>
      </c>
      <c r="G324" s="3282"/>
    </row>
    <row r="325" spans="1:7">
      <c r="A325" s="3275" t="s">
        <v>306</v>
      </c>
      <c r="B325" s="3264" t="s">
        <v>3236</v>
      </c>
      <c r="C325" s="3276"/>
      <c r="D325" s="3276"/>
      <c r="E325" s="3276"/>
      <c r="F325" s="3265">
        <v>0.05</v>
      </c>
      <c r="G325" s="3282"/>
    </row>
    <row r="326" spans="1:7" ht="14.25" thickBot="1">
      <c r="A326" s="3278" t="s">
        <v>306</v>
      </c>
      <c r="B326" s="3268" t="s">
        <v>3237</v>
      </c>
      <c r="C326" s="3270"/>
      <c r="D326" s="3270"/>
      <c r="E326" s="3270"/>
      <c r="F326" s="3269">
        <v>0.05</v>
      </c>
      <c r="G326" s="3283"/>
    </row>
    <row r="327" spans="1:7">
      <c r="A327" s="3274" t="s">
        <v>307</v>
      </c>
      <c r="B327" s="3260" t="s">
        <v>2869</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2881</v>
      </c>
      <c r="C329" s="3265">
        <v>0.15</v>
      </c>
      <c r="D329" s="3265">
        <v>0.15</v>
      </c>
      <c r="E329" s="3265">
        <v>0.15</v>
      </c>
      <c r="F329" s="3265">
        <v>0.15</v>
      </c>
      <c r="G329" s="3266">
        <v>0.15</v>
      </c>
    </row>
    <row r="330" spans="1:7">
      <c r="A330" s="3275" t="s">
        <v>307</v>
      </c>
      <c r="B330" s="3264" t="s">
        <v>2885</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2893</v>
      </c>
      <c r="C332" s="3265">
        <v>0.15</v>
      </c>
      <c r="D332" s="3265">
        <v>0.15</v>
      </c>
      <c r="E332" s="3265">
        <v>0.15</v>
      </c>
      <c r="F332" s="3265">
        <v>0.15</v>
      </c>
      <c r="G332" s="3266">
        <v>0.15</v>
      </c>
    </row>
    <row r="333" spans="1:7">
      <c r="A333" s="3275" t="s">
        <v>307</v>
      </c>
      <c r="B333" s="3264" t="s">
        <v>2897</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2903</v>
      </c>
      <c r="C336" s="3265">
        <v>0.15</v>
      </c>
      <c r="D336" s="3265">
        <v>0.15</v>
      </c>
      <c r="E336" s="3265">
        <v>0.15</v>
      </c>
      <c r="F336" s="3265">
        <v>0.14199999999999999</v>
      </c>
      <c r="G336" s="3266">
        <v>0.15</v>
      </c>
    </row>
    <row r="337" spans="1:7">
      <c r="A337" s="3275" t="s">
        <v>307</v>
      </c>
      <c r="B337" s="3264" t="s">
        <v>2908</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2915</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2920</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2928</v>
      </c>
      <c r="C345" s="3265">
        <v>0.15</v>
      </c>
      <c r="D345" s="3265">
        <v>0.15</v>
      </c>
      <c r="E345" s="3265">
        <v>0.15</v>
      </c>
      <c r="F345" s="3265">
        <v>0.13800000000000001</v>
      </c>
      <c r="G345" s="3266">
        <v>0.15</v>
      </c>
    </row>
    <row r="346" spans="1:7">
      <c r="A346" s="3275" t="s">
        <v>307</v>
      </c>
      <c r="B346" s="3264" t="s">
        <v>2930</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2937</v>
      </c>
      <c r="C348" s="3265">
        <v>0.15</v>
      </c>
      <c r="D348" s="3265">
        <v>0.15</v>
      </c>
      <c r="E348" s="3265">
        <v>0.15</v>
      </c>
      <c r="F348" s="3265">
        <v>0.14399999999999999</v>
      </c>
      <c r="G348" s="3266">
        <v>0.15</v>
      </c>
    </row>
    <row r="349" spans="1:7">
      <c r="A349" s="3275" t="s">
        <v>307</v>
      </c>
      <c r="B349" s="3264" t="s">
        <v>2942</v>
      </c>
      <c r="C349" s="3265">
        <v>0.15</v>
      </c>
      <c r="D349" s="3265">
        <v>0.15</v>
      </c>
      <c r="E349" s="3265">
        <v>0.15</v>
      </c>
      <c r="F349" s="3265">
        <v>0.15</v>
      </c>
      <c r="G349" s="3266">
        <v>0.15</v>
      </c>
    </row>
    <row r="350" spans="1:7">
      <c r="A350" s="3275" t="s">
        <v>307</v>
      </c>
      <c r="B350" s="3264" t="s">
        <v>2945</v>
      </c>
      <c r="C350" s="3265">
        <v>0.15</v>
      </c>
      <c r="D350" s="3265">
        <v>0.15</v>
      </c>
      <c r="E350" s="3265">
        <v>0.15</v>
      </c>
      <c r="F350" s="3265">
        <v>0.14699999999999999</v>
      </c>
      <c r="G350" s="3266">
        <v>0.15</v>
      </c>
    </row>
    <row r="351" spans="1:7">
      <c r="A351" s="3275" t="s">
        <v>307</v>
      </c>
      <c r="B351" s="3264" t="s">
        <v>2950</v>
      </c>
      <c r="C351" s="3265">
        <v>0.15</v>
      </c>
      <c r="D351" s="3265">
        <v>0.15</v>
      </c>
      <c r="E351" s="3265">
        <v>0.15</v>
      </c>
      <c r="F351" s="3265">
        <v>0.13</v>
      </c>
      <c r="G351" s="3266">
        <v>0.15</v>
      </c>
    </row>
    <row r="352" spans="1:7">
      <c r="A352" s="3275" t="s">
        <v>307</v>
      </c>
      <c r="B352" s="3264" t="s">
        <v>2955</v>
      </c>
      <c r="C352" s="3265">
        <v>0.15</v>
      </c>
      <c r="D352" s="3265">
        <v>0.15</v>
      </c>
      <c r="E352" s="3265">
        <v>0.15</v>
      </c>
      <c r="F352" s="3265">
        <v>0.14599999999999999</v>
      </c>
      <c r="G352" s="3266">
        <v>0.15</v>
      </c>
    </row>
    <row r="353" spans="1:7">
      <c r="A353" s="3275" t="s">
        <v>307</v>
      </c>
      <c r="B353" s="3264" t="s">
        <v>2962</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2975</v>
      </c>
      <c r="C355" s="3265">
        <v>0.15</v>
      </c>
      <c r="D355" s="3265">
        <v>0.15</v>
      </c>
      <c r="E355" s="3265">
        <v>0.15</v>
      </c>
      <c r="F355" s="3265">
        <v>0.15</v>
      </c>
      <c r="G355" s="3266">
        <v>0.15</v>
      </c>
    </row>
    <row r="356" spans="1:7">
      <c r="A356" s="3275" t="s">
        <v>307</v>
      </c>
      <c r="B356" s="3264" t="s">
        <v>2982</v>
      </c>
      <c r="C356" s="3265">
        <v>0.15</v>
      </c>
      <c r="D356" s="3265">
        <v>0.15</v>
      </c>
      <c r="E356" s="3265">
        <v>0.15</v>
      </c>
      <c r="F356" s="3265">
        <v>0.15</v>
      </c>
      <c r="G356" s="3266">
        <v>0.15</v>
      </c>
    </row>
    <row r="357" spans="1:7" ht="14.25" thickBot="1">
      <c r="A357" s="3278" t="s">
        <v>307</v>
      </c>
      <c r="B357" s="3268" t="s">
        <v>2987</v>
      </c>
      <c r="C357" s="3269">
        <v>0.126</v>
      </c>
      <c r="D357" s="3269">
        <v>0.127</v>
      </c>
      <c r="E357" s="3269">
        <v>0.14299999999999999</v>
      </c>
      <c r="F357" s="3269">
        <v>0.125</v>
      </c>
      <c r="G357" s="3271">
        <v>0.129</v>
      </c>
    </row>
    <row r="358" spans="1:7">
      <c r="A358" s="3274" t="s">
        <v>2856</v>
      </c>
      <c r="B358" s="3260" t="s">
        <v>2870</v>
      </c>
      <c r="C358" s="3261">
        <v>0.15</v>
      </c>
      <c r="D358" s="3261">
        <v>0.15</v>
      </c>
      <c r="E358" s="3261">
        <v>0.15</v>
      </c>
      <c r="F358" s="3261">
        <v>0.15</v>
      </c>
      <c r="G358" s="3262">
        <v>0.15</v>
      </c>
    </row>
    <row r="359" spans="1:7">
      <c r="A359" s="3275" t="s">
        <v>2856</v>
      </c>
      <c r="B359" s="3264" t="s">
        <v>2876</v>
      </c>
      <c r="C359" s="3265">
        <v>0.1</v>
      </c>
      <c r="D359" s="3265">
        <v>0.1</v>
      </c>
      <c r="E359" s="3265">
        <v>0.1</v>
      </c>
      <c r="F359" s="3265">
        <v>0.1</v>
      </c>
      <c r="G359" s="3266">
        <v>0.1</v>
      </c>
    </row>
    <row r="360" spans="1:7">
      <c r="A360" s="3275" t="s">
        <v>2856</v>
      </c>
      <c r="B360" s="3264" t="s">
        <v>2882</v>
      </c>
      <c r="C360" s="3265">
        <v>0.15</v>
      </c>
      <c r="D360" s="3265">
        <v>0.15</v>
      </c>
      <c r="E360" s="3265">
        <v>0.15</v>
      </c>
      <c r="F360" s="3265">
        <v>0.14899999999999999</v>
      </c>
      <c r="G360" s="3266">
        <v>0.15</v>
      </c>
    </row>
    <row r="361" spans="1:7">
      <c r="A361" s="3275" t="s">
        <v>2856</v>
      </c>
      <c r="B361" s="3264" t="s">
        <v>153</v>
      </c>
      <c r="C361" s="3265">
        <v>0.15</v>
      </c>
      <c r="D361" s="3265">
        <v>0.15</v>
      </c>
      <c r="E361" s="3265">
        <v>0.15</v>
      </c>
      <c r="F361" s="3265">
        <v>0.115</v>
      </c>
      <c r="G361" s="3266">
        <v>0.15</v>
      </c>
    </row>
    <row r="362" spans="1:7">
      <c r="A362" s="3275" t="s">
        <v>2856</v>
      </c>
      <c r="B362" s="3264" t="s">
        <v>2889</v>
      </c>
      <c r="C362" s="3265">
        <v>0.15</v>
      </c>
      <c r="D362" s="3265">
        <v>0.15</v>
      </c>
      <c r="E362" s="3265">
        <v>0.15</v>
      </c>
      <c r="F362" s="3265">
        <v>0.106</v>
      </c>
      <c r="G362" s="3266">
        <v>0.15</v>
      </c>
    </row>
    <row r="363" spans="1:7">
      <c r="A363" s="3275" t="s">
        <v>2856</v>
      </c>
      <c r="B363" s="3264" t="s">
        <v>2894</v>
      </c>
      <c r="C363" s="3265">
        <v>0.15</v>
      </c>
      <c r="D363" s="3265">
        <v>0.15</v>
      </c>
      <c r="E363" s="3265">
        <v>0.15</v>
      </c>
      <c r="F363" s="3265">
        <v>0.14699999999999999</v>
      </c>
      <c r="G363" s="3266">
        <v>0.15</v>
      </c>
    </row>
    <row r="364" spans="1:7">
      <c r="A364" s="3275" t="s">
        <v>2856</v>
      </c>
      <c r="B364" s="3264" t="s">
        <v>2898</v>
      </c>
      <c r="C364" s="3265">
        <v>0.15</v>
      </c>
      <c r="D364" s="3265">
        <v>0.15</v>
      </c>
      <c r="E364" s="3265">
        <v>0.15</v>
      </c>
      <c r="F364" s="3265">
        <v>0.14799999999999999</v>
      </c>
      <c r="G364" s="3266">
        <v>0.15</v>
      </c>
    </row>
    <row r="365" spans="1:7">
      <c r="A365" s="3275" t="s">
        <v>2856</v>
      </c>
      <c r="B365" s="3264" t="s">
        <v>200</v>
      </c>
      <c r="C365" s="3265">
        <v>0.15</v>
      </c>
      <c r="D365" s="3265">
        <v>0.15</v>
      </c>
      <c r="E365" s="3265">
        <v>0.15</v>
      </c>
      <c r="F365" s="3265">
        <v>0.15</v>
      </c>
      <c r="G365" s="3266">
        <v>0.15</v>
      </c>
    </row>
    <row r="366" spans="1:7">
      <c r="A366" s="3275" t="s">
        <v>2856</v>
      </c>
      <c r="B366" s="3264" t="s">
        <v>2901</v>
      </c>
      <c r="C366" s="3265">
        <v>0.15</v>
      </c>
      <c r="D366" s="3265">
        <v>0.15</v>
      </c>
      <c r="E366" s="3265">
        <v>0.15</v>
      </c>
      <c r="F366" s="3265">
        <v>0.15</v>
      </c>
      <c r="G366" s="3266">
        <v>0.15</v>
      </c>
    </row>
    <row r="367" spans="1:7">
      <c r="A367" s="3275" t="s">
        <v>2856</v>
      </c>
      <c r="B367" s="3264" t="s">
        <v>2904</v>
      </c>
      <c r="C367" s="3265">
        <v>0.15</v>
      </c>
      <c r="D367" s="3265">
        <v>0.15</v>
      </c>
      <c r="E367" s="3265">
        <v>0.15</v>
      </c>
      <c r="F367" s="3265">
        <v>0.14699999999999999</v>
      </c>
      <c r="G367" s="3266">
        <v>0.15</v>
      </c>
    </row>
    <row r="368" spans="1:7">
      <c r="A368" s="3275" t="s">
        <v>2856</v>
      </c>
      <c r="B368" s="3264" t="s">
        <v>2909</v>
      </c>
      <c r="C368" s="3265">
        <v>0.15</v>
      </c>
      <c r="D368" s="3265">
        <v>0.15</v>
      </c>
      <c r="E368" s="3265">
        <v>0.15</v>
      </c>
      <c r="F368" s="3265">
        <v>0.13600000000000001</v>
      </c>
      <c r="G368" s="3266">
        <v>0.15</v>
      </c>
    </row>
    <row r="369" spans="1:7">
      <c r="A369" s="3275" t="s">
        <v>2856</v>
      </c>
      <c r="B369" s="3264" t="s">
        <v>214</v>
      </c>
      <c r="C369" s="3265">
        <v>0.15</v>
      </c>
      <c r="D369" s="3265">
        <v>0.15</v>
      </c>
      <c r="E369" s="3265">
        <v>0.15</v>
      </c>
      <c r="F369" s="3265">
        <v>0.14399999999999999</v>
      </c>
      <c r="G369" s="3266">
        <v>0.15</v>
      </c>
    </row>
    <row r="370" spans="1:7">
      <c r="A370" s="3275" t="s">
        <v>2856</v>
      </c>
      <c r="B370" s="3264" t="s">
        <v>221</v>
      </c>
      <c r="C370" s="3265">
        <v>0.15</v>
      </c>
      <c r="D370" s="3265">
        <v>0.15</v>
      </c>
      <c r="E370" s="3265">
        <v>0.15</v>
      </c>
      <c r="F370" s="3265">
        <v>0.14599999999999999</v>
      </c>
      <c r="G370" s="3266">
        <v>0.15</v>
      </c>
    </row>
    <row r="371" spans="1:7">
      <c r="A371" s="3275" t="s">
        <v>2856</v>
      </c>
      <c r="B371" s="3264" t="s">
        <v>229</v>
      </c>
      <c r="C371" s="3265">
        <v>0.15</v>
      </c>
      <c r="D371" s="3265">
        <v>0.15</v>
      </c>
      <c r="E371" s="3265">
        <v>0.15</v>
      </c>
      <c r="F371" s="3265">
        <v>0.12</v>
      </c>
      <c r="G371" s="3266">
        <v>0.15</v>
      </c>
    </row>
    <row r="372" spans="1:7">
      <c r="A372" s="3275" t="s">
        <v>2856</v>
      </c>
      <c r="B372" s="3264" t="s">
        <v>2917</v>
      </c>
      <c r="C372" s="3265">
        <v>0.15</v>
      </c>
      <c r="D372" s="3265">
        <v>0.15</v>
      </c>
      <c r="E372" s="3265">
        <v>0.15</v>
      </c>
      <c r="F372" s="3265">
        <v>0.14299999999999999</v>
      </c>
      <c r="G372" s="3266">
        <v>0.15</v>
      </c>
    </row>
    <row r="373" spans="1:7">
      <c r="A373" s="3275" t="s">
        <v>2856</v>
      </c>
      <c r="B373" s="3264" t="s">
        <v>258</v>
      </c>
      <c r="C373" s="3265">
        <v>0.15</v>
      </c>
      <c r="D373" s="3265">
        <v>0.15</v>
      </c>
      <c r="E373" s="3265">
        <v>0.15</v>
      </c>
      <c r="F373" s="3265">
        <v>0.14599999999999999</v>
      </c>
      <c r="G373" s="3266">
        <v>0.15</v>
      </c>
    </row>
    <row r="374" spans="1:7">
      <c r="A374" s="3275" t="s">
        <v>2856</v>
      </c>
      <c r="B374" s="3264" t="s">
        <v>266</v>
      </c>
      <c r="C374" s="3265">
        <v>0.15</v>
      </c>
      <c r="D374" s="3265">
        <v>0.15</v>
      </c>
      <c r="E374" s="3265">
        <v>0.15</v>
      </c>
      <c r="F374" s="3265">
        <v>0.14399999999999999</v>
      </c>
      <c r="G374" s="3266">
        <v>0.15</v>
      </c>
    </row>
    <row r="375" spans="1:7">
      <c r="A375" s="3275" t="s">
        <v>2856</v>
      </c>
      <c r="B375" s="3264" t="s">
        <v>2925</v>
      </c>
      <c r="C375" s="3265">
        <v>0.15</v>
      </c>
      <c r="D375" s="3265">
        <v>0.15</v>
      </c>
      <c r="E375" s="3265">
        <v>0.15</v>
      </c>
      <c r="F375" s="3265">
        <v>0.13</v>
      </c>
      <c r="G375" s="3266">
        <v>0.15</v>
      </c>
    </row>
    <row r="376" spans="1:7">
      <c r="A376" s="3275" t="s">
        <v>2856</v>
      </c>
      <c r="B376" s="3264" t="s">
        <v>277</v>
      </c>
      <c r="C376" s="3265">
        <v>0.15</v>
      </c>
      <c r="D376" s="3265">
        <v>0.15</v>
      </c>
      <c r="E376" s="3265">
        <v>0.15</v>
      </c>
      <c r="F376" s="3265">
        <v>0.14199999999999999</v>
      </c>
      <c r="G376" s="3266">
        <v>0.15</v>
      </c>
    </row>
    <row r="377" spans="1:7" ht="14.25" thickBot="1">
      <c r="A377" s="3278" t="s">
        <v>2856</v>
      </c>
      <c r="B377" s="3268" t="s">
        <v>2931</v>
      </c>
      <c r="C377" s="3269">
        <v>0.15</v>
      </c>
      <c r="D377" s="3269">
        <v>0.15</v>
      </c>
      <c r="E377" s="3269">
        <v>0.15</v>
      </c>
      <c r="F377" s="3269">
        <v>0.14000000000000001</v>
      </c>
      <c r="G377" s="3271">
        <v>0.15</v>
      </c>
    </row>
    <row r="378" spans="1:7">
      <c r="A378" s="3274" t="s">
        <v>2857</v>
      </c>
      <c r="B378" s="3260" t="s">
        <v>2871</v>
      </c>
      <c r="C378" s="3261">
        <v>0.15</v>
      </c>
      <c r="D378" s="3261">
        <v>0.15</v>
      </c>
      <c r="E378" s="3261">
        <v>0.15</v>
      </c>
      <c r="F378" s="3261">
        <v>0.107</v>
      </c>
      <c r="G378" s="3262">
        <v>0.15</v>
      </c>
    </row>
    <row r="379" spans="1:7">
      <c r="A379" s="3275" t="s">
        <v>2857</v>
      </c>
      <c r="B379" s="3264" t="s">
        <v>2877</v>
      </c>
      <c r="C379" s="3265">
        <v>0.15</v>
      </c>
      <c r="D379" s="3265">
        <v>0.15</v>
      </c>
      <c r="E379" s="3265">
        <v>0.15</v>
      </c>
      <c r="F379" s="3265">
        <v>0.115</v>
      </c>
      <c r="G379" s="3266">
        <v>0.14899999999999999</v>
      </c>
    </row>
    <row r="380" spans="1:7">
      <c r="A380" s="3275" t="s">
        <v>2857</v>
      </c>
      <c r="B380" s="3264" t="s">
        <v>2883</v>
      </c>
      <c r="C380" s="3265">
        <v>0.15</v>
      </c>
      <c r="D380" s="3265">
        <v>0.15</v>
      </c>
      <c r="E380" s="3265">
        <v>0.15</v>
      </c>
      <c r="F380" s="3265">
        <v>0.1</v>
      </c>
      <c r="G380" s="3266">
        <v>0.14799999999999999</v>
      </c>
    </row>
    <row r="381" spans="1:7">
      <c r="A381" s="3275" t="s">
        <v>2857</v>
      </c>
      <c r="B381" s="3264" t="s">
        <v>2886</v>
      </c>
      <c r="C381" s="3265">
        <v>0.15</v>
      </c>
      <c r="D381" s="3265">
        <v>0.15</v>
      </c>
      <c r="E381" s="3265">
        <v>0.15</v>
      </c>
      <c r="F381" s="3265">
        <v>0.126</v>
      </c>
      <c r="G381" s="3266">
        <v>0.15</v>
      </c>
    </row>
    <row r="382" spans="1:7">
      <c r="A382" s="3275" t="s">
        <v>2857</v>
      </c>
      <c r="B382" s="3264" t="s">
        <v>2890</v>
      </c>
      <c r="C382" s="3265">
        <v>0.15</v>
      </c>
      <c r="D382" s="3265">
        <v>0.15</v>
      </c>
      <c r="E382" s="3265">
        <v>0.15</v>
      </c>
      <c r="F382" s="3265">
        <v>0.15</v>
      </c>
      <c r="G382" s="3266">
        <v>0.15</v>
      </c>
    </row>
    <row r="383" spans="1:7">
      <c r="A383" s="3275" t="s">
        <v>2857</v>
      </c>
      <c r="B383" s="3264" t="s">
        <v>2895</v>
      </c>
      <c r="C383" s="3265">
        <v>0.15</v>
      </c>
      <c r="D383" s="3265">
        <v>0.15</v>
      </c>
      <c r="E383" s="3265">
        <v>0.15</v>
      </c>
      <c r="F383" s="3265">
        <v>0.14699999999999999</v>
      </c>
      <c r="G383" s="3266">
        <v>0.15</v>
      </c>
    </row>
    <row r="384" spans="1:7" ht="14.25" thickBot="1">
      <c r="A384" s="3285" t="s">
        <v>2857</v>
      </c>
      <c r="B384" s="3286" t="s">
        <v>2899</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6" t="s">
        <v>3238</v>
      </c>
      <c r="B1" s="3776"/>
      <c r="C1" s="3776"/>
      <c r="D1" s="3776"/>
      <c r="E1" s="3776"/>
      <c r="F1" s="3777"/>
    </row>
    <row r="2" spans="1:6">
      <c r="A2" s="3291" t="s">
        <v>3239</v>
      </c>
      <c r="B2" s="3292"/>
      <c r="C2" s="3292"/>
      <c r="D2" s="3292"/>
      <c r="E2" s="3292"/>
      <c r="F2" s="3292"/>
    </row>
    <row r="3" spans="1:6">
      <c r="A3" s="3291" t="s">
        <v>3240</v>
      </c>
      <c r="B3" s="3292"/>
      <c r="C3" s="3292"/>
      <c r="D3" s="3292"/>
      <c r="E3" s="3292"/>
      <c r="F3" s="3293" t="s">
        <v>3241</v>
      </c>
    </row>
    <row r="4" spans="1:6">
      <c r="A4" s="3294" t="s">
        <v>672</v>
      </c>
      <c r="B4" s="3294" t="s">
        <v>673</v>
      </c>
      <c r="C4" s="3294" t="s">
        <v>21</v>
      </c>
      <c r="D4" s="3294" t="s">
        <v>674</v>
      </c>
      <c r="E4" s="3294" t="s">
        <v>3</v>
      </c>
      <c r="F4" s="3294" t="s">
        <v>3242</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45135</v>
      </c>
      <c r="B1" s="3210" t="s">
        <v>2844</v>
      </c>
      <c r="C1" s="3211"/>
      <c r="D1" s="3211"/>
      <c r="E1" s="3211"/>
      <c r="F1" s="3211"/>
      <c r="G1" s="3211"/>
      <c r="H1" s="3211"/>
      <c r="I1" s="3211"/>
      <c r="J1" s="3165"/>
      <c r="K1" s="3211" t="s">
        <v>454</v>
      </c>
      <c r="L1" s="3211"/>
      <c r="M1" s="3211"/>
      <c r="N1" s="3211"/>
      <c r="O1" s="3211"/>
      <c r="P1" s="3211"/>
      <c r="Q1" s="3165"/>
      <c r="R1" s="3778" t="s">
        <v>456</v>
      </c>
      <c r="S1" s="3779"/>
      <c r="T1" s="3779"/>
      <c r="U1" s="3779"/>
      <c r="V1" s="3779"/>
      <c r="W1" s="3779"/>
      <c r="X1" s="3165"/>
      <c r="Y1" s="3778" t="s">
        <v>457</v>
      </c>
      <c r="Z1" s="3779"/>
      <c r="AA1" s="3779"/>
      <c r="AB1" s="3779"/>
      <c r="AC1" s="3779"/>
      <c r="AD1" s="3779"/>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ROUND(AVERAGEIF(D4:D16,"&lt;&gt;0"),2)</f>
        <v>0.83</v>
      </c>
      <c r="E3" s="3151">
        <f t="shared" ref="E3:H3" si="0">ROUND(AVERAGEIF(E4:E16,"&lt;&gt;0"),2)</f>
        <v>0.4</v>
      </c>
      <c r="F3" s="3151">
        <f t="shared" si="0"/>
        <v>0.22</v>
      </c>
      <c r="G3" s="3151">
        <f t="shared" si="0"/>
        <v>0.9</v>
      </c>
      <c r="H3" s="3151">
        <f t="shared" si="0"/>
        <v>0.65</v>
      </c>
      <c r="I3" s="3151">
        <f>F3</f>
        <v>0.22</v>
      </c>
      <c r="J3" s="3152"/>
      <c r="K3" s="3153">
        <f>ROUND(AVERAGEIF(K4:K16,"&lt;&gt;0"),4)</f>
        <v>8.3000000000000001E-3</v>
      </c>
      <c r="L3" s="3154">
        <f t="shared" ref="L3:O3" si="1">ROUND(AVERAGEIF(L4:L16,"&lt;&gt;0"),4)</f>
        <v>4.0000000000000001E-3</v>
      </c>
      <c r="M3" s="3154">
        <f t="shared" si="1"/>
        <v>2.2000000000000001E-3</v>
      </c>
      <c r="N3" s="3154">
        <f t="shared" si="1"/>
        <v>8.9999999999999993E-3</v>
      </c>
      <c r="O3" s="3154">
        <f t="shared" si="1"/>
        <v>6.4999999999999997E-3</v>
      </c>
      <c r="P3" s="3154">
        <f>M3</f>
        <v>2.2000000000000001E-3</v>
      </c>
      <c r="Q3" s="3152"/>
      <c r="R3" s="3155">
        <f>ROUND(SUMPRODUCT(PRODUCT(1+K4:K16)),4)</f>
        <v>1.0860000000000001</v>
      </c>
      <c r="S3" s="3156">
        <f t="shared" ref="S3:V3" si="2">ROUND(SUMPRODUCT(PRODUCT(1+L4:L16)),4)</f>
        <v>1.0410999999999999</v>
      </c>
      <c r="T3" s="3156">
        <f t="shared" si="2"/>
        <v>1.0225</v>
      </c>
      <c r="U3" s="3156">
        <f t="shared" si="2"/>
        <v>1.0938000000000001</v>
      </c>
      <c r="V3" s="3156">
        <f t="shared" si="2"/>
        <v>1.0668</v>
      </c>
      <c r="W3" s="3155">
        <f>T3</f>
        <v>1.0225</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1.0755999999999999</v>
      </c>
      <c r="S5" s="3183">
        <f>ROUND(IF(项目基本情况!$B$8="出让",SUMPRODUCT(PRODUCT(1+L5:$L$16)),SUMPRODUCT(PRODUCT(1+L5:$L$15))),4)</f>
        <v>1.0395000000000001</v>
      </c>
      <c r="T5" s="3183">
        <f>ROUND(IF(项目基本情况!$B$8="出让",SUMPRODUCT(PRODUCT(1+M5:$M$16)),SUMPRODUCT(PRODUCT(1+M5:$M$15))),4)</f>
        <v>1.0250999999999999</v>
      </c>
      <c r="U5" s="3183">
        <f>ROUND(IF(项目基本情况!$B$8="出让",SUMPRODUCT(PRODUCT(1+N5:$N$16)),SUMPRODUCT(PRODUCT(1+N5:$N$15))),4)</f>
        <v>1.0818000000000001</v>
      </c>
      <c r="V5" s="3183">
        <f>ROUND(IF(项目基本情况!$B$8="出让",SUMPRODUCT(PRODUCT(1+O5:$O$16)),SUMPRODUCT(PRODUCT(1+O5:$O$15))),4)</f>
        <v>1.0629999999999999</v>
      </c>
      <c r="W5" s="3183">
        <f>T5</f>
        <v>1.0250999999999999</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1.0755999999999999</v>
      </c>
      <c r="S6" s="3183">
        <f>ROUND(IF(项目基本情况!$B$8="出让",SUMPRODUCT(PRODUCT(1+L6:$L$16)),SUMPRODUCT(PRODUCT(1+L6:$L$15))),4)</f>
        <v>1.0395000000000001</v>
      </c>
      <c r="T6" s="3183">
        <f>ROUND(IF(项目基本情况!$B$8="出让",SUMPRODUCT(PRODUCT(1+M6:$M$16)),SUMPRODUCT(PRODUCT(1+M6:$M$15))),4)</f>
        <v>1.0250999999999999</v>
      </c>
      <c r="U6" s="3183">
        <f>ROUND(IF(项目基本情况!$B$8="出让",SUMPRODUCT(PRODUCT(1+N6:$N$16)),SUMPRODUCT(PRODUCT(1+N6:$N$15))),4)</f>
        <v>1.0818000000000001</v>
      </c>
      <c r="V6" s="3183">
        <f>ROUND(IF(项目基本情况!$B$8="出让",SUMPRODUCT(PRODUCT(1+O6:$O$16)),SUMPRODUCT(PRODUCT(1+O6:$O$15))),4)</f>
        <v>1.0629999999999999</v>
      </c>
      <c r="W6" s="3183">
        <f t="shared" ref="W6:W8" si="14">T6</f>
        <v>1.0250999999999999</v>
      </c>
      <c r="X6" s="3181"/>
      <c r="Y6" s="3184"/>
      <c r="Z6" s="3184"/>
      <c r="AA6" s="3184"/>
      <c r="AB6" s="3184"/>
      <c r="AC6" s="3184"/>
      <c r="AD6" s="3184"/>
    </row>
    <row r="7" spans="1:30" s="3195" customFormat="1" ht="12.75">
      <c r="A7" s="3186" t="s">
        <v>3379</v>
      </c>
      <c r="B7" s="3187">
        <v>2023</v>
      </c>
      <c r="C7" s="3188">
        <v>2</v>
      </c>
      <c r="D7" s="3189">
        <v>0.91</v>
      </c>
      <c r="E7" s="3189">
        <v>0.66</v>
      </c>
      <c r="F7" s="3189">
        <v>0.47</v>
      </c>
      <c r="G7" s="3189">
        <v>0.96</v>
      </c>
      <c r="H7" s="3190">
        <v>0.71</v>
      </c>
      <c r="I7" s="3191">
        <f t="shared" si="4"/>
        <v>0.47</v>
      </c>
      <c r="J7" s="3192"/>
      <c r="K7" s="3193">
        <f t="shared" si="8"/>
        <v>9.1000000000000004E-3</v>
      </c>
      <c r="L7" s="3194">
        <f t="shared" si="9"/>
        <v>6.6E-3</v>
      </c>
      <c r="M7" s="3194">
        <f t="shared" si="10"/>
        <v>4.6999999999999993E-3</v>
      </c>
      <c r="N7" s="3194">
        <f t="shared" si="11"/>
        <v>9.5999999999999992E-3</v>
      </c>
      <c r="O7" s="3194">
        <f t="shared" si="12"/>
        <v>7.0999999999999995E-3</v>
      </c>
      <c r="P7" s="3194">
        <f t="shared" si="13"/>
        <v>4.6999999999999993E-3</v>
      </c>
      <c r="Q7" s="3192"/>
      <c r="R7" s="3192">
        <f>ROUND(IF(项目基本情况!$B$8="出让",SUMPRODUCT(PRODUCT(1+K7:$K$16)),SUMPRODUCT(PRODUCT(1+K7:$K$15))),4)</f>
        <v>1.0755999999999999</v>
      </c>
      <c r="S7" s="3192">
        <f>ROUND(IF(项目基本情况!$B$8="出让",SUMPRODUCT(PRODUCT(1+L7:$L$16)),SUMPRODUCT(PRODUCT(1+L7:$L$15))),4)</f>
        <v>1.0395000000000001</v>
      </c>
      <c r="T7" s="3192">
        <f>ROUND(IF(项目基本情况!$B$8="出让",SUMPRODUCT(PRODUCT(1+M7:$M$16)),SUMPRODUCT(PRODUCT(1+M7:$M$15))),4)</f>
        <v>1.0250999999999999</v>
      </c>
      <c r="U7" s="3192">
        <f>ROUND(IF(项目基本情况!$B$8="出让",SUMPRODUCT(PRODUCT(1+N7:$N$16)),SUMPRODUCT(PRODUCT(1+N7:$N$15))),4)</f>
        <v>1.0818000000000001</v>
      </c>
      <c r="V7" s="3192">
        <f>ROUND(IF(项目基本情况!$B$8="出让",SUMPRODUCT(PRODUCT(1+O7:$O$16)),SUMPRODUCT(PRODUCT(1+O7:$O$15))),4)</f>
        <v>1.0629999999999999</v>
      </c>
      <c r="W7" s="3192">
        <f t="shared" si="14"/>
        <v>1.0250999999999999</v>
      </c>
      <c r="X7" s="3192"/>
      <c r="Y7" s="3194"/>
      <c r="Z7" s="3194"/>
      <c r="AA7" s="3194"/>
      <c r="AB7" s="3194"/>
      <c r="AC7" s="3194"/>
      <c r="AD7" s="3194"/>
    </row>
    <row r="8" spans="1:30" s="3185" customFormat="1" ht="12.75">
      <c r="A8" s="3176" t="s">
        <v>3378</v>
      </c>
      <c r="B8" s="3177">
        <v>2023</v>
      </c>
      <c r="C8" s="3178">
        <v>1</v>
      </c>
      <c r="D8" s="3179">
        <v>0.89</v>
      </c>
      <c r="E8" s="3179">
        <v>0.74</v>
      </c>
      <c r="F8" s="3179">
        <v>0.56999999999999995</v>
      </c>
      <c r="G8" s="3179">
        <v>0.92</v>
      </c>
      <c r="H8" s="3196">
        <v>0.5</v>
      </c>
      <c r="I8" s="3180">
        <f t="shared" si="4"/>
        <v>0.56999999999999995</v>
      </c>
      <c r="J8" s="3181"/>
      <c r="K8" s="3182">
        <f t="shared" si="8"/>
        <v>8.8999999999999999E-3</v>
      </c>
      <c r="L8" s="3172">
        <f t="shared" si="9"/>
        <v>7.4000000000000003E-3</v>
      </c>
      <c r="M8" s="3172">
        <f t="shared" si="10"/>
        <v>5.6999999999999993E-3</v>
      </c>
      <c r="N8" s="3172">
        <f t="shared" si="11"/>
        <v>9.1999999999999998E-3</v>
      </c>
      <c r="O8" s="3172">
        <f t="shared" si="12"/>
        <v>5.0000000000000001E-3</v>
      </c>
      <c r="P8" s="3172">
        <f t="shared" si="13"/>
        <v>5.6999999999999993E-3</v>
      </c>
      <c r="Q8" s="3181"/>
      <c r="R8" s="3183">
        <f>ROUND(IF(项目基本情况!$B$8="出让",SUMPRODUCT(PRODUCT(1+K8:$K$16)),SUMPRODUCT(PRODUCT(1+K8:$K$15))),4)</f>
        <v>1.0659000000000001</v>
      </c>
      <c r="S8" s="3183">
        <f>ROUND(IF(项目基本情况!$B$8="出让",SUMPRODUCT(PRODUCT(1+L8:$L$16)),SUMPRODUCT(PRODUCT(1+L8:$L$15))),4)</f>
        <v>1.0326</v>
      </c>
      <c r="T8" s="3183">
        <f>ROUND(IF(项目基本情况!$B$8="出让",SUMPRODUCT(PRODUCT(1+M8:$M$16)),SUMPRODUCT(PRODUCT(1+M8:$M$15))),4)</f>
        <v>1.0203</v>
      </c>
      <c r="U8" s="3183">
        <f>ROUND(IF(项目基本情况!$B$8="出让",SUMPRODUCT(PRODUCT(1+N8:$N$16)),SUMPRODUCT(PRODUCT(1+N8:$N$15))),4)</f>
        <v>1.0714999999999999</v>
      </c>
      <c r="V8" s="3183">
        <f>ROUND(IF(项目基本情况!$B$8="出让",SUMPRODUCT(PRODUCT(1+O8:$O$16)),SUMPRODUCT(PRODUCT(1+O8:$O$15))),4)</f>
        <v>1.0555000000000001</v>
      </c>
      <c r="W8" s="3183">
        <f t="shared" si="14"/>
        <v>1.0203</v>
      </c>
      <c r="X8" s="3181"/>
      <c r="Y8" s="3184"/>
      <c r="Z8" s="3184"/>
      <c r="AA8" s="3184"/>
      <c r="AB8" s="3184"/>
      <c r="AC8" s="3184"/>
      <c r="AD8" s="3184"/>
    </row>
    <row r="9" spans="1:30" s="3185" customFormat="1" ht="12.75">
      <c r="A9" s="3176" t="s">
        <v>3376</v>
      </c>
      <c r="B9" s="3177">
        <v>2022</v>
      </c>
      <c r="C9" s="3178">
        <v>4</v>
      </c>
      <c r="D9" s="3179">
        <v>0.62</v>
      </c>
      <c r="E9" s="3179">
        <v>0.2</v>
      </c>
      <c r="F9" s="3179">
        <v>0.11</v>
      </c>
      <c r="G9" s="3179">
        <v>0.69</v>
      </c>
      <c r="H9" s="3196">
        <v>0.53</v>
      </c>
      <c r="I9" s="3180">
        <f t="shared" si="4"/>
        <v>0.11</v>
      </c>
      <c r="J9" s="3181"/>
      <c r="K9" s="3182">
        <f t="shared" si="5"/>
        <v>6.1999999999999998E-3</v>
      </c>
      <c r="L9" s="3172">
        <f t="shared" si="5"/>
        <v>2E-3</v>
      </c>
      <c r="M9" s="3172">
        <f t="shared" si="5"/>
        <v>1.1000000000000001E-3</v>
      </c>
      <c r="N9" s="3172">
        <f t="shared" si="5"/>
        <v>6.8999999999999999E-3</v>
      </c>
      <c r="O9" s="3172">
        <f t="shared" si="5"/>
        <v>5.3E-3</v>
      </c>
      <c r="P9" s="3172">
        <f t="shared" ref="P9:P16" si="15">M9</f>
        <v>1.1000000000000001E-3</v>
      </c>
      <c r="Q9" s="3181"/>
      <c r="R9" s="3183">
        <f>ROUND(IF([2]项目基本情况!B8="出让",SUMPRODUCT(PRODUCT(1+K9:K16)),SUMPRODUCT(PRODUCT(1+K9:K15))),4)</f>
        <v>1.0565</v>
      </c>
      <c r="S9" s="3183">
        <f>ROUND(IF([2]项目基本情况!B8="出让",SUMPRODUCT(PRODUCT(1+L9:L16)),SUMPRODUCT(PRODUCT(1+L9:L15))),4)</f>
        <v>1.0250999999999999</v>
      </c>
      <c r="T9" s="3183">
        <f>ROUND(IF([2]项目基本情况!B8="出让",SUMPRODUCT(PRODUCT(1+M9:M16)),SUMPRODUCT(PRODUCT(1+M9:M15))),4)</f>
        <v>1.0145</v>
      </c>
      <c r="U9" s="3183">
        <f>ROUND(IF([2]项目基本情况!B8="出让",SUMPRODUCT(PRODUCT(1+N9:N16)),SUMPRODUCT(PRODUCT(1+N9:N15))),4)</f>
        <v>1.0618000000000001</v>
      </c>
      <c r="V9" s="3183">
        <f>ROUND(IF([2]项目基本情况!B8="出让",SUMPRODUCT(PRODUCT(1+O9:O16)),SUMPRODUCT(PRODUCT(1+O9:O15))),4)</f>
        <v>1.0502</v>
      </c>
      <c r="W9" s="3183">
        <f t="shared" ref="W9:W16" si="16">T9</f>
        <v>1.0145</v>
      </c>
      <c r="X9" s="3181"/>
      <c r="Y9" s="3184">
        <f>IF(D9=0,0,ROUND(AVERAGE(D9:D17)/100,4))</f>
        <v>8.0999999999999996E-3</v>
      </c>
      <c r="Z9" s="3184">
        <f t="shared" ref="Z9:AC9" si="17">IF(E9=0,0,ROUND(AVERAGE(E9:E16)/100,4))</f>
        <v>3.3E-3</v>
      </c>
      <c r="AA9" s="3184">
        <f t="shared" si="17"/>
        <v>1.5E-3</v>
      </c>
      <c r="AB9" s="3184">
        <f t="shared" si="17"/>
        <v>8.8999999999999999E-3</v>
      </c>
      <c r="AC9" s="3184">
        <f t="shared" si="17"/>
        <v>6.6E-3</v>
      </c>
      <c r="AD9" s="3184">
        <f t="shared" si="7"/>
        <v>1.5E-3</v>
      </c>
    </row>
    <row r="10" spans="1:30" s="3185" customFormat="1" ht="12.75">
      <c r="A10" s="3176" t="s">
        <v>3370</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3361</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2824</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2825</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2826</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2827</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2828</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3372</v>
      </c>
    </row>
    <row r="19" spans="1:30" s="3009" customFormat="1">
      <c r="I19" s="3208" t="s">
        <v>2829</v>
      </c>
    </row>
    <row r="20" spans="1:30" s="3009" customFormat="1"/>
    <row r="21" spans="1:30" s="3209" customFormat="1" ht="12.75">
      <c r="B21" s="3210" t="s">
        <v>2830</v>
      </c>
      <c r="C21" s="3211"/>
      <c r="D21" s="3211"/>
      <c r="E21" s="3211"/>
      <c r="F21" s="3211"/>
      <c r="G21" s="3211"/>
      <c r="H21" s="3211"/>
      <c r="I21" s="3211"/>
      <c r="J21" s="3165"/>
      <c r="K21" s="3211" t="s">
        <v>2831</v>
      </c>
      <c r="L21" s="3211"/>
      <c r="M21" s="3211"/>
      <c r="N21" s="3211"/>
      <c r="O21" s="3211"/>
      <c r="P21" s="3211"/>
      <c r="Q21" s="3165"/>
      <c r="R21" s="3778" t="s">
        <v>2832</v>
      </c>
      <c r="S21" s="3779"/>
      <c r="T21" s="3779"/>
      <c r="U21" s="3779"/>
      <c r="V21" s="3779"/>
      <c r="W21" s="3779"/>
      <c r="X21" s="3165"/>
      <c r="Y21" s="3778" t="s">
        <v>2833</v>
      </c>
      <c r="Z21" s="3779"/>
      <c r="AA21" s="3779"/>
      <c r="AB21" s="3779"/>
      <c r="AC21" s="3779"/>
      <c r="AD21" s="3779"/>
    </row>
    <row r="22" spans="1:30" s="3143" customFormat="1" ht="14.25" thickBot="1">
      <c r="B22" s="3144"/>
      <c r="C22" s="3145"/>
      <c r="D22" s="3146" t="s">
        <v>2834</v>
      </c>
      <c r="E22" s="3147" t="s">
        <v>2835</v>
      </c>
      <c r="F22" s="3147" t="s">
        <v>2836</v>
      </c>
      <c r="G22" s="3147" t="s">
        <v>2837</v>
      </c>
      <c r="H22" s="3147"/>
      <c r="I22" s="3147" t="s">
        <v>2838</v>
      </c>
      <c r="J22" s="3148"/>
      <c r="K22" s="3146" t="s">
        <v>2834</v>
      </c>
      <c r="L22" s="3147" t="s">
        <v>2835</v>
      </c>
      <c r="M22" s="3147" t="s">
        <v>2836</v>
      </c>
      <c r="N22" s="3147" t="s">
        <v>2837</v>
      </c>
      <c r="O22" s="3147"/>
      <c r="P22" s="3147" t="s">
        <v>2838</v>
      </c>
      <c r="Q22" s="3148"/>
      <c r="R22" s="3146" t="s">
        <v>2834</v>
      </c>
      <c r="S22" s="3147" t="s">
        <v>2835</v>
      </c>
      <c r="T22" s="3147" t="s">
        <v>2836</v>
      </c>
      <c r="U22" s="3147" t="s">
        <v>2837</v>
      </c>
      <c r="V22" s="3147"/>
      <c r="W22" s="3147" t="s">
        <v>2838</v>
      </c>
      <c r="X22" s="3148"/>
      <c r="Y22" s="3146" t="s">
        <v>2834</v>
      </c>
      <c r="Z22" s="3147" t="s">
        <v>2835</v>
      </c>
      <c r="AA22" s="3147" t="s">
        <v>2836</v>
      </c>
      <c r="AB22" s="3147" t="s">
        <v>2837</v>
      </c>
      <c r="AC22" s="3147"/>
      <c r="AD22" s="3147" t="s">
        <v>2838</v>
      </c>
    </row>
    <row r="23" spans="1:30" s="3161" customFormat="1" ht="12.75">
      <c r="A23" s="3149" t="s">
        <v>2839</v>
      </c>
      <c r="B23" s="3150"/>
      <c r="C23" s="3151"/>
      <c r="D23" s="3151"/>
      <c r="E23" s="3151">
        <f t="shared" ref="E23:G23" si="22">ROUND(AVERAGEIF(E24:E36,"&lt;&gt;0"),2)</f>
        <v>0.42</v>
      </c>
      <c r="F23" s="3151">
        <f t="shared" si="22"/>
        <v>0.32</v>
      </c>
      <c r="G23" s="3151">
        <f t="shared" si="22"/>
        <v>0.75</v>
      </c>
      <c r="H23" s="3151"/>
      <c r="I23" s="3151">
        <f>F23</f>
        <v>0.32</v>
      </c>
      <c r="J23" s="3152"/>
      <c r="K23" s="3153"/>
      <c r="L23" s="3154">
        <f t="shared" ref="L23:N23" si="23">ROUND(AVERAGEIF(L24:L36,"&lt;&gt;0"),4)</f>
        <v>4.1999999999999997E-3</v>
      </c>
      <c r="M23" s="3154">
        <f t="shared" si="23"/>
        <v>3.2000000000000002E-3</v>
      </c>
      <c r="N23" s="3154">
        <f t="shared" si="23"/>
        <v>7.4999999999999997E-3</v>
      </c>
      <c r="O23" s="3154"/>
      <c r="P23" s="3154">
        <f>M23</f>
        <v>3.2000000000000002E-3</v>
      </c>
      <c r="Q23" s="3152"/>
      <c r="R23" s="3155"/>
      <c r="S23" s="3156">
        <f>ROUND(SUMPRODUCT(PRODUCT(1+L24:L36)),4)</f>
        <v>1.0431999999999999</v>
      </c>
      <c r="T23" s="3156">
        <f t="shared" ref="T23:U23" si="24">ROUND(SUMPRODUCT(PRODUCT(1+M24:M36)),4)</f>
        <v>1.0319</v>
      </c>
      <c r="U23" s="3156">
        <f t="shared" si="24"/>
        <v>1.0771999999999999</v>
      </c>
      <c r="V23" s="3156"/>
      <c r="W23" s="3155">
        <f>T23</f>
        <v>1.0319</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1.0396000000000001</v>
      </c>
      <c r="T25" s="3183">
        <f>ROUND(IF([2]项目基本情况!$B$8="出让",SUMPRODUCT(PRODUCT(1+M25:M$36)),SUMPRODUCT(PRODUCT(1+M25:M$35))),4)</f>
        <v>1.0269999999999999</v>
      </c>
      <c r="U25" s="3183">
        <f>ROUND(IF([2]项目基本情况!$B$8="出让",SUMPRODUCT(PRODUCT(1+N25:N$36)),SUMPRODUCT(PRODUCT(1+N25:N$35))),4)</f>
        <v>1.0668</v>
      </c>
      <c r="V25" s="3183"/>
      <c r="W25" s="3183">
        <f>T25</f>
        <v>1.0269999999999999</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1.0396000000000001</v>
      </c>
      <c r="T26" s="3183">
        <f>ROUND(IF([2]项目基本情况!$B$8="出让",SUMPRODUCT(PRODUCT(1+M26:M$36)),SUMPRODUCT(PRODUCT(1+M26:M$35))),4)</f>
        <v>1.0269999999999999</v>
      </c>
      <c r="U26" s="3183">
        <f>ROUND(IF([2]项目基本情况!$B$8="出让",SUMPRODUCT(PRODUCT(1+N26:N$36)),SUMPRODUCT(PRODUCT(1+N26:N$35))),4)</f>
        <v>1.0668</v>
      </c>
      <c r="V26" s="3183"/>
      <c r="W26" s="3183">
        <f t="shared" ref="W26:W28" si="32">T26</f>
        <v>1.0269999999999999</v>
      </c>
      <c r="X26" s="3181"/>
      <c r="Y26" s="3184"/>
      <c r="Z26" s="3212"/>
      <c r="AA26" s="3449"/>
      <c r="AB26" s="3449"/>
      <c r="AC26" s="3213"/>
      <c r="AD26" s="3184"/>
    </row>
    <row r="27" spans="1:30" s="3195" customFormat="1" ht="12.75">
      <c r="A27" s="3186" t="s">
        <v>3377</v>
      </c>
      <c r="B27" s="3187">
        <v>2023</v>
      </c>
      <c r="C27" s="3188">
        <v>2</v>
      </c>
      <c r="D27" s="3189"/>
      <c r="E27" s="3189">
        <v>0.5</v>
      </c>
      <c r="F27" s="3189">
        <v>0.45</v>
      </c>
      <c r="G27" s="3189">
        <v>0.89</v>
      </c>
      <c r="H27" s="3190"/>
      <c r="I27" s="3191">
        <f t="shared" si="26"/>
        <v>0.45</v>
      </c>
      <c r="J27" s="3192"/>
      <c r="K27" s="3193"/>
      <c r="L27" s="3194">
        <f t="shared" si="28"/>
        <v>5.0000000000000001E-3</v>
      </c>
      <c r="M27" s="3194">
        <f t="shared" si="29"/>
        <v>4.5000000000000005E-3</v>
      </c>
      <c r="N27" s="3194">
        <f t="shared" si="30"/>
        <v>8.8999999999999999E-3</v>
      </c>
      <c r="O27" s="3194"/>
      <c r="P27" s="3194">
        <f t="shared" si="31"/>
        <v>4.5000000000000005E-3</v>
      </c>
      <c r="Q27" s="3192"/>
      <c r="R27" s="3192"/>
      <c r="S27" s="3192">
        <f>ROUND(IF([2]项目基本情况!$B$8="出让",SUMPRODUCT(PRODUCT(1+L27:L$36)),SUMPRODUCT(PRODUCT(1+L27:L$35))),4)</f>
        <v>1.0396000000000001</v>
      </c>
      <c r="T27" s="3192">
        <f>ROUND(IF([2]项目基本情况!$B$8="出让",SUMPRODUCT(PRODUCT(1+M27:M$36)),SUMPRODUCT(PRODUCT(1+M27:M$35))),4)</f>
        <v>1.0269999999999999</v>
      </c>
      <c r="U27" s="3192">
        <f>ROUND(IF([2]项目基本情况!$B$8="出让",SUMPRODUCT(PRODUCT(1+N27:N$36)),SUMPRODUCT(PRODUCT(1+N27:N$35))),4)</f>
        <v>1.0668</v>
      </c>
      <c r="V27" s="3192"/>
      <c r="W27" s="3192">
        <f t="shared" si="32"/>
        <v>1.0269999999999999</v>
      </c>
      <c r="X27" s="3192"/>
      <c r="Y27" s="3194"/>
      <c r="Z27" s="3215"/>
      <c r="AA27" s="3216"/>
      <c r="AB27" s="3194"/>
      <c r="AC27" s="3217"/>
      <c r="AD27" s="3194"/>
    </row>
    <row r="28" spans="1:30" s="3185" customFormat="1" ht="12.75">
      <c r="A28" s="3176" t="s">
        <v>3378</v>
      </c>
      <c r="B28" s="3177">
        <v>2023</v>
      </c>
      <c r="C28" s="3178">
        <v>1</v>
      </c>
      <c r="D28" s="3179"/>
      <c r="E28" s="3179">
        <v>0.55000000000000004</v>
      </c>
      <c r="F28" s="3179">
        <v>0.59</v>
      </c>
      <c r="G28" s="3179">
        <v>0.64</v>
      </c>
      <c r="H28" s="3196"/>
      <c r="I28" s="3180">
        <f t="shared" si="26"/>
        <v>0.59</v>
      </c>
      <c r="J28" s="3181"/>
      <c r="K28" s="3182"/>
      <c r="L28" s="3172">
        <f t="shared" si="28"/>
        <v>5.5000000000000005E-3</v>
      </c>
      <c r="M28" s="3172">
        <f t="shared" si="29"/>
        <v>5.8999999999999999E-3</v>
      </c>
      <c r="N28" s="3172">
        <f t="shared" si="30"/>
        <v>6.4000000000000003E-3</v>
      </c>
      <c r="O28" s="3172"/>
      <c r="P28" s="3172">
        <f t="shared" si="31"/>
        <v>5.8999999999999999E-3</v>
      </c>
      <c r="Q28" s="3181"/>
      <c r="R28" s="3183"/>
      <c r="S28" s="3183">
        <f>ROUND(IF([2]项目基本情况!$B$8="出让",SUMPRODUCT(PRODUCT(1+L28:L$36)),SUMPRODUCT(PRODUCT(1+L28:L$35))),4)</f>
        <v>1.0344</v>
      </c>
      <c r="T28" s="3183">
        <f>ROUND(IF([2]项目基本情况!$B$8="出让",SUMPRODUCT(PRODUCT(1+M28:M$36)),SUMPRODUCT(PRODUCT(1+M28:M$35))),4)</f>
        <v>1.0224</v>
      </c>
      <c r="U28" s="3183">
        <f>ROUND(IF([2]项目基本情况!$B$8="出让",SUMPRODUCT(PRODUCT(1+N28:N$36)),SUMPRODUCT(PRODUCT(1+N28:N$35))),4)</f>
        <v>1.0573999999999999</v>
      </c>
      <c r="V28" s="3183"/>
      <c r="W28" s="3183">
        <f t="shared" si="32"/>
        <v>1.0224</v>
      </c>
      <c r="X28" s="3181"/>
      <c r="Y28" s="3184"/>
      <c r="Z28" s="3212"/>
      <c r="AA28" s="3214"/>
      <c r="AB28" s="3184"/>
      <c r="AC28" s="3213"/>
      <c r="AD28" s="3184"/>
    </row>
    <row r="29" spans="1:30" s="3185" customFormat="1" ht="12.75">
      <c r="A29" s="3176" t="s">
        <v>3376</v>
      </c>
      <c r="B29" s="3177">
        <v>2022</v>
      </c>
      <c r="C29" s="3178">
        <v>4</v>
      </c>
      <c r="D29" s="3179"/>
      <c r="E29" s="3179">
        <v>0.45</v>
      </c>
      <c r="F29" s="3179">
        <v>0.2</v>
      </c>
      <c r="G29" s="3179">
        <v>0.38</v>
      </c>
      <c r="H29" s="3196"/>
      <c r="I29" s="3180">
        <f t="shared" si="26"/>
        <v>0.2</v>
      </c>
      <c r="J29" s="3181"/>
      <c r="K29" s="3182"/>
      <c r="L29" s="3172">
        <f t="shared" si="27"/>
        <v>4.5000000000000005E-3</v>
      </c>
      <c r="M29" s="3172">
        <f t="shared" si="27"/>
        <v>2E-3</v>
      </c>
      <c r="N29" s="3172">
        <f t="shared" si="27"/>
        <v>3.8E-3</v>
      </c>
      <c r="O29" s="3172"/>
      <c r="P29" s="3172">
        <f t="shared" ref="P29:P36" si="33">M29</f>
        <v>2E-3</v>
      </c>
      <c r="Q29" s="3181"/>
      <c r="R29" s="3183"/>
      <c r="S29" s="3183">
        <f>ROUND(IF([2]项目基本情况!$B$8="出让",SUMPRODUCT(PRODUCT(1+L29:L$36)),SUMPRODUCT(PRODUCT(1+L29:L$35))),4)</f>
        <v>1.0286999999999999</v>
      </c>
      <c r="T29" s="3183">
        <f>ROUND(IF([2]项目基本情况!$B$8="出让",SUMPRODUCT(PRODUCT(1+M29:M$36)),SUMPRODUCT(PRODUCT(1+M29:M$35))),4)</f>
        <v>1.0164</v>
      </c>
      <c r="U29" s="3183">
        <f>ROUND(IF([2]项目基本情况!$B$8="出让",SUMPRODUCT(PRODUCT(1+N29:N$36)),SUMPRODUCT(PRODUCT(1+N29:N$35))),4)</f>
        <v>1.0506</v>
      </c>
      <c r="V29" s="3183"/>
      <c r="W29" s="3183">
        <f t="shared" ref="W29:W36" si="34">T29</f>
        <v>1.0164</v>
      </c>
      <c r="X29" s="3181"/>
      <c r="Y29" s="3184"/>
      <c r="Z29" s="3212">
        <f t="shared" ref="Z29:AD36" si="35">IF(E29=0,0,ROUND(AVERAGE(E29:E37)/100,4))</f>
        <v>4.0000000000000001E-3</v>
      </c>
      <c r="AA29" s="3214">
        <f t="shared" si="35"/>
        <v>2.5999999999999999E-3</v>
      </c>
      <c r="AB29" s="3184">
        <f t="shared" si="35"/>
        <v>7.4000000000000003E-3</v>
      </c>
      <c r="AC29" s="3213"/>
      <c r="AD29" s="3184">
        <f t="shared" si="35"/>
        <v>2.5999999999999999E-3</v>
      </c>
    </row>
    <row r="30" spans="1:30" s="3185" customFormat="1" ht="12.75">
      <c r="A30" s="3176" t="s">
        <v>3371</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3361</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2840</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2841</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2842</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2843</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2828</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5" t="s">
        <v>452</v>
      </c>
      <c r="C1" s="3785"/>
      <c r="D1" s="3785"/>
      <c r="E1" s="3785"/>
      <c r="F1" s="3785"/>
      <c r="G1" s="3784" t="s">
        <v>453</v>
      </c>
      <c r="H1" s="3784"/>
      <c r="I1" s="3784"/>
      <c r="J1" s="3784"/>
      <c r="K1" s="3784"/>
      <c r="L1" s="3784"/>
      <c r="N1" s="3784" t="s">
        <v>454</v>
      </c>
      <c r="O1" s="3784"/>
      <c r="P1" s="3784"/>
      <c r="Q1" s="3784"/>
      <c r="S1" s="3784" t="s">
        <v>455</v>
      </c>
      <c r="T1" s="3784"/>
      <c r="U1" s="3784"/>
      <c r="V1" s="3784"/>
      <c r="X1" s="3783" t="s">
        <v>456</v>
      </c>
      <c r="Y1" s="3784"/>
      <c r="Z1" s="3784"/>
      <c r="AA1" s="3784"/>
      <c r="AB1" s="3784"/>
      <c r="AD1" s="3783" t="s">
        <v>457</v>
      </c>
      <c r="AE1" s="3784"/>
      <c r="AF1" s="3784"/>
      <c r="AG1" s="3784"/>
      <c r="AH1" s="3784"/>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1">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1"/>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1"/>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0"/>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6">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1"/>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1"/>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0"/>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6">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1"/>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1"/>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2"/>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0">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1"/>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1"/>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2"/>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0">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1"/>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1"/>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2"/>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7">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8"/>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8"/>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9"/>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0">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1"/>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1"/>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2"/>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0">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1">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1">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2">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0">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1">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1">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2">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0">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1">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1">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2">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0">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1">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1">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2">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0">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1">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1">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2">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0">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1">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1">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2">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0">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1">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1">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2">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0">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1">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1">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2">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0">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1">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1">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2">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0">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1">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1">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2">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45135</v>
      </c>
      <c r="D1" s="1302" t="s">
        <v>603</v>
      </c>
      <c r="E1" s="1297">
        <f>'数据-取费表'!B22</f>
        <v>1</v>
      </c>
      <c r="F1" s="1302" t="s">
        <v>604</v>
      </c>
      <c r="G1" s="1298">
        <f ca="1">INDIRECT("d"&amp;$K$1)/100</f>
        <v>3.5499999999999997E-2</v>
      </c>
      <c r="H1" s="1302" t="s">
        <v>634</v>
      </c>
      <c r="I1" s="1298">
        <f ca="1">F4/100</f>
        <v>1.4999999999999999E-2</v>
      </c>
      <c r="J1" s="1303">
        <f>IF(C1&gt;C13,0,MATCH(C1,C$13:C$110,-1))+IF(SUMIF(C13:C110,C1,D13:D110)=0,13,12)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3.55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3.55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3.55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3.55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45097</v>
      </c>
      <c r="D13" s="2822">
        <v>3.55</v>
      </c>
      <c r="E13" s="2822">
        <f>D13</f>
        <v>3.55</v>
      </c>
      <c r="F13" s="2822">
        <f>D13</f>
        <v>3.55</v>
      </c>
      <c r="G13" s="2822">
        <f>D13</f>
        <v>3.55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44795</v>
      </c>
      <c r="D14" s="2817">
        <v>3.65</v>
      </c>
      <c r="E14" s="2817">
        <v>3.65</v>
      </c>
      <c r="F14" s="2817">
        <v>3.65</v>
      </c>
      <c r="G14" s="2817">
        <v>3.65</v>
      </c>
      <c r="H14" s="2817">
        <v>4.3</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44701</v>
      </c>
      <c r="D15" s="2817">
        <v>3.7</v>
      </c>
      <c r="E15" s="2817">
        <f>D15</f>
        <v>3.7</v>
      </c>
      <c r="F15" s="2817">
        <f>D15</f>
        <v>3.7</v>
      </c>
      <c r="G15" s="2817">
        <f>D15</f>
        <v>3.7</v>
      </c>
      <c r="H15" s="2817">
        <v>4.45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44581</v>
      </c>
      <c r="D16" s="2817">
        <v>3.7</v>
      </c>
      <c r="E16" s="2817">
        <f>D16</f>
        <v>3.7</v>
      </c>
      <c r="F16" s="2817">
        <f>D16</f>
        <v>3.7</v>
      </c>
      <c r="G16" s="2817">
        <f>D16</f>
        <v>3.7</v>
      </c>
      <c r="H16" s="2817">
        <v>4.5999999999999996</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44550</v>
      </c>
      <c r="D17" s="2817">
        <v>3.8</v>
      </c>
      <c r="E17" s="2817">
        <f>D17</f>
        <v>3.8</v>
      </c>
      <c r="F17" s="2817">
        <f>D17</f>
        <v>3.8</v>
      </c>
      <c r="G17" s="2817">
        <f>D17</f>
        <v>3.8</v>
      </c>
      <c r="H17" s="2817">
        <v>4.6500000000000004</v>
      </c>
      <c r="I17" s="2817"/>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43941</v>
      </c>
      <c r="D18" s="2817">
        <v>3.85</v>
      </c>
      <c r="E18" s="2817">
        <v>3.85</v>
      </c>
      <c r="F18" s="2817">
        <v>3.85</v>
      </c>
      <c r="G18" s="2817">
        <v>3.85</v>
      </c>
      <c r="H18" s="2817">
        <v>4.6500000000000004</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43881</v>
      </c>
      <c r="D19" s="2817">
        <v>4.05</v>
      </c>
      <c r="E19" s="2817">
        <v>4.05</v>
      </c>
      <c r="F19" s="2817">
        <v>4.05</v>
      </c>
      <c r="G19" s="2817">
        <v>4.05</v>
      </c>
      <c r="H19" s="2817">
        <v>4.75</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43789</v>
      </c>
      <c r="D20" s="2817">
        <v>4.1500000000000004</v>
      </c>
      <c r="E20" s="2817">
        <v>4.1500000000000004</v>
      </c>
      <c r="F20" s="2817">
        <v>4.1500000000000004</v>
      </c>
      <c r="G20" s="2817">
        <v>4.1500000000000004</v>
      </c>
      <c r="H20" s="2817">
        <v>4.8</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43728</v>
      </c>
      <c r="D21" s="2817">
        <v>4.2</v>
      </c>
      <c r="E21" s="2817">
        <v>4.2</v>
      </c>
      <c r="F21" s="2817">
        <v>4.2</v>
      </c>
      <c r="G21" s="2817">
        <v>4.2</v>
      </c>
      <c r="H21" s="2817">
        <v>4.8499999999999996</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t="s">
        <v>2313</v>
      </c>
      <c r="C22" s="2819">
        <v>43697</v>
      </c>
      <c r="D22" s="2820">
        <v>4.25</v>
      </c>
      <c r="E22" s="2820">
        <v>4.25</v>
      </c>
      <c r="F22" s="2820">
        <v>4.25</v>
      </c>
      <c r="G22" s="2820">
        <v>4.25</v>
      </c>
      <c r="H22" s="2820">
        <v>4.8499999999999996</v>
      </c>
      <c r="I22" s="2820"/>
      <c r="J22" s="2820"/>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24"/>
      <c r="C23" s="2825">
        <v>42301</v>
      </c>
      <c r="D23" s="2826">
        <v>4.3499999999999996</v>
      </c>
      <c r="E23" s="2826">
        <v>4.3499999999999996</v>
      </c>
      <c r="F23" s="2826">
        <v>4.75</v>
      </c>
      <c r="G23" s="2826">
        <v>4.75</v>
      </c>
      <c r="H23" s="2826">
        <v>4.9000000000000004</v>
      </c>
      <c r="I23" s="2826"/>
      <c r="J23" s="282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42242</v>
      </c>
      <c r="D24" s="1290">
        <v>4.5999999999999996</v>
      </c>
      <c r="E24" s="1290">
        <v>4.5999999999999996</v>
      </c>
      <c r="F24" s="1290">
        <v>5</v>
      </c>
      <c r="G24" s="1290">
        <v>5</v>
      </c>
      <c r="H24" s="1290">
        <v>5.15</v>
      </c>
      <c r="I24" s="1290">
        <v>2.75</v>
      </c>
      <c r="J24" s="1290">
        <v>3.25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42183</v>
      </c>
      <c r="D25" s="1290">
        <v>4.8499999999999996</v>
      </c>
      <c r="E25" s="1290">
        <v>4.8499999999999996</v>
      </c>
      <c r="F25" s="1290">
        <v>5.25</v>
      </c>
      <c r="G25" s="1290">
        <v>5.25</v>
      </c>
      <c r="H25" s="1290">
        <v>5.4</v>
      </c>
      <c r="I25" s="1290">
        <v>3</v>
      </c>
      <c r="J25" s="1290">
        <v>3.5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42135</v>
      </c>
      <c r="D26" s="1290">
        <v>5.0999999999999996</v>
      </c>
      <c r="E26" s="1290">
        <v>5.0999999999999996</v>
      </c>
      <c r="F26" s="1290">
        <v>5.5</v>
      </c>
      <c r="G26" s="1290">
        <v>5.5</v>
      </c>
      <c r="H26" s="1290">
        <v>5.65</v>
      </c>
      <c r="I26" s="1290">
        <v>3.25</v>
      </c>
      <c r="J26" s="1290">
        <v>3.75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42064</v>
      </c>
      <c r="D27" s="1290">
        <v>5.35</v>
      </c>
      <c r="E27" s="1290">
        <v>5.35</v>
      </c>
      <c r="F27" s="1290">
        <v>5.75</v>
      </c>
      <c r="G27" s="1290">
        <v>5.75</v>
      </c>
      <c r="H27" s="1290">
        <v>5.9</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41965</v>
      </c>
      <c r="D28" s="1290">
        <v>5.6</v>
      </c>
      <c r="E28" s="1290">
        <v>5.6</v>
      </c>
      <c r="F28" s="1290">
        <v>6</v>
      </c>
      <c r="G28" s="1290">
        <v>6</v>
      </c>
      <c r="H28" s="1290">
        <v>6.15</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41096</v>
      </c>
      <c r="D29" s="1290">
        <v>5.6</v>
      </c>
      <c r="E29" s="1290">
        <v>6</v>
      </c>
      <c r="F29" s="1290">
        <v>6.15</v>
      </c>
      <c r="G29" s="1290">
        <v>6.4</v>
      </c>
      <c r="H29" s="1290">
        <v>6.55</v>
      </c>
      <c r="I29" s="1290">
        <v>4</v>
      </c>
      <c r="J29" s="1290">
        <v>4.5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41068</v>
      </c>
      <c r="D30" s="1290">
        <v>5.85</v>
      </c>
      <c r="E30" s="1290">
        <v>6.31</v>
      </c>
      <c r="F30" s="1290">
        <v>6.4</v>
      </c>
      <c r="G30" s="1290">
        <v>6.65</v>
      </c>
      <c r="H30" s="1290">
        <v>6.8</v>
      </c>
      <c r="I30" s="1290">
        <v>4.2</v>
      </c>
      <c r="J30" s="1290">
        <v>4.7</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40731</v>
      </c>
      <c r="D31" s="1290">
        <v>6.1</v>
      </c>
      <c r="E31" s="1290">
        <v>6.56</v>
      </c>
      <c r="F31" s="1290">
        <v>6.65</v>
      </c>
      <c r="G31" s="1290">
        <v>6.9</v>
      </c>
      <c r="H31" s="1290">
        <v>7.05</v>
      </c>
      <c r="I31" s="1290">
        <v>4.45</v>
      </c>
      <c r="J31" s="1290">
        <v>4.9000000000000004</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40639</v>
      </c>
      <c r="D32" s="1290">
        <v>5.85</v>
      </c>
      <c r="E32" s="1290">
        <v>6.31</v>
      </c>
      <c r="F32" s="1290">
        <v>6.4</v>
      </c>
      <c r="G32" s="1290">
        <v>6.65</v>
      </c>
      <c r="H32" s="1290">
        <v>6.8</v>
      </c>
      <c r="I32" s="1290">
        <v>4.2</v>
      </c>
      <c r="J32" s="1290">
        <v>4.7</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40583</v>
      </c>
      <c r="D33" s="1290">
        <v>5.6</v>
      </c>
      <c r="E33" s="1290">
        <v>6.06</v>
      </c>
      <c r="F33" s="1290">
        <v>6.1</v>
      </c>
      <c r="G33" s="1290">
        <v>6.45</v>
      </c>
      <c r="H33" s="1290">
        <v>6.6</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40538</v>
      </c>
      <c r="D34" s="1290">
        <v>5.35</v>
      </c>
      <c r="E34" s="1290">
        <v>5.81</v>
      </c>
      <c r="F34" s="1290">
        <v>5.85</v>
      </c>
      <c r="G34" s="1290">
        <v>6.22</v>
      </c>
      <c r="H34" s="1290">
        <v>6.4</v>
      </c>
      <c r="I34" s="1290">
        <v>3.75</v>
      </c>
      <c r="J34" s="1290">
        <v>4.3</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40471</v>
      </c>
      <c r="D35" s="1290">
        <v>5.0999999999999996</v>
      </c>
      <c r="E35" s="1290">
        <v>5.56</v>
      </c>
      <c r="F35" s="1290">
        <v>5.6</v>
      </c>
      <c r="G35" s="1290">
        <v>5.96</v>
      </c>
      <c r="H35" s="1290">
        <v>6.14</v>
      </c>
      <c r="I35" s="1290">
        <v>3.5</v>
      </c>
      <c r="J35" s="1290">
        <v>4.05</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39805</v>
      </c>
      <c r="D36" s="1290">
        <v>4.8600000000000003</v>
      </c>
      <c r="E36" s="1290">
        <v>5.31</v>
      </c>
      <c r="F36" s="1290">
        <v>5.4</v>
      </c>
      <c r="G36" s="1290">
        <v>5.76</v>
      </c>
      <c r="H36" s="1290">
        <v>5.94</v>
      </c>
      <c r="I36" s="1290">
        <v>3.33</v>
      </c>
      <c r="J36" s="1290">
        <v>3.87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39779</v>
      </c>
      <c r="D37" s="1290">
        <v>5.04</v>
      </c>
      <c r="E37" s="1290">
        <v>5.58</v>
      </c>
      <c r="F37" s="1290">
        <v>5.67</v>
      </c>
      <c r="G37" s="1290">
        <v>5.94</v>
      </c>
      <c r="H37" s="1290">
        <v>6.12</v>
      </c>
      <c r="I37" s="1290">
        <v>3.51</v>
      </c>
      <c r="J37" s="1290">
        <v>4.05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39751</v>
      </c>
      <c r="D38" s="1290">
        <v>6.03</v>
      </c>
      <c r="E38" s="1290">
        <v>6.66</v>
      </c>
      <c r="F38" s="1290">
        <v>6.75</v>
      </c>
      <c r="G38" s="1290">
        <v>7.02</v>
      </c>
      <c r="H38" s="1290">
        <v>7.2</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2">
        <v>39748</v>
      </c>
      <c r="D39" s="1290">
        <v>6.12</v>
      </c>
      <c r="E39" s="1290">
        <v>6.93</v>
      </c>
      <c r="F39" s="1290">
        <v>7.02</v>
      </c>
      <c r="G39" s="1290">
        <v>7.29</v>
      </c>
      <c r="H39" s="1290">
        <v>7.47</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39730</v>
      </c>
      <c r="D40" s="1290">
        <v>6.12</v>
      </c>
      <c r="E40" s="1290">
        <v>6.93</v>
      </c>
      <c r="F40" s="1290">
        <v>7.02</v>
      </c>
      <c r="G40" s="1290">
        <v>7.29</v>
      </c>
      <c r="H40" s="1290">
        <v>7.47</v>
      </c>
      <c r="I40" s="1290">
        <v>4.32</v>
      </c>
      <c r="J40" s="1290">
        <v>4.8600000000000003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39707</v>
      </c>
      <c r="D41" s="1290">
        <v>6.21</v>
      </c>
      <c r="E41" s="1290">
        <v>7.2</v>
      </c>
      <c r="F41" s="1290">
        <v>7.29</v>
      </c>
      <c r="G41" s="1290">
        <v>7.56</v>
      </c>
      <c r="H41" s="1290">
        <v>7.74</v>
      </c>
      <c r="I41" s="1290">
        <v>4.59</v>
      </c>
      <c r="J41" s="1290">
        <v>5.13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39437</v>
      </c>
      <c r="D42" s="1290">
        <v>6.57</v>
      </c>
      <c r="E42" s="1290">
        <v>7.47</v>
      </c>
      <c r="F42" s="1290">
        <v>7.56</v>
      </c>
      <c r="G42" s="1290">
        <v>7.74</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39340</v>
      </c>
      <c r="D43" s="1290">
        <v>6.48</v>
      </c>
      <c r="E43" s="1290">
        <v>7.29</v>
      </c>
      <c r="F43" s="1290">
        <v>7.47</v>
      </c>
      <c r="G43" s="1290">
        <v>7.65</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39316</v>
      </c>
      <c r="D44" s="1290">
        <v>6.21</v>
      </c>
      <c r="E44" s="1290">
        <v>7.02</v>
      </c>
      <c r="F44" s="1290">
        <v>7.2</v>
      </c>
      <c r="G44" s="1290">
        <v>7.38</v>
      </c>
      <c r="H44" s="1290">
        <v>7.56</v>
      </c>
      <c r="I44" s="1290">
        <v>4.59</v>
      </c>
      <c r="J44" s="1290">
        <v>5.04</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39284</v>
      </c>
      <c r="D45" s="1290">
        <v>6.03</v>
      </c>
      <c r="E45" s="1290">
        <v>6.84</v>
      </c>
      <c r="F45" s="1290">
        <v>7.02</v>
      </c>
      <c r="G45" s="1290">
        <v>7.2</v>
      </c>
      <c r="H45" s="1290">
        <v>7.38</v>
      </c>
      <c r="I45" s="1290">
        <v>4.5</v>
      </c>
      <c r="J45" s="1290">
        <v>4.95</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39221</v>
      </c>
      <c r="D46" s="1290">
        <v>5.85</v>
      </c>
      <c r="E46" s="1290">
        <v>6.57</v>
      </c>
      <c r="F46" s="1290">
        <v>6.75</v>
      </c>
      <c r="G46" s="1290">
        <v>6.93</v>
      </c>
      <c r="H46" s="1290">
        <v>7.2</v>
      </c>
      <c r="I46" s="1290">
        <v>4.41</v>
      </c>
      <c r="J46" s="1290">
        <v>4.8600000000000003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39159</v>
      </c>
      <c r="D47" s="1290">
        <v>5.67</v>
      </c>
      <c r="E47" s="1290">
        <v>6.39</v>
      </c>
      <c r="F47" s="1290">
        <v>6.57</v>
      </c>
      <c r="G47" s="1290">
        <v>6.75</v>
      </c>
      <c r="H47" s="1290">
        <v>7.11</v>
      </c>
      <c r="I47" s="1290">
        <v>4.32</v>
      </c>
      <c r="J47" s="1290">
        <v>4.7699999999999996</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38948</v>
      </c>
      <c r="D48" s="1290">
        <v>5.58</v>
      </c>
      <c r="E48" s="1290">
        <v>6.12</v>
      </c>
      <c r="F48" s="1290">
        <v>6.3</v>
      </c>
      <c r="G48" s="1290">
        <v>6.48</v>
      </c>
      <c r="H48" s="1290">
        <v>6.84</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38835</v>
      </c>
      <c r="D49" s="1290">
        <v>5.4</v>
      </c>
      <c r="E49" s="1290">
        <v>5.85</v>
      </c>
      <c r="F49" s="1290">
        <v>6.03</v>
      </c>
      <c r="G49" s="1290">
        <v>6.12</v>
      </c>
      <c r="H49" s="1290">
        <v>6.39</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38428</v>
      </c>
      <c r="D50" s="1290">
        <v>5.22</v>
      </c>
      <c r="E50" s="1290">
        <v>5.58</v>
      </c>
      <c r="F50" s="1290">
        <v>5.76</v>
      </c>
      <c r="G50" s="1290">
        <v>5.85</v>
      </c>
      <c r="H50" s="1290">
        <v>6.12</v>
      </c>
      <c r="I50" s="1290">
        <v>3.96</v>
      </c>
      <c r="J50" s="1290">
        <v>4.41</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38289</v>
      </c>
      <c r="D51" s="1290">
        <v>5.22</v>
      </c>
      <c r="E51" s="1290">
        <v>5.58</v>
      </c>
      <c r="F51" s="1290">
        <v>5.76</v>
      </c>
      <c r="G51" s="1290">
        <v>5.85</v>
      </c>
      <c r="H51" s="1290">
        <v>6.12</v>
      </c>
      <c r="I51" s="1290">
        <v>3.78</v>
      </c>
      <c r="J51" s="1290">
        <v>4.2300000000000004</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37308</v>
      </c>
      <c r="D52" s="1290">
        <v>5.04</v>
      </c>
      <c r="E52" s="1290">
        <v>5.31</v>
      </c>
      <c r="F52" s="1290">
        <v>5.49</v>
      </c>
      <c r="G52" s="1290">
        <v>5.58</v>
      </c>
      <c r="H52" s="1290">
        <v>5.76</v>
      </c>
      <c r="I52" s="1290">
        <v>3.6</v>
      </c>
      <c r="J52" s="1290">
        <v>4.05</v>
      </c>
      <c r="L52" s="1290"/>
      <c r="M52" s="1291"/>
      <c r="N52" s="1290"/>
      <c r="O52" s="1290"/>
      <c r="P52" s="1290"/>
      <c r="Q52" s="1290"/>
      <c r="R52" s="1290"/>
      <c r="S52" s="1290"/>
      <c r="T52" s="1290"/>
      <c r="U52" s="1290"/>
      <c r="V52" s="1290"/>
      <c r="W52" s="1290"/>
      <c r="X52" s="1290"/>
      <c r="Y52" s="1290"/>
      <c r="Z52" s="1290"/>
    </row>
    <row r="53" spans="2:26">
      <c r="B53" s="1290"/>
      <c r="C53" s="1291">
        <v>36321</v>
      </c>
      <c r="D53" s="1290">
        <v>5.58</v>
      </c>
      <c r="E53" s="1290">
        <v>5.85</v>
      </c>
      <c r="F53" s="1290">
        <v>5.94</v>
      </c>
      <c r="G53" s="1290">
        <v>6.03</v>
      </c>
      <c r="H53" s="1290">
        <v>6.21</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36136</v>
      </c>
      <c r="D54" s="1290">
        <v>6.12</v>
      </c>
      <c r="E54" s="1290">
        <v>6.39</v>
      </c>
      <c r="F54" s="1290">
        <v>6.66</v>
      </c>
      <c r="G54" s="1290">
        <v>7.2</v>
      </c>
      <c r="H54" s="1290">
        <v>7.56</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35977</v>
      </c>
      <c r="D55" s="1290">
        <v>6.57</v>
      </c>
      <c r="E55" s="1290">
        <v>6.93</v>
      </c>
      <c r="F55" s="1290">
        <v>7.11</v>
      </c>
      <c r="G55" s="1290">
        <v>7.65</v>
      </c>
      <c r="H55" s="1290">
        <v>8.01</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35879</v>
      </c>
      <c r="D56" s="1290">
        <v>7.02</v>
      </c>
      <c r="E56" s="1290">
        <v>7.92</v>
      </c>
      <c r="F56" s="1290">
        <v>9</v>
      </c>
      <c r="G56" s="1290">
        <v>9.7200000000000006</v>
      </c>
      <c r="H56" s="1290">
        <v>10.35</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35726</v>
      </c>
      <c r="D57" s="1290">
        <v>7.65</v>
      </c>
      <c r="E57" s="1290">
        <v>8.64</v>
      </c>
      <c r="F57" s="1290">
        <v>9.36</v>
      </c>
      <c r="G57" s="1290">
        <v>9.9</v>
      </c>
      <c r="H57" s="1290">
        <v>10.53</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35300</v>
      </c>
      <c r="D58" s="1290">
        <v>9.18</v>
      </c>
      <c r="E58" s="1290">
        <v>10.08</v>
      </c>
      <c r="F58" s="1290">
        <v>10.98</v>
      </c>
      <c r="G58" s="1290">
        <v>11.7</v>
      </c>
      <c r="H58" s="1290">
        <v>12.42</v>
      </c>
      <c r="I58" s="1290">
        <v>0</v>
      </c>
      <c r="J58" s="1290">
        <v>0</v>
      </c>
    </row>
    <row r="59" spans="2:26">
      <c r="B59" s="1290"/>
      <c r="C59" s="1291">
        <v>35186</v>
      </c>
      <c r="D59" s="1290">
        <v>9.7200000000000006</v>
      </c>
      <c r="E59" s="1290">
        <v>10.98</v>
      </c>
      <c r="F59" s="1290">
        <v>13.14</v>
      </c>
      <c r="G59" s="1290">
        <v>14.94</v>
      </c>
      <c r="H59" s="1290">
        <v>15.12</v>
      </c>
      <c r="I59" s="1290">
        <v>0</v>
      </c>
      <c r="J59" s="1290">
        <v>0</v>
      </c>
    </row>
    <row r="60" spans="2:26">
      <c r="B60" s="1290"/>
      <c r="C60" s="1291">
        <v>34881</v>
      </c>
      <c r="D60" s="1290">
        <v>10.08</v>
      </c>
      <c r="E60" s="1290">
        <v>12.06</v>
      </c>
      <c r="F60" s="1290">
        <v>13.5</v>
      </c>
      <c r="G60" s="1290">
        <v>15.12</v>
      </c>
      <c r="H60" s="1290">
        <v>15.3</v>
      </c>
      <c r="I60" s="1290">
        <v>0</v>
      </c>
      <c r="J60" s="1290">
        <v>0</v>
      </c>
    </row>
    <row r="61" spans="2:26">
      <c r="B61" s="1290"/>
      <c r="C61" s="1291">
        <v>34700</v>
      </c>
      <c r="D61" s="1290">
        <v>9</v>
      </c>
      <c r="E61" s="1290">
        <v>10.98</v>
      </c>
      <c r="F61" s="1290">
        <v>12.96</v>
      </c>
      <c r="G61" s="1290">
        <v>14.58</v>
      </c>
      <c r="H61" s="1290">
        <v>14.76</v>
      </c>
      <c r="I61" s="1290">
        <v>0</v>
      </c>
      <c r="J61" s="1290">
        <v>0</v>
      </c>
    </row>
    <row r="62" spans="2:26">
      <c r="B62" s="1290"/>
      <c r="C62" s="1291">
        <v>34161</v>
      </c>
      <c r="D62" s="1290">
        <v>9</v>
      </c>
      <c r="E62" s="1290">
        <v>10.98</v>
      </c>
      <c r="F62" s="1290">
        <v>12.24</v>
      </c>
      <c r="G62" s="1290">
        <v>13.86</v>
      </c>
      <c r="H62" s="1290">
        <v>14.04</v>
      </c>
      <c r="I62" s="1290">
        <v>0</v>
      </c>
      <c r="J62" s="1290">
        <v>0</v>
      </c>
    </row>
    <row r="63" spans="2:26">
      <c r="B63" s="1290"/>
      <c r="C63" s="1291">
        <v>34104</v>
      </c>
      <c r="D63" s="1290">
        <v>8.82</v>
      </c>
      <c r="E63" s="1290">
        <v>9.36</v>
      </c>
      <c r="F63" s="1290">
        <v>10.8</v>
      </c>
      <c r="G63" s="1290">
        <v>12.06</v>
      </c>
      <c r="H63" s="1290">
        <v>12.24</v>
      </c>
      <c r="I63" s="1290">
        <v>0</v>
      </c>
      <c r="J63" s="1290">
        <v>0</v>
      </c>
    </row>
    <row r="64" spans="2:26">
      <c r="B64" s="1290"/>
      <c r="C64" s="1291">
        <v>33349</v>
      </c>
      <c r="D64" s="1290">
        <v>8.1</v>
      </c>
      <c r="E64" s="1290">
        <v>8.64</v>
      </c>
      <c r="F64" s="1290">
        <v>9</v>
      </c>
      <c r="G64" s="1290">
        <v>9.5399999999999991</v>
      </c>
      <c r="H64" s="1290">
        <v>9.7200000000000006</v>
      </c>
      <c r="I64" s="1290">
        <v>0</v>
      </c>
      <c r="J64" s="1290">
        <v>0</v>
      </c>
    </row>
    <row r="65" spans="2:10">
      <c r="B65" s="1290"/>
      <c r="C65" s="1291">
        <v>33318</v>
      </c>
      <c r="D65" s="1290">
        <v>9</v>
      </c>
      <c r="E65" s="1290">
        <v>10.08</v>
      </c>
      <c r="F65" s="1290">
        <v>10.8</v>
      </c>
      <c r="G65" s="1290">
        <v>11.52</v>
      </c>
      <c r="H65" s="1290">
        <v>11.88</v>
      </c>
      <c r="I65" s="1290" t="s">
        <v>633</v>
      </c>
      <c r="J65" s="1290" t="s">
        <v>633</v>
      </c>
    </row>
    <row r="66" spans="2:10">
      <c r="B66" s="1290"/>
      <c r="C66" s="1291">
        <v>33106</v>
      </c>
      <c r="D66" s="1290">
        <v>8.64</v>
      </c>
      <c r="E66" s="1290">
        <v>9.36</v>
      </c>
      <c r="F66" s="1290">
        <v>10.08</v>
      </c>
      <c r="G66" s="1290">
        <v>10.8</v>
      </c>
      <c r="H66" s="1290">
        <v>11.16</v>
      </c>
      <c r="I66" s="1290">
        <v>0</v>
      </c>
      <c r="J66" s="1290">
        <v>0</v>
      </c>
    </row>
    <row r="67" spans="2:10">
      <c r="B67" s="1290"/>
      <c r="C67" s="1291">
        <v>32540</v>
      </c>
      <c r="D67" s="1290">
        <v>11.34</v>
      </c>
      <c r="E67" s="1290">
        <v>11.34</v>
      </c>
      <c r="F67" s="1290">
        <v>12.78</v>
      </c>
      <c r="G67" s="1290">
        <v>14.4</v>
      </c>
      <c r="H67" s="1290">
        <v>19.260000000000002</v>
      </c>
      <c r="I67" s="1290">
        <v>0</v>
      </c>
      <c r="J67" s="1290">
        <v>0</v>
      </c>
    </row>
    <row r="68" spans="2:10">
      <c r="B68" s="1290"/>
      <c r="C68" s="1291"/>
      <c r="D68" s="1290"/>
      <c r="E68" s="1290"/>
      <c r="F68" s="1290"/>
      <c r="G68" s="1290"/>
      <c r="H68" s="1290"/>
      <c r="I68" s="1290"/>
      <c r="J68" s="1290"/>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42"/>
      <c r="C72" s="1242"/>
      <c r="D72" s="1242"/>
      <c r="E72" s="1242"/>
      <c r="F72" s="1242"/>
      <c r="G72" s="1242"/>
      <c r="H72" s="1242"/>
      <c r="I72" s="1242"/>
      <c r="J72" s="1242"/>
    </row>
    <row r="73" spans="2:10">
      <c r="B73" s="1242"/>
      <c r="C73" s="1242"/>
      <c r="D73" s="1242"/>
      <c r="E73" s="1242"/>
      <c r="F73" s="1242"/>
      <c r="G73" s="1242"/>
      <c r="H73" s="1242"/>
      <c r="I73" s="1242"/>
      <c r="J73"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27" sqref="V27"/>
    </sheetView>
  </sheetViews>
  <sheetFormatPr defaultRowHeight="13.5"/>
  <sheetData/>
  <phoneticPr fontId="134" type="noConversion"/>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0" t="str">
        <f>IF(项目基本情况!B9="房地产市场价值","估价结果一览表","结果表-2")</f>
        <v>结果表-2</v>
      </c>
      <c r="B1" s="3470"/>
      <c r="C1" s="3470"/>
      <c r="D1" s="3470"/>
      <c r="E1" s="3470"/>
      <c r="F1" s="3470"/>
      <c r="G1" s="3470"/>
      <c r="H1" s="3470"/>
      <c r="I1" s="3470"/>
    </row>
    <row r="2" spans="1:9" ht="30" customHeight="1" thickTop="1">
      <c r="A2" s="3471" t="s">
        <v>928</v>
      </c>
      <c r="B2" s="3471" t="s">
        <v>929</v>
      </c>
      <c r="C2" s="3471" t="s">
        <v>930</v>
      </c>
      <c r="D2" s="3471" t="str">
        <f>结果表!D116</f>
        <v>出让国有建设用地使用权价值</v>
      </c>
      <c r="E2" s="3471"/>
      <c r="F2" s="3471" t="str">
        <f>结果表!F116</f>
        <v>在建建筑物价值</v>
      </c>
      <c r="G2" s="3471"/>
      <c r="H2" s="3471" t="str">
        <f>IF(项目基本情况!B9="房地产市场价值","房地产市场价值","房地产价值")</f>
        <v>房地产价值</v>
      </c>
      <c r="I2" s="3471"/>
    </row>
    <row r="3" spans="1:9" ht="15">
      <c r="A3" s="3466"/>
      <c r="B3" s="3466"/>
      <c r="C3" s="3466"/>
      <c r="D3" s="854" t="s">
        <v>925</v>
      </c>
      <c r="E3" s="854" t="s">
        <v>931</v>
      </c>
      <c r="F3" s="854" t="s">
        <v>925</v>
      </c>
      <c r="G3" s="854" t="s">
        <v>926</v>
      </c>
      <c r="H3" s="854" t="s">
        <v>925</v>
      </c>
      <c r="I3" s="854" t="s">
        <v>926</v>
      </c>
    </row>
    <row r="4" spans="1:9" ht="15">
      <c r="A4" s="1505" t="str">
        <f>项目基本情况!S2</f>
        <v>北京市房地产</v>
      </c>
      <c r="B4" s="854">
        <f>项目基本情况!C17</f>
        <v>7284.24</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66" t="s">
        <v>927</v>
      </c>
      <c r="B5" s="3466"/>
      <c r="C5" s="3466"/>
      <c r="D5" s="3466" t="e">
        <f ca="1">结果表!D119</f>
        <v>#REF!</v>
      </c>
      <c r="E5" s="3466"/>
      <c r="F5" s="3466" t="e">
        <f ca="1">结果表!F119</f>
        <v>#REF!</v>
      </c>
      <c r="G5" s="3466"/>
      <c r="H5" s="3466" t="e">
        <f ca="1">结果表!H119</f>
        <v>#REF!</v>
      </c>
      <c r="I5" s="3466"/>
    </row>
    <row r="6" spans="1:9" ht="15.75">
      <c r="A6" s="3465" t="str">
        <f>结果表!A120</f>
        <v>估价师知悉的法定优先受偿款</v>
      </c>
      <c r="B6" s="3465"/>
      <c r="C6" s="3465"/>
      <c r="D6" s="3465">
        <f>结果表!D120</f>
        <v>0</v>
      </c>
      <c r="E6" s="3465"/>
      <c r="F6" s="3465"/>
      <c r="G6" s="3465"/>
      <c r="H6" s="3465"/>
      <c r="I6" s="3465"/>
    </row>
    <row r="7" spans="1:9" ht="15">
      <c r="A7" s="3466" t="s">
        <v>927</v>
      </c>
      <c r="B7" s="3466"/>
      <c r="C7" s="3466"/>
      <c r="D7" s="3467" t="str">
        <f>结果表!D121</f>
        <v>零元整</v>
      </c>
      <c r="E7" s="3468"/>
      <c r="F7" s="3468"/>
      <c r="G7" s="3468"/>
      <c r="H7" s="3468"/>
      <c r="I7" s="3469"/>
    </row>
    <row r="8" spans="1:9" ht="15.75">
      <c r="A8" s="3465" t="str">
        <f>结果表!A122</f>
        <v>房地产抵押价值</v>
      </c>
      <c r="B8" s="3465"/>
      <c r="C8" s="3465"/>
      <c r="D8" s="3465" t="e">
        <f ca="1">结果表!D122</f>
        <v>#REF!</v>
      </c>
      <c r="E8" s="3465"/>
      <c r="F8" s="3465"/>
      <c r="G8" s="3465"/>
      <c r="H8" s="3465"/>
      <c r="I8" s="3465"/>
    </row>
    <row r="9" spans="1:9" ht="15">
      <c r="A9" s="3466" t="s">
        <v>927</v>
      </c>
      <c r="B9" s="3466"/>
      <c r="C9" s="3466"/>
      <c r="D9" s="3466" t="e">
        <f ca="1">结果表!D123</f>
        <v>#REF!</v>
      </c>
      <c r="E9" s="3466"/>
      <c r="F9" s="3466"/>
      <c r="G9" s="3466"/>
      <c r="H9" s="3466"/>
      <c r="I9" s="3466"/>
    </row>
    <row r="10" spans="1:9" ht="15.75">
      <c r="A10" s="3465" t="str">
        <f>结果表!A124</f>
        <v/>
      </c>
      <c r="B10" s="3465"/>
      <c r="C10" s="3465"/>
      <c r="D10" s="3465" t="str">
        <f>结果表!D124</f>
        <v>——</v>
      </c>
      <c r="E10" s="3465"/>
      <c r="F10" s="3465"/>
      <c r="G10" s="3465"/>
      <c r="H10" s="3465"/>
      <c r="I10" s="3465"/>
    </row>
    <row r="11" spans="1:9" ht="15">
      <c r="A11" s="3466" t="s">
        <v>927</v>
      </c>
      <c r="B11" s="3466"/>
      <c r="C11" s="3466"/>
      <c r="D11" s="3466" t="e">
        <f>结果表!D125</f>
        <v>#VALUE!</v>
      </c>
      <c r="E11" s="3466"/>
      <c r="F11" s="3466"/>
      <c r="G11" s="3466"/>
      <c r="H11" s="3466"/>
      <c r="I11" s="3466"/>
    </row>
    <row r="12" spans="1:9" ht="15.75">
      <c r="A12" s="3465" t="str">
        <f>结果表!A126</f>
        <v/>
      </c>
      <c r="B12" s="3465"/>
      <c r="C12" s="3465"/>
      <c r="D12" s="3465" t="str">
        <f>结果表!D126</f>
        <v>——</v>
      </c>
      <c r="E12" s="3465"/>
      <c r="F12" s="3465"/>
      <c r="G12" s="3465"/>
      <c r="H12" s="3465"/>
      <c r="I12" s="3465"/>
    </row>
    <row r="13" spans="1:9" ht="15.75" thickBot="1">
      <c r="A13" s="3463" t="s">
        <v>927</v>
      </c>
      <c r="B13" s="3463"/>
      <c r="C13" s="3463"/>
      <c r="D13" s="3463" t="e">
        <f>结果表!D127</f>
        <v>#VALUE!</v>
      </c>
      <c r="E13" s="3463"/>
      <c r="F13" s="3463"/>
      <c r="G13" s="3463"/>
      <c r="H13" s="3463"/>
      <c r="I13" s="3463"/>
    </row>
    <row r="14" spans="1:9" ht="15" thickTop="1">
      <c r="A14" s="3464" t="s">
        <v>932</v>
      </c>
      <c r="B14" s="3464"/>
      <c r="C14" s="3464"/>
      <c r="D14" s="3464"/>
      <c r="E14" s="3464"/>
      <c r="F14" s="3464"/>
      <c r="G14" s="3464"/>
      <c r="H14" s="3464"/>
      <c r="I14" s="3464"/>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8" t="s">
        <v>949</v>
      </c>
      <c r="B1" s="3478"/>
      <c r="C1" s="3478"/>
      <c r="D1" s="3478"/>
    </row>
    <row r="2" spans="1:4" ht="18">
      <c r="A2" s="3479" t="s">
        <v>933</v>
      </c>
      <c r="B2" s="3479"/>
      <c r="C2" s="3479"/>
      <c r="D2" s="3479"/>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9" t="s">
        <v>939</v>
      </c>
      <c r="B6" s="3479"/>
      <c r="C6" s="3479"/>
      <c r="D6" s="3479"/>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0" t="s">
        <v>942</v>
      </c>
      <c r="B11" s="3472"/>
      <c r="C11" s="3472"/>
      <c r="D11" s="3472"/>
    </row>
    <row r="12" spans="1:4" ht="15.75">
      <c r="A12" s="347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7"/>
      <c r="C12" s="3477"/>
      <c r="D12" s="3477"/>
    </row>
    <row r="13" spans="1:4" ht="30" customHeight="1">
      <c r="A13" s="347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7"/>
      <c r="C13" s="3477"/>
      <c r="D13" s="3477"/>
    </row>
    <row r="14" spans="1:4" ht="15.75" customHeight="1">
      <c r="A14" s="3472" t="str">
        <f>IF(项目基本情况!B8="抵押","4.本次评估估价师所知悉的法定优先受偿款情况说明如下：","——")</f>
        <v>4.本次评估估价师所知悉的法定优先受偿款情况说明如下：</v>
      </c>
      <c r="B14" s="3477"/>
      <c r="C14" s="3477"/>
      <c r="D14" s="3477"/>
    </row>
    <row r="15" spans="1:4" ht="42" customHeight="1">
      <c r="A15" s="347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2"/>
      <c r="C15" s="3472"/>
      <c r="D15" s="3472"/>
    </row>
    <row r="16" spans="1:4" ht="30" customHeight="1">
      <c r="A16" s="3474" t="s">
        <v>943</v>
      </c>
      <c r="B16" s="3474"/>
      <c r="C16" s="3474"/>
      <c r="D16" s="3474"/>
    </row>
    <row r="17" spans="1:4" ht="144" customHeight="1">
      <c r="A17" s="3474" t="s">
        <v>944</v>
      </c>
      <c r="B17" s="3474"/>
      <c r="C17" s="3474"/>
      <c r="D17" s="3474"/>
    </row>
    <row r="18" spans="1:4" ht="15.75" customHeight="1">
      <c r="A18" s="3472" t="str">
        <f>IF(项目基本情况!B8="抵押",结果表!K120,"——")</f>
        <v>故，本次评估不存在估价师知悉的法定优先受偿款</v>
      </c>
      <c r="B18" s="3472"/>
      <c r="C18" s="3472"/>
      <c r="D18" s="3472"/>
    </row>
    <row r="19" spans="1:4" ht="46.5" customHeight="1">
      <c r="A19" s="347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spans="1:4" ht="57.75" customHeight="1">
      <c r="A20" s="347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2"/>
      <c r="C20" s="3472"/>
      <c r="D20" s="3472"/>
    </row>
    <row r="21" spans="1:4" ht="57.75" customHeight="1">
      <c r="A21" s="34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5"/>
      <c r="C21" s="3475"/>
      <c r="D21" s="3475"/>
    </row>
    <row r="22" spans="1:4" ht="18.75" customHeight="1">
      <c r="A22" s="3476" t="s">
        <v>945</v>
      </c>
      <c r="B22" s="3476"/>
      <c r="C22" s="3476"/>
      <c r="D22" s="3476"/>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3">
        <v>42551</v>
      </c>
      <c r="D31" s="347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P26" sqref="P26"/>
      <selection pane="bottomLeft" activeCell="P26" sqref="P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6" t="s">
        <v>956</v>
      </c>
      <c r="B15" s="3481" t="s">
        <v>109</v>
      </c>
      <c r="C15" s="3482"/>
    </row>
    <row r="16" spans="1:7" ht="13.5">
      <c r="A16" s="3487"/>
      <c r="B16" s="3481" t="s">
        <v>42</v>
      </c>
      <c r="C16" s="3482"/>
    </row>
    <row r="17" spans="1:3" ht="13.5">
      <c r="A17" s="3487"/>
      <c r="B17" s="3484" t="s">
        <v>957</v>
      </c>
      <c r="C17" s="1532" t="s">
        <v>956</v>
      </c>
    </row>
    <row r="18" spans="1:3" ht="13.5">
      <c r="A18" s="3487"/>
      <c r="B18" s="3484"/>
      <c r="C18" s="1532" t="s">
        <v>958</v>
      </c>
    </row>
    <row r="19" spans="1:3" ht="13.5">
      <c r="A19" s="3487"/>
      <c r="B19" s="3484"/>
      <c r="C19" s="1532" t="s">
        <v>959</v>
      </c>
    </row>
    <row r="20" spans="1:3" ht="13.5">
      <c r="A20" s="3488"/>
      <c r="B20" s="3483" t="s">
        <v>960</v>
      </c>
      <c r="C20" s="3482"/>
    </row>
    <row r="21" spans="1:3" ht="13.5">
      <c r="A21" s="1533" t="s">
        <v>961</v>
      </c>
      <c r="B21" s="1534"/>
      <c r="C21" s="1535"/>
    </row>
    <row r="22" spans="1:3" ht="13.5">
      <c r="A22" s="3485" t="s">
        <v>962</v>
      </c>
      <c r="B22" s="3483" t="s">
        <v>963</v>
      </c>
      <c r="C22" s="3482"/>
    </row>
    <row r="23" spans="1:3" ht="13.5">
      <c r="A23" s="3485"/>
      <c r="B23" s="3483" t="s">
        <v>964</v>
      </c>
      <c r="C23" s="3482"/>
    </row>
    <row r="24" spans="1:3" ht="13.5">
      <c r="A24" s="3485"/>
      <c r="B24" s="3483" t="s">
        <v>965</v>
      </c>
      <c r="C24" s="3482"/>
    </row>
    <row r="25" spans="1:3" ht="13.5">
      <c r="A25" s="3485"/>
      <c r="B25" s="3484" t="s">
        <v>966</v>
      </c>
      <c r="C25" s="1532" t="s">
        <v>967</v>
      </c>
    </row>
    <row r="26" spans="1:3" ht="13.5">
      <c r="A26" s="3485"/>
      <c r="B26" s="3484"/>
      <c r="C26" s="1532" t="s">
        <v>968</v>
      </c>
    </row>
    <row r="27" spans="1:3" ht="13.5">
      <c r="A27" s="3485"/>
      <c r="B27" s="3484"/>
      <c r="C27" s="1532" t="s">
        <v>969</v>
      </c>
    </row>
    <row r="28" spans="1:3" ht="13.5">
      <c r="A28" s="3485"/>
      <c r="B28" s="3484"/>
      <c r="C28" s="1532" t="s">
        <v>970</v>
      </c>
    </row>
    <row r="29" spans="1:3" ht="13.5">
      <c r="A29" s="3485"/>
      <c r="B29" s="3484"/>
      <c r="C29" s="1532" t="s">
        <v>971</v>
      </c>
    </row>
    <row r="30" spans="1:3" ht="13.5">
      <c r="A30" s="3485"/>
      <c r="B30" s="3484"/>
      <c r="C30" s="1532" t="s">
        <v>972</v>
      </c>
    </row>
    <row r="31" spans="1:3" ht="13.5">
      <c r="A31" s="3485"/>
      <c r="B31" s="3484"/>
      <c r="C31" s="1532" t="s">
        <v>973</v>
      </c>
    </row>
    <row r="32" spans="1:3" ht="13.5">
      <c r="A32" s="3485"/>
      <c r="B32" s="3484"/>
      <c r="C32" s="1532" t="s">
        <v>974</v>
      </c>
    </row>
    <row r="33" spans="1:3" ht="13.5">
      <c r="A33" s="3485"/>
      <c r="B33" s="3484"/>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P26" sqref="P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45138</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9" t="s">
        <v>2160</v>
      </c>
      <c r="B17" s="3489"/>
      <c r="C17" s="3489"/>
      <c r="D17" s="3489"/>
      <c r="E17" s="3489"/>
      <c r="F17" s="3489"/>
      <c r="G17" s="3489"/>
      <c r="H17" s="3489"/>
    </row>
    <row r="18" spans="1:8" ht="24" customHeight="1">
      <c r="A18" s="3490" t="s">
        <v>2161</v>
      </c>
      <c r="B18" s="3490"/>
      <c r="C18" s="3490"/>
      <c r="D18" s="2343"/>
      <c r="E18" s="3491" t="s">
        <v>2162</v>
      </c>
      <c r="F18" s="3490"/>
      <c r="G18" s="3490"/>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zhaowen</cp:lastModifiedBy>
  <cp:lastPrinted>2017-03-01T09:15:43Z</cp:lastPrinted>
  <dcterms:created xsi:type="dcterms:W3CDTF">2015-07-13T07:17:23Z</dcterms:created>
  <dcterms:modified xsi:type="dcterms:W3CDTF">2023-07-31T06:51:29Z</dcterms:modified>
</cp:coreProperties>
</file>