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12034CF0-895D-4B44-9B35-F2B36B359E6E}" xr6:coauthVersionLast="47" xr6:coauthVersionMax="47" xr10:uidLastSave="{00000000-0000-0000-0000-000000000000}"/>
  <bookViews>
    <workbookView xWindow="-120" yWindow="-120" windowWidth="21840" windowHeight="13140" tabRatio="899" firstSheet="13"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案例" sheetId="80" r:id="rId21"/>
    <sheet name="Sheet2" sheetId="81"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售价" sheetId="82" r:id="rId29"/>
    <sheet name="比较法-商业-租金"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8">'比较法-商业-售价'!$B$116:$M$116</definedName>
    <definedName name="商业层高">'比较法-商业-租金'!$B$116:$M$116</definedName>
    <definedName name="商业成新度" localSheetId="28">'比较法-商业-售价'!$B$109:$M$109</definedName>
    <definedName name="商业成新度">'比较法-商业-租金'!$B$109:$M$109</definedName>
    <definedName name="商业繁华度">定义!$L$1:$L$6</definedName>
    <definedName name="商业公共部分装修" localSheetId="28">'比较法-商业-售价'!$B$107:$M$107</definedName>
    <definedName name="商业公共部分装修">'比较法-商业-租金'!$B$107:$M$107</definedName>
    <definedName name="商业基础设施水平" localSheetId="28">'比较法-商业-售价'!$B$112:$M$112</definedName>
    <definedName name="商业基础设施水平">'比较法-商业-租金'!$B$112:$M$112</definedName>
    <definedName name="商业建筑结构" localSheetId="28">'比较法-商业-售价'!$B$105:$M$105</definedName>
    <definedName name="商业建筑结构">'比较法-商业-租金'!$B$105:$M$105</definedName>
    <definedName name="商业交易情况" localSheetId="28">'比较法-商业-售价'!$A$61:$M$61</definedName>
    <definedName name="商业交易情况">'比较法-商业-租金'!$A$61:$M$61</definedName>
    <definedName name="商业街名称">修正!$C$71:$C$138</definedName>
    <definedName name="商业进深比" localSheetId="28">'比较法-商业-售价'!$B$120:$M$120</definedName>
    <definedName name="商业进深比">'比较法-商业-租金'!$B$120:$M$120</definedName>
    <definedName name="商业类型" localSheetId="28">'比较法-商业-售价'!$B$100:$M$100</definedName>
    <definedName name="商业类型">'比较法-商业-租金'!$B$100:$M$100</definedName>
    <definedName name="商业临街状况" localSheetId="28">'比较法-商业-售价'!$B$86:$M$86</definedName>
    <definedName name="商业临街状况">'比较法-商业-租金'!$B$86:$M$86</definedName>
    <definedName name="商业楼层" localSheetId="28">'比较法-商业-售价'!$B$92:$M$92</definedName>
    <definedName name="商业楼层">'比较法-商业-租金'!$B$92:$M$92</definedName>
    <definedName name="商业内部装修" localSheetId="28">'比较法-商业-售价'!$B$122:$M$122</definedName>
    <definedName name="商业内部装修">'比较法-商业-租金'!$B$122:$M$122</definedName>
    <definedName name="商业人流量" localSheetId="28">'比较法-商业-售价'!$B$90:$M$90</definedName>
    <definedName name="商业人流量">'比较法-商业-租金'!$B$90:$M$90</definedName>
    <definedName name="商业业态" localSheetId="28">'比较法-商业-售价'!$B$114:$M$114</definedName>
    <definedName name="商业业态">'比较法-商业-租金'!$B$114:$M$114</definedName>
    <definedName name="商业用途" localSheetId="2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5" i="82" l="1"/>
  <c r="C10" i="82"/>
  <c r="H10" i="82" s="1"/>
  <c r="AB10" i="82" s="1"/>
  <c r="D14" i="9"/>
  <c r="B25" i="31"/>
  <c r="B26" i="31"/>
  <c r="B27" i="31"/>
  <c r="B28" i="31"/>
  <c r="B29" i="31"/>
  <c r="B30" i="31"/>
  <c r="B31" i="31"/>
  <c r="B24" i="31"/>
  <c r="A25" i="31"/>
  <c r="A26" i="31"/>
  <c r="A27" i="31"/>
  <c r="A28" i="31"/>
  <c r="A29" i="31"/>
  <c r="A30" i="31"/>
  <c r="A31" i="31"/>
  <c r="A24" i="31"/>
  <c r="I47" i="82"/>
  <c r="G47" i="82"/>
  <c r="G54" i="82" s="1"/>
  <c r="H54" i="82" s="1"/>
  <c r="E47" i="82"/>
  <c r="I54" i="82" s="1"/>
  <c r="J54" i="82" s="1"/>
  <c r="I33" i="82"/>
  <c r="G33" i="82"/>
  <c r="E33" i="82"/>
  <c r="F33" i="82" s="1"/>
  <c r="AA33" i="82" s="1"/>
  <c r="C33" i="82"/>
  <c r="Y6" i="1"/>
  <c r="U6" i="1"/>
  <c r="E104" i="33"/>
  <c r="F104" i="33" s="1"/>
  <c r="D104" i="33"/>
  <c r="I33" i="33"/>
  <c r="G33" i="33"/>
  <c r="E33" i="33"/>
  <c r="C33" i="33"/>
  <c r="I47" i="33"/>
  <c r="G47" i="33"/>
  <c r="E47" i="33"/>
  <c r="B130" i="82"/>
  <c r="B128" i="82"/>
  <c r="B126" i="82"/>
  <c r="D125" i="82"/>
  <c r="E125" i="82" s="1"/>
  <c r="F125" i="82" s="1"/>
  <c r="G125" i="82" s="1"/>
  <c r="I123" i="82"/>
  <c r="J123" i="82" s="1"/>
  <c r="K123" i="82" s="1"/>
  <c r="L123" i="82" s="1"/>
  <c r="M123" i="82" s="1"/>
  <c r="E123" i="82"/>
  <c r="F123" i="82" s="1"/>
  <c r="G123" i="82" s="1"/>
  <c r="H123" i="82" s="1"/>
  <c r="D123" i="82"/>
  <c r="G121" i="82"/>
  <c r="H121" i="82" s="1"/>
  <c r="I121" i="82" s="1"/>
  <c r="J121" i="82" s="1"/>
  <c r="K121" i="82" s="1"/>
  <c r="L121" i="82" s="1"/>
  <c r="M121" i="82" s="1"/>
  <c r="D121" i="82"/>
  <c r="E121" i="82" s="1"/>
  <c r="F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I111" i="82"/>
  <c r="J111" i="82" s="1"/>
  <c r="K111" i="82" s="1"/>
  <c r="L111" i="82" s="1"/>
  <c r="M111" i="82" s="1"/>
  <c r="E111" i="82"/>
  <c r="F111" i="82" s="1"/>
  <c r="G111" i="82" s="1"/>
  <c r="H111" i="82" s="1"/>
  <c r="D111" i="82"/>
  <c r="G109" i="82"/>
  <c r="F109" i="82"/>
  <c r="E109" i="82"/>
  <c r="D109" i="82"/>
  <c r="C109" i="82"/>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Q42" i="82"/>
  <c r="Z42" i="82" s="1"/>
  <c r="J42" i="82"/>
  <c r="AC42" i="82" s="1"/>
  <c r="H42" i="82"/>
  <c r="AB42" i="82" s="1"/>
  <c r="F42" i="82"/>
  <c r="S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J37" i="82"/>
  <c r="AC37" i="82" s="1"/>
  <c r="H37" i="82"/>
  <c r="AB37" i="82" s="1"/>
  <c r="F37" i="82"/>
  <c r="AA37" i="82" s="1"/>
  <c r="AC36" i="82"/>
  <c r="Q36" i="82"/>
  <c r="Z36" i="82" s="1"/>
  <c r="J36" i="82"/>
  <c r="W36" i="82" s="1"/>
  <c r="H36" i="82"/>
  <c r="AB36" i="82" s="1"/>
  <c r="F36" i="82"/>
  <c r="AA36" i="82" s="1"/>
  <c r="U35" i="82"/>
  <c r="Q35" i="82"/>
  <c r="Z35" i="82" s="1"/>
  <c r="J35" i="82"/>
  <c r="AC35" i="82" s="1"/>
  <c r="H35" i="82"/>
  <c r="AB35" i="82" s="1"/>
  <c r="F35" i="82"/>
  <c r="AA35" i="82" s="1"/>
  <c r="Q34" i="82"/>
  <c r="Z34" i="82" s="1"/>
  <c r="J34" i="82"/>
  <c r="AC34" i="82" s="1"/>
  <c r="H34" i="82"/>
  <c r="AB34" i="82" s="1"/>
  <c r="F34" i="82"/>
  <c r="S34" i="82" s="1"/>
  <c r="Q33" i="82"/>
  <c r="Z33" i="82" s="1"/>
  <c r="H33" i="82"/>
  <c r="AB33" i="82" s="1"/>
  <c r="W32" i="82"/>
  <c r="Q32" i="82"/>
  <c r="Z32" i="82" s="1"/>
  <c r="J32" i="82"/>
  <c r="AC32" i="82" s="1"/>
  <c r="H32" i="82"/>
  <c r="AB32" i="82" s="1"/>
  <c r="F32" i="82"/>
  <c r="AA32" i="82" s="1"/>
  <c r="Q31" i="82"/>
  <c r="Z31" i="82" s="1"/>
  <c r="AA30" i="82"/>
  <c r="Q30" i="82"/>
  <c r="Z30" i="82" s="1"/>
  <c r="J30" i="82"/>
  <c r="AC30" i="82" s="1"/>
  <c r="H30" i="82"/>
  <c r="AB30" i="82" s="1"/>
  <c r="F30" i="82"/>
  <c r="S30" i="82" s="1"/>
  <c r="Q29" i="82"/>
  <c r="Z29" i="82" s="1"/>
  <c r="J29" i="82"/>
  <c r="AC29" i="82" s="1"/>
  <c r="H29" i="82"/>
  <c r="AB29" i="82" s="1"/>
  <c r="F29" i="82"/>
  <c r="AA29" i="82" s="1"/>
  <c r="AC28" i="82"/>
  <c r="W28" i="82"/>
  <c r="Q28" i="82"/>
  <c r="Z28" i="82" s="1"/>
  <c r="J28" i="82"/>
  <c r="H28" i="82"/>
  <c r="AB28" i="82" s="1"/>
  <c r="F28" i="82"/>
  <c r="AA28" i="82" s="1"/>
  <c r="Q27" i="82"/>
  <c r="Z27" i="82" s="1"/>
  <c r="J27" i="82"/>
  <c r="AC27" i="82" s="1"/>
  <c r="H27" i="82"/>
  <c r="U27" i="82" s="1"/>
  <c r="F27" i="82"/>
  <c r="AA27" i="82" s="1"/>
  <c r="Q26" i="82"/>
  <c r="Z26" i="82" s="1"/>
  <c r="J26" i="82"/>
  <c r="AC26" i="82" s="1"/>
  <c r="H26" i="82"/>
  <c r="AB26" i="82" s="1"/>
  <c r="F26" i="82"/>
  <c r="S26" i="82" s="1"/>
  <c r="Z25" i="82"/>
  <c r="Q25" i="82"/>
  <c r="J25" i="82"/>
  <c r="AC25" i="82" s="1"/>
  <c r="H25" i="82"/>
  <c r="AB25" i="82" s="1"/>
  <c r="F25" i="82"/>
  <c r="AA25" i="82" s="1"/>
  <c r="Q23" i="82"/>
  <c r="Z23" i="82" s="1"/>
  <c r="J23" i="82"/>
  <c r="AC23" i="82" s="1"/>
  <c r="H23" i="82"/>
  <c r="AB23" i="82" s="1"/>
  <c r="F23" i="82"/>
  <c r="AA23" i="82" s="1"/>
  <c r="C23" i="82"/>
  <c r="Q21" i="82"/>
  <c r="Z21" i="82" s="1"/>
  <c r="J21" i="82"/>
  <c r="W21" i="82" s="1"/>
  <c r="H21" i="82"/>
  <c r="AB21" i="82" s="1"/>
  <c r="F21" i="82"/>
  <c r="S21" i="82" s="1"/>
  <c r="C21" i="82"/>
  <c r="Q19" i="82"/>
  <c r="Z19" i="82" s="1"/>
  <c r="J19" i="82"/>
  <c r="W19" i="82" s="1"/>
  <c r="H19" i="82"/>
  <c r="U19" i="82" s="1"/>
  <c r="F19" i="82"/>
  <c r="AA19" i="82" s="1"/>
  <c r="C19" i="82"/>
  <c r="Q17" i="82"/>
  <c r="Z17" i="82" s="1"/>
  <c r="J17" i="82"/>
  <c r="W17" i="82" s="1"/>
  <c r="H17" i="82"/>
  <c r="U17" i="82" s="1"/>
  <c r="F17" i="82"/>
  <c r="S17" i="82" s="1"/>
  <c r="C17" i="82"/>
  <c r="Q15" i="82"/>
  <c r="Z15" i="82" s="1"/>
  <c r="J15" i="82"/>
  <c r="AC15" i="82" s="1"/>
  <c r="F15" i="82"/>
  <c r="S15" i="82" s="1"/>
  <c r="C15" i="82"/>
  <c r="AA14" i="82"/>
  <c r="Q14" i="82"/>
  <c r="Z14" i="82" s="1"/>
  <c r="J14" i="82"/>
  <c r="W14" i="82" s="1"/>
  <c r="H14" i="82"/>
  <c r="AB14" i="82" s="1"/>
  <c r="F14" i="82"/>
  <c r="S14" i="82" s="1"/>
  <c r="AB13" i="82"/>
  <c r="AA13" i="82"/>
  <c r="Q13" i="82"/>
  <c r="Z13" i="82" s="1"/>
  <c r="J13" i="82"/>
  <c r="H13" i="82"/>
  <c r="U13" i="82" s="1"/>
  <c r="F13" i="82"/>
  <c r="S13" i="82" s="1"/>
  <c r="Q12" i="82"/>
  <c r="Z12" i="82" s="1"/>
  <c r="J12" i="82"/>
  <c r="AC12" i="82" s="1"/>
  <c r="H12" i="82"/>
  <c r="AB12" i="82" s="1"/>
  <c r="F12" i="82"/>
  <c r="AA12" i="82" s="1"/>
  <c r="Q11" i="82"/>
  <c r="Z11" i="82" s="1"/>
  <c r="J11" i="82"/>
  <c r="AC11" i="82" s="1"/>
  <c r="H11" i="82"/>
  <c r="AB11" i="82" s="1"/>
  <c r="F11" i="82"/>
  <c r="AA11" i="82" s="1"/>
  <c r="Q10" i="82"/>
  <c r="Z10" i="82" s="1"/>
  <c r="J10" i="82"/>
  <c r="AC10" i="82" s="1"/>
  <c r="F10" i="82"/>
  <c r="AA10" i="82" s="1"/>
  <c r="Q9" i="82"/>
  <c r="Z9" i="82" s="1"/>
  <c r="J9" i="82"/>
  <c r="AC9" i="82" s="1"/>
  <c r="H9" i="82"/>
  <c r="AB9" i="82" s="1"/>
  <c r="F9" i="82"/>
  <c r="AA9" i="82" s="1"/>
  <c r="AC8" i="82"/>
  <c r="AB8" i="82"/>
  <c r="W8" i="82"/>
  <c r="U8" i="82"/>
  <c r="J8" i="82"/>
  <c r="H8" i="82"/>
  <c r="F8" i="82"/>
  <c r="AA8" i="82" s="1"/>
  <c r="C7" i="82"/>
  <c r="C58" i="82" s="1"/>
  <c r="D58" i="82" s="1"/>
  <c r="E58" i="82" s="1"/>
  <c r="D3" i="82"/>
  <c r="F26" i="6"/>
  <c r="F25" i="6"/>
  <c r="F24" i="6"/>
  <c r="F23" i="6"/>
  <c r="F22" i="6"/>
  <c r="F21" i="6"/>
  <c r="F20" i="6"/>
  <c r="F19" i="6"/>
  <c r="D2" i="82"/>
  <c r="AC19" i="82" l="1"/>
  <c r="AB17" i="82"/>
  <c r="F77" i="82"/>
  <c r="G77" i="82" s="1"/>
  <c r="H15" i="82"/>
  <c r="U15" i="82" s="1"/>
  <c r="AA15" i="82"/>
  <c r="J33" i="82"/>
  <c r="AC33" i="82" s="1"/>
  <c r="K58" i="82"/>
  <c r="L58" i="82" s="1"/>
  <c r="M58" i="82" s="1"/>
  <c r="N58" i="82" s="1"/>
  <c r="O58" i="82" s="1"/>
  <c r="F7" i="82"/>
  <c r="S8" i="82"/>
  <c r="W9" i="82"/>
  <c r="S11" i="82"/>
  <c r="U12" i="82"/>
  <c r="AC13" i="82"/>
  <c r="W13" i="82"/>
  <c r="U14" i="82"/>
  <c r="AC14" i="82"/>
  <c r="W15" i="82"/>
  <c r="AA17" i="82"/>
  <c r="S19" i="82"/>
  <c r="AB19" i="82"/>
  <c r="U21" i="82"/>
  <c r="AC21" i="82"/>
  <c r="AB27" i="82"/>
  <c r="AA42" i="82"/>
  <c r="AC44" i="82"/>
  <c r="F31" i="82"/>
  <c r="J31" i="82"/>
  <c r="S9" i="82"/>
  <c r="U10" i="82"/>
  <c r="W11" i="82"/>
  <c r="AC17" i="82"/>
  <c r="AA21" i="82"/>
  <c r="W23" i="82"/>
  <c r="AA26" i="82"/>
  <c r="H31" i="82"/>
  <c r="AA34" i="82"/>
  <c r="S46" i="82"/>
  <c r="S10" i="82"/>
  <c r="U11" i="82"/>
  <c r="W12" i="82"/>
  <c r="J7" i="82"/>
  <c r="U9" i="82"/>
  <c r="W10" i="82"/>
  <c r="S12" i="82"/>
  <c r="S25" i="82"/>
  <c r="U26" i="82"/>
  <c r="W27" i="82"/>
  <c r="S29" i="82"/>
  <c r="U30" i="82"/>
  <c r="S33" i="82"/>
  <c r="U34" i="82"/>
  <c r="W35" i="82"/>
  <c r="S37" i="82"/>
  <c r="U38" i="82"/>
  <c r="W39" i="82"/>
  <c r="S41" i="82"/>
  <c r="U42" i="82"/>
  <c r="W43" i="82"/>
  <c r="S45" i="82"/>
  <c r="U46" i="82"/>
  <c r="S23" i="82"/>
  <c r="U25" i="82"/>
  <c r="W26" i="82"/>
  <c r="S28" i="82"/>
  <c r="U29" i="82"/>
  <c r="W30" i="82"/>
  <c r="S32" i="82"/>
  <c r="U33" i="82"/>
  <c r="W34" i="82"/>
  <c r="S36" i="82"/>
  <c r="U37" i="82"/>
  <c r="W38" i="82"/>
  <c r="S40" i="82"/>
  <c r="U41" i="82"/>
  <c r="W42" i="82"/>
  <c r="S44" i="82"/>
  <c r="U45" i="82"/>
  <c r="W46" i="82"/>
  <c r="U23" i="82"/>
  <c r="W25" i="82"/>
  <c r="S27" i="82"/>
  <c r="U28" i="82"/>
  <c r="W29" i="82"/>
  <c r="U32" i="82"/>
  <c r="S35" i="82"/>
  <c r="U36" i="82"/>
  <c r="W37" i="82"/>
  <c r="S39" i="82"/>
  <c r="U40" i="82"/>
  <c r="W41" i="82"/>
  <c r="S43" i="82"/>
  <c r="U44" i="82"/>
  <c r="W45" i="82"/>
  <c r="I7" i="79"/>
  <c r="AB15" i="82" l="1"/>
  <c r="W33" i="82"/>
  <c r="AC31" i="82"/>
  <c r="W31" i="82"/>
  <c r="AC7" i="82"/>
  <c r="V48" i="82" s="1"/>
  <c r="I48" i="82" s="1"/>
  <c r="W7" i="82"/>
  <c r="AB31" i="82"/>
  <c r="U31" i="82"/>
  <c r="H7" i="82"/>
  <c r="S7" i="82"/>
  <c r="AA7" i="82"/>
  <c r="R48" i="82" s="1"/>
  <c r="AA31" i="82"/>
  <c r="S31" i="82"/>
  <c r="I29" i="79"/>
  <c r="I28" i="79"/>
  <c r="N28" i="79"/>
  <c r="M28" i="79"/>
  <c r="P28" i="79" s="1"/>
  <c r="L28" i="79"/>
  <c r="N29" i="79"/>
  <c r="M29" i="79"/>
  <c r="L29" i="79"/>
  <c r="P6" i="79"/>
  <c r="O6" i="79"/>
  <c r="N6" i="79"/>
  <c r="M6" i="79"/>
  <c r="L6" i="79"/>
  <c r="K6" i="79"/>
  <c r="O7" i="79"/>
  <c r="N7" i="79"/>
  <c r="M7" i="79"/>
  <c r="P7" i="79" s="1"/>
  <c r="L7" i="79"/>
  <c r="K7" i="79"/>
  <c r="AB7" i="82" l="1"/>
  <c r="T48" i="82" s="1"/>
  <c r="G48" i="82" s="1"/>
  <c r="U7" i="82"/>
  <c r="I52" i="82"/>
  <c r="J52" i="82" s="1"/>
  <c r="E48" i="82"/>
  <c r="I53" i="82" s="1"/>
  <c r="J53" i="82" s="1"/>
  <c r="P29" i="79"/>
  <c r="R49" i="82" l="1"/>
  <c r="C48" i="82" s="1"/>
  <c r="E52" i="82"/>
  <c r="F52" i="82" s="1"/>
  <c r="E53" i="82"/>
  <c r="F53" i="82" s="1"/>
  <c r="G53" i="82"/>
  <c r="H53" i="82" s="1"/>
  <c r="G52" i="82"/>
  <c r="H52" i="82" s="1"/>
  <c r="G14" i="73"/>
  <c r="F14" i="73"/>
  <c r="E14" i="73"/>
  <c r="C49" i="82"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B2" i="82" l="1"/>
  <c r="B3" i="82"/>
  <c r="P32"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M25" i="79"/>
  <c r="P25" i="79" s="1"/>
  <c r="U36" i="79"/>
  <c r="AD37" i="79"/>
  <c r="U3" i="79"/>
  <c r="R12" i="79"/>
  <c r="S13" i="79"/>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4" i="71" s="1"/>
  <c r="P16" i="71"/>
  <c r="O16" i="71"/>
  <c r="N16" i="71"/>
  <c r="AH17" i="71"/>
  <c r="AG17" i="71"/>
  <c r="AE17" i="71"/>
  <c r="AF17" i="71" s="1"/>
  <c r="AD17" i="71"/>
  <c r="Q18" i="71"/>
  <c r="Q19" i="71"/>
  <c r="P18" i="71"/>
  <c r="P19" i="71"/>
  <c r="O18" i="71"/>
  <c r="O19" i="71"/>
  <c r="Y13" i="71" s="1"/>
  <c r="Z13" i="71" s="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AA11" i="71" s="1"/>
  <c r="P22" i="71"/>
  <c r="O21" i="71"/>
  <c r="O22" i="71"/>
  <c r="Y17" i="71" s="1"/>
  <c r="Z17" i="71" s="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B23" i="7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D42" i="71" s="1"/>
  <c r="N41" i="71"/>
  <c r="B42" i="71"/>
  <c r="D41" i="71"/>
  <c r="Q40" i="71"/>
  <c r="P40" i="71"/>
  <c r="O40" i="71"/>
  <c r="N40" i="71"/>
  <c r="AB39" i="71"/>
  <c r="Q39" i="71"/>
  <c r="AB9" i="71" s="1"/>
  <c r="P39" i="71"/>
  <c r="AA39" i="71"/>
  <c r="O39" i="71"/>
  <c r="Y39" i="71" s="1"/>
  <c r="Z39" i="71" s="1"/>
  <c r="N39" i="71"/>
  <c r="X39" i="71"/>
  <c r="Q38" i="71"/>
  <c r="AB38" i="71" s="1"/>
  <c r="P38" i="71"/>
  <c r="O38" i="71"/>
  <c r="Y38" i="71" s="1"/>
  <c r="Z38" i="71" s="1"/>
  <c r="N38" i="71"/>
  <c r="F38" i="71"/>
  <c r="Q37" i="71"/>
  <c r="P37" i="71"/>
  <c r="E38" i="71" s="1"/>
  <c r="E39" i="71" s="1"/>
  <c r="E40" i="71" s="1"/>
  <c r="U40" i="71" s="1"/>
  <c r="O37" i="71"/>
  <c r="N37" i="71"/>
  <c r="B38" i="71" s="1"/>
  <c r="D37" i="71"/>
  <c r="Q36" i="71"/>
  <c r="AB36" i="71" s="1"/>
  <c r="P36" i="71"/>
  <c r="O36" i="71"/>
  <c r="N36" i="71"/>
  <c r="Q35" i="71"/>
  <c r="P35" i="71"/>
  <c r="O35" i="71"/>
  <c r="N35" i="71"/>
  <c r="Q34" i="71"/>
  <c r="P34" i="71"/>
  <c r="O34" i="71"/>
  <c r="N34" i="71"/>
  <c r="X10" i="71" s="1"/>
  <c r="Q33" i="71"/>
  <c r="F34" i="71" s="1"/>
  <c r="F35" i="71" s="1"/>
  <c r="F36" i="71" s="1"/>
  <c r="V36" i="71" s="1"/>
  <c r="P33" i="71"/>
  <c r="O33" i="71"/>
  <c r="N33" i="71"/>
  <c r="D33" i="71"/>
  <c r="Q32" i="71"/>
  <c r="P32" i="71"/>
  <c r="O32" i="71"/>
  <c r="N32" i="71"/>
  <c r="X32" i="71" s="1"/>
  <c r="Q31" i="71"/>
  <c r="AB31" i="71"/>
  <c r="P31" i="71"/>
  <c r="O31" i="71"/>
  <c r="N31" i="71"/>
  <c r="X31" i="71" s="1"/>
  <c r="Q30" i="71"/>
  <c r="P30" i="71"/>
  <c r="O30" i="71"/>
  <c r="Y30" i="71"/>
  <c r="Z30" i="71" s="1"/>
  <c r="N30" i="71"/>
  <c r="F30" i="71"/>
  <c r="F31" i="71" s="1"/>
  <c r="F32" i="71" s="1"/>
  <c r="V32" i="71" s="1"/>
  <c r="Q29" i="71"/>
  <c r="AB29" i="71" s="1"/>
  <c r="P29" i="71"/>
  <c r="AA29" i="71" s="1"/>
  <c r="O29" i="71"/>
  <c r="N29" i="71"/>
  <c r="X27" i="71" s="1"/>
  <c r="D29" i="71"/>
  <c r="O28" i="71"/>
  <c r="C28" i="71" s="1"/>
  <c r="N28" i="71"/>
  <c r="B30" i="71"/>
  <c r="B31" i="71" s="1"/>
  <c r="B32" i="71" s="1"/>
  <c r="S32" i="71" s="1"/>
  <c r="E30" i="71"/>
  <c r="E31" i="71" s="1"/>
  <c r="E32" i="71" s="1"/>
  <c r="U32" i="71" s="1"/>
  <c r="B34" i="71"/>
  <c r="B35" i="71" s="1"/>
  <c r="B36" i="71" s="1"/>
  <c r="S36" i="71" s="1"/>
  <c r="B39" i="71"/>
  <c r="B40" i="71" s="1"/>
  <c r="S40" i="71" s="1"/>
  <c r="N68" i="71"/>
  <c r="E34" i="71"/>
  <c r="E35" i="71" s="1"/>
  <c r="E36" i="71" s="1"/>
  <c r="U36" i="71" s="1"/>
  <c r="C30" i="71"/>
  <c r="AA30" i="71"/>
  <c r="AA31" i="71"/>
  <c r="C34" i="71"/>
  <c r="D34" i="71" s="1"/>
  <c r="X34" i="71"/>
  <c r="X35" i="71"/>
  <c r="AA35" i="71"/>
  <c r="X36" i="71"/>
  <c r="C38" i="71"/>
  <c r="C39" i="71" s="1"/>
  <c r="X38" i="71"/>
  <c r="AA38" i="71"/>
  <c r="F51" i="71"/>
  <c r="F52" i="71" s="1"/>
  <c r="V52" i="71"/>
  <c r="Y25" i="71"/>
  <c r="Z25" i="71" s="1"/>
  <c r="Y28" i="71"/>
  <c r="Z28" i="71" s="1"/>
  <c r="B28" i="71"/>
  <c r="B27" i="71" s="1"/>
  <c r="B26" i="71" s="1"/>
  <c r="X25" i="71"/>
  <c r="C31" i="71"/>
  <c r="D30" i="71"/>
  <c r="C43" i="71"/>
  <c r="C47" i="71"/>
  <c r="D47" i="71" s="1"/>
  <c r="D46" i="71"/>
  <c r="C51" i="71"/>
  <c r="D50" i="71"/>
  <c r="P28" i="71"/>
  <c r="E55" i="71"/>
  <c r="E56" i="71" s="1"/>
  <c r="U56" i="71" s="1"/>
  <c r="E59" i="71"/>
  <c r="E60" i="71"/>
  <c r="U60" i="71" s="1"/>
  <c r="E63" i="71"/>
  <c r="E64" i="71" s="1"/>
  <c r="U64" i="71" s="1"/>
  <c r="Q65" i="71"/>
  <c r="U68" i="71"/>
  <c r="E67" i="71"/>
  <c r="Q28" i="71"/>
  <c r="AB27" i="71" s="1"/>
  <c r="C63" i="71"/>
  <c r="D62" i="71"/>
  <c r="N67" i="71"/>
  <c r="B66" i="71"/>
  <c r="N66" i="71" s="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P67" i="71"/>
  <c r="E66" i="71"/>
  <c r="P65" i="71" s="1"/>
  <c r="C52" i="71"/>
  <c r="D51" i="71"/>
  <c r="C44" i="71"/>
  <c r="D43" i="71"/>
  <c r="C32" i="71"/>
  <c r="D31" i="71"/>
  <c r="V28" i="71"/>
  <c r="P66" i="71"/>
  <c r="O66" i="71"/>
  <c r="D66" i="71"/>
  <c r="O65" i="71"/>
  <c r="T32" i="71"/>
  <c r="D32" i="71"/>
  <c r="T44" i="71"/>
  <c r="D44"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 i="31"/>
  <c r="R33" i="31"/>
  <c r="S33" i="31" s="1"/>
  <c r="R34" i="31"/>
  <c r="R35" i="31"/>
  <c r="S35" i="31" s="1"/>
  <c r="R36" i="31"/>
  <c r="S36" i="31" s="1"/>
  <c r="R37" i="31"/>
  <c r="S37" i="31" s="1"/>
  <c r="R38" i="31"/>
  <c r="R39" i="31"/>
  <c r="R40" i="31"/>
  <c r="S40" i="31" s="1"/>
  <c r="R41" i="31"/>
  <c r="S41" i="31" s="1"/>
  <c r="R42" i="31"/>
  <c r="R43" i="31"/>
  <c r="R44" i="31"/>
  <c r="S44" i="31" s="1"/>
  <c r="R45" i="31"/>
  <c r="S45" i="31" s="1"/>
  <c r="R46" i="31"/>
  <c r="R47" i="31"/>
  <c r="S47" i="31" s="1"/>
  <c r="R48" i="3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R102" i="31"/>
  <c r="R103" i="31"/>
  <c r="S103" i="31" s="1"/>
  <c r="R104" i="31"/>
  <c r="S104" i="31" s="1"/>
  <c r="R105" i="31"/>
  <c r="S105" i="31" s="1"/>
  <c r="R106" i="31"/>
  <c r="R107" i="31"/>
  <c r="S107" i="31" s="1"/>
  <c r="R108" i="31"/>
  <c r="S108" i="31" s="1"/>
  <c r="R109" i="3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R162" i="31"/>
  <c r="R163" i="31"/>
  <c r="S163" i="31" s="1"/>
  <c r="R164" i="31"/>
  <c r="S164" i="31" s="1"/>
  <c r="R165" i="31"/>
  <c r="S165" i="31" s="1"/>
  <c r="R166" i="31"/>
  <c r="R167" i="31"/>
  <c r="S167" i="31" s="1"/>
  <c r="R168" i="31"/>
  <c r="S168" i="31" s="1"/>
  <c r="R169" i="31"/>
  <c r="S169" i="31" s="1"/>
  <c r="R170" i="31"/>
  <c r="R171" i="31"/>
  <c r="S171" i="31" s="1"/>
  <c r="R172" i="3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S224" i="31" s="1"/>
  <c r="R225" i="31"/>
  <c r="S225" i="31" s="1"/>
  <c r="R226" i="31"/>
  <c r="R227" i="31"/>
  <c r="R228" i="31"/>
  <c r="S228" i="31" s="1"/>
  <c r="R229" i="31"/>
  <c r="S229" i="31" s="1"/>
  <c r="R230" i="31"/>
  <c r="R231" i="31"/>
  <c r="S231" i="31" s="1"/>
  <c r="R232" i="31"/>
  <c r="R233" i="31"/>
  <c r="S233" i="31" s="1"/>
  <c r="R234" i="31"/>
  <c r="R235" i="31"/>
  <c r="S235" i="31" s="1"/>
  <c r="R236" i="31"/>
  <c r="S236" i="31" s="1"/>
  <c r="R237" i="31"/>
  <c r="S237" i="31" s="1"/>
  <c r="R238" i="31"/>
  <c r="R239" i="31"/>
  <c r="R240" i="31"/>
  <c r="S240" i="31" s="1"/>
  <c r="R241" i="31"/>
  <c r="S241" i="31" s="1"/>
  <c r="R242" i="31"/>
  <c r="R243" i="31"/>
  <c r="R244" i="31"/>
  <c r="S244" i="31" s="1"/>
  <c r="R245" i="31"/>
  <c r="S245" i="31" s="1"/>
  <c r="R246" i="31"/>
  <c r="R247" i="31"/>
  <c r="S247" i="31" s="1"/>
  <c r="R248" i="3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R451" i="31"/>
  <c r="S451" i="31" s="1"/>
  <c r="R452" i="31"/>
  <c r="S452" i="31" s="1"/>
  <c r="R453" i="31"/>
  <c r="S453" i="31" s="1"/>
  <c r="R454" i="31"/>
  <c r="R455" i="31"/>
  <c r="R456" i="31"/>
  <c r="S456" i="31" s="1"/>
  <c r="R457" i="31"/>
  <c r="S457" i="31" s="1"/>
  <c r="R458" i="31"/>
  <c r="R459" i="31"/>
  <c r="S459" i="31" s="1"/>
  <c r="R460" i="31"/>
  <c r="S460" i="31" s="1"/>
  <c r="R461" i="31"/>
  <c r="S461" i="31" s="1"/>
  <c r="R462" i="31"/>
  <c r="R463" i="3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R508" i="31"/>
  <c r="R509" i="31"/>
  <c r="S509" i="31" s="1"/>
  <c r="R510" i="31"/>
  <c r="S510" i="31" s="1"/>
  <c r="R511" i="31"/>
  <c r="S511" i="31" s="1"/>
  <c r="R512" i="31"/>
  <c r="S512" i="31" s="1"/>
  <c r="R513" i="3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2" i="31"/>
  <c r="S390" i="31"/>
  <c r="S382" i="31"/>
  <c r="S374" i="31"/>
  <c r="S366" i="31"/>
  <c r="S360" i="31"/>
  <c r="S358" i="31"/>
  <c r="S350" i="31"/>
  <c r="S342" i="31"/>
  <c r="S334" i="31"/>
  <c r="S326" i="31"/>
  <c r="S304" i="31"/>
  <c r="S274" i="31"/>
  <c r="S270" i="31"/>
  <c r="S266" i="31"/>
  <c r="S264" i="31"/>
  <c r="S262" i="31"/>
  <c r="S258" i="31"/>
  <c r="S254" i="31"/>
  <c r="S250" i="31"/>
  <c r="S248" i="31"/>
  <c r="S246" i="31"/>
  <c r="S243" i="31"/>
  <c r="S242" i="31"/>
  <c r="S239" i="31"/>
  <c r="S238" i="31"/>
  <c r="S234" i="31"/>
  <c r="S232" i="31"/>
  <c r="S230" i="31"/>
  <c r="S227" i="31"/>
  <c r="S226" i="31"/>
  <c r="S223" i="31"/>
  <c r="S427" i="31"/>
  <c r="S426" i="31"/>
  <c r="S222" i="31"/>
  <c r="S218" i="31"/>
  <c r="S214" i="31"/>
  <c r="S210" i="31"/>
  <c r="S206" i="31"/>
  <c r="S202" i="31"/>
  <c r="S198" i="31"/>
  <c r="S194" i="31"/>
  <c r="S190" i="31"/>
  <c r="S186" i="31"/>
  <c r="S182" i="31"/>
  <c r="S178" i="31"/>
  <c r="S174" i="31"/>
  <c r="S172" i="31"/>
  <c r="S170" i="31"/>
  <c r="S166" i="31"/>
  <c r="S162" i="31"/>
  <c r="S161" i="31"/>
  <c r="S158" i="31"/>
  <c r="S154" i="31"/>
  <c r="S150" i="31"/>
  <c r="S146" i="31"/>
  <c r="S142" i="31"/>
  <c r="S138" i="31"/>
  <c r="S136" i="31"/>
  <c r="S134" i="31"/>
  <c r="S130" i="31"/>
  <c r="S126" i="31"/>
  <c r="S491" i="31"/>
  <c r="S483" i="31"/>
  <c r="S477" i="31"/>
  <c r="S475" i="31"/>
  <c r="S443" i="31"/>
  <c r="S435" i="31"/>
  <c r="S122" i="31"/>
  <c r="S118" i="31"/>
  <c r="S114" i="31"/>
  <c r="S502" i="31"/>
  <c r="S466" i="31"/>
  <c r="S463" i="31"/>
  <c r="S462" i="31"/>
  <c r="S458" i="31"/>
  <c r="S455" i="31"/>
  <c r="S454" i="31"/>
  <c r="S450" i="31"/>
  <c r="S54" i="31"/>
  <c r="S50" i="31"/>
  <c r="S48" i="31"/>
  <c r="S46" i="31"/>
  <c r="S43" i="31"/>
  <c r="S42" i="31"/>
  <c r="S39" i="31"/>
  <c r="S38" i="31"/>
  <c r="S34" i="31"/>
  <c r="S32" i="31"/>
  <c r="S74" i="31"/>
  <c r="S70" i="31"/>
  <c r="S66" i="31"/>
  <c r="S62" i="31"/>
  <c r="S58" i="31"/>
  <c r="S94" i="31"/>
  <c r="S90" i="31"/>
  <c r="S86" i="31"/>
  <c r="S84" i="31"/>
  <c r="S82" i="31"/>
  <c r="S78" i="31"/>
  <c r="S98" i="31"/>
  <c r="S101" i="31"/>
  <c r="S102" i="31"/>
  <c r="S106" i="31"/>
  <c r="S109" i="31"/>
  <c r="S110" i="31"/>
  <c r="S507" i="31"/>
  <c r="S508"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J5" i="3" s="1"/>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D113" i="33"/>
  <c r="F37" i="33"/>
  <c r="D111" i="33"/>
  <c r="E111" i="33"/>
  <c r="F111" i="33"/>
  <c r="S515" i="31"/>
  <c r="F41" i="21"/>
  <c r="J41" i="21"/>
  <c r="AC41" i="21" s="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F38" i="40"/>
  <c r="AA38" i="40"/>
  <c r="D115" i="40"/>
  <c r="E115" i="40" s="1"/>
  <c r="F115" i="40" s="1"/>
  <c r="G115" i="40" s="1"/>
  <c r="H115" i="40" s="1"/>
  <c r="I115" i="40" s="1"/>
  <c r="J115" i="40" s="1"/>
  <c r="K115" i="40"/>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c r="D100" i="40"/>
  <c r="E100" i="40"/>
  <c r="F100" i="40"/>
  <c r="G100" i="40"/>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Q28" i="37"/>
  <c r="Z28" i="37"/>
  <c r="Q27" i="37"/>
  <c r="Z27" i="37" s="1"/>
  <c r="Q26" i="37"/>
  <c r="Z26" i="37"/>
  <c r="J26" i="37"/>
  <c r="AC26" i="37" s="1"/>
  <c r="AB26" i="37"/>
  <c r="F26" i="37"/>
  <c r="AA26" i="37" s="1"/>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c r="B91" i="36"/>
  <c r="F32" i="36" s="1"/>
  <c r="AA32" i="36" s="1"/>
  <c r="B95" i="36"/>
  <c r="H34" i="36"/>
  <c r="D83" i="36"/>
  <c r="E83" i="36" s="1"/>
  <c r="F83" i="36" s="1"/>
  <c r="G83" i="36"/>
  <c r="H83" i="36" s="1"/>
  <c r="I83" i="36" s="1"/>
  <c r="J83" i="36" s="1"/>
  <c r="K83" i="36" s="1"/>
  <c r="L83" i="36" s="1"/>
  <c r="M83" i="36" s="1"/>
  <c r="D78" i="36"/>
  <c r="E78" i="36"/>
  <c r="F78" i="36" s="1"/>
  <c r="G78" i="36" s="1"/>
  <c r="H78" i="36" s="1"/>
  <c r="I78" i="36" s="1"/>
  <c r="J78" i="36"/>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B77" i="35"/>
  <c r="F25" i="35" s="1"/>
  <c r="AA25" i="35" s="1"/>
  <c r="B75" i="35"/>
  <c r="J24" i="35" s="1"/>
  <c r="AC24" i="35" s="1"/>
  <c r="B73" i="35"/>
  <c r="H23" i="35"/>
  <c r="B57" i="35"/>
  <c r="B61" i="35"/>
  <c r="B59" i="35"/>
  <c r="J12" i="35" s="1"/>
  <c r="W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c r="F96" i="35"/>
  <c r="G96" i="35" s="1"/>
  <c r="D94" i="35"/>
  <c r="E94" i="35"/>
  <c r="F94" i="35"/>
  <c r="G94" i="35" s="1"/>
  <c r="H94" i="35" s="1"/>
  <c r="I94" i="35" s="1"/>
  <c r="J94" i="35"/>
  <c r="K94" i="35" s="1"/>
  <c r="L94" i="35" s="1"/>
  <c r="M94" i="35" s="1"/>
  <c r="D84" i="35"/>
  <c r="E84" i="35" s="1"/>
  <c r="F84" i="35" s="1"/>
  <c r="G84" i="35" s="1"/>
  <c r="H84" i="35"/>
  <c r="I84" i="35" s="1"/>
  <c r="J84" i="35" s="1"/>
  <c r="K84" i="35" s="1"/>
  <c r="L84" i="35" s="1"/>
  <c r="M84" i="35" s="1"/>
  <c r="D80" i="35"/>
  <c r="E80" i="35"/>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F12" i="35"/>
  <c r="S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c r="D90" i="34"/>
  <c r="E90" i="34" s="1"/>
  <c r="F90" i="34" s="1"/>
  <c r="G90" i="34" s="1"/>
  <c r="H90" i="34" s="1"/>
  <c r="I90" i="34" s="1"/>
  <c r="J90" i="34" s="1"/>
  <c r="K90" i="34"/>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c r="M92" i="34" s="1"/>
  <c r="B91" i="34"/>
  <c r="B89" i="34"/>
  <c r="J27" i="34" s="1"/>
  <c r="D88" i="34"/>
  <c r="E88" i="34"/>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F12" i="34"/>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s="1"/>
  <c r="F125" i="21" s="1"/>
  <c r="G125" i="21" s="1"/>
  <c r="D123" i="21"/>
  <c r="E123" i="2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F45" i="21" s="1"/>
  <c r="J45" i="21"/>
  <c r="W45" i="21" s="1"/>
  <c r="B126" i="21"/>
  <c r="B98" i="21"/>
  <c r="H31" i="21"/>
  <c r="B96" i="21"/>
  <c r="B94" i="21"/>
  <c r="J29" i="21" s="1"/>
  <c r="AC29" i="2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H43" i="21"/>
  <c r="AB43" i="21"/>
  <c r="F38" i="21"/>
  <c r="S38" i="21" s="1"/>
  <c r="F36" i="21"/>
  <c r="S36" i="21"/>
  <c r="F39" i="21"/>
  <c r="AA39" i="21" s="1"/>
  <c r="J40" i="21"/>
  <c r="W40" i="2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s="1"/>
  <c r="H12" i="21"/>
  <c r="J26" i="21"/>
  <c r="W26" i="21" s="1"/>
  <c r="F26" i="21"/>
  <c r="S26" i="21" s="1"/>
  <c r="AB41" i="21"/>
  <c r="S41" i="21"/>
  <c r="AA41" i="21"/>
  <c r="F45" i="39"/>
  <c r="S45" i="39" s="1"/>
  <c r="J44" i="39"/>
  <c r="F36" i="39"/>
  <c r="S36" i="39"/>
  <c r="H36" i="39"/>
  <c r="J35" i="39"/>
  <c r="AC35" i="39"/>
  <c r="F35" i="39"/>
  <c r="J36" i="39"/>
  <c r="AC36" i="39"/>
  <c r="U9" i="39"/>
  <c r="W40" i="39"/>
  <c r="W25" i="37"/>
  <c r="U30" i="37"/>
  <c r="W31" i="37"/>
  <c r="E103" i="37"/>
  <c r="F103" i="37" s="1"/>
  <c r="G103" i="37"/>
  <c r="H103" i="37" s="1"/>
  <c r="I103" i="37" s="1"/>
  <c r="J103" i="37" s="1"/>
  <c r="K103" i="37" s="1"/>
  <c r="L103" i="37" s="1"/>
  <c r="M103" i="37" s="1"/>
  <c r="U14" i="37"/>
  <c r="F29" i="36"/>
  <c r="AA29" i="36" s="1"/>
  <c r="F16" i="36"/>
  <c r="AA16" i="36"/>
  <c r="U9" i="36"/>
  <c r="W28" i="36"/>
  <c r="U31" i="36"/>
  <c r="J33" i="36"/>
  <c r="AC33" i="36" s="1"/>
  <c r="H22" i="35"/>
  <c r="AB22" i="35" s="1"/>
  <c r="AC27" i="35"/>
  <c r="W28" i="35"/>
  <c r="U31" i="35"/>
  <c r="W36" i="35"/>
  <c r="W22" i="35"/>
  <c r="S31" i="35"/>
  <c r="F36" i="34"/>
  <c r="J35" i="34"/>
  <c r="W9" i="34"/>
  <c r="U34" i="34"/>
  <c r="H39" i="33"/>
  <c r="AB39" i="33" s="1"/>
  <c r="F26" i="33"/>
  <c r="AA26" i="33" s="1"/>
  <c r="U33" i="33"/>
  <c r="U35" i="33"/>
  <c r="S40" i="33"/>
  <c r="W39" i="33"/>
  <c r="H39" i="37"/>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E100" i="39"/>
  <c r="F100" i="39" s="1"/>
  <c r="G100"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W27" i="39" s="1"/>
  <c r="AC27" i="39"/>
  <c r="F27" i="39"/>
  <c r="F11" i="21"/>
  <c r="S11" i="21" s="1"/>
  <c r="S40" i="21"/>
  <c r="U34" i="21"/>
  <c r="S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C12" i="34"/>
  <c r="AB12" i="36"/>
  <c r="F37" i="39"/>
  <c r="AA37" i="39"/>
  <c r="J34" i="36"/>
  <c r="W34" i="36" s="1"/>
  <c r="U30" i="36"/>
  <c r="J30" i="35"/>
  <c r="W30" i="35" s="1"/>
  <c r="H30" i="35"/>
  <c r="AB30" i="35" s="1"/>
  <c r="F22" i="35"/>
  <c r="AA22" i="35" s="1"/>
  <c r="H10" i="35"/>
  <c r="U10" i="35" s="1"/>
  <c r="AC16" i="36"/>
  <c r="F33" i="36"/>
  <c r="W30" i="36"/>
  <c r="H16" i="36"/>
  <c r="AB16" i="36"/>
  <c r="E85" i="36"/>
  <c r="F85" i="36" s="1"/>
  <c r="G85" i="36"/>
  <c r="H85" i="36" s="1"/>
  <c r="I85" i="36" s="1"/>
  <c r="J85" i="36" s="1"/>
  <c r="K85" i="36" s="1"/>
  <c r="L85" i="36" s="1"/>
  <c r="M85" i="36" s="1"/>
  <c r="J29" i="36"/>
  <c r="AC29" i="36" s="1"/>
  <c r="F12" i="36"/>
  <c r="AA12" i="36" s="1"/>
  <c r="F24" i="36"/>
  <c r="AA24" i="36" s="1"/>
  <c r="F34" i="36"/>
  <c r="S34" i="36"/>
  <c r="F14" i="35"/>
  <c r="F23" i="35"/>
  <c r="AA23" i="35"/>
  <c r="J32" i="35"/>
  <c r="AC32" i="35" s="1"/>
  <c r="J16" i="35"/>
  <c r="AC16" i="35" s="1"/>
  <c r="H16" i="35"/>
  <c r="U16" i="35" s="1"/>
  <c r="F16" i="35"/>
  <c r="S16" i="35" s="1"/>
  <c r="H14" i="35"/>
  <c r="AB14" i="35"/>
  <c r="J29" i="35"/>
  <c r="H33" i="35"/>
  <c r="AB33" i="35"/>
  <c r="J20" i="35"/>
  <c r="F35" i="37"/>
  <c r="S35" i="37"/>
  <c r="E101" i="37"/>
  <c r="F101" i="37" s="1"/>
  <c r="G101" i="37" s="1"/>
  <c r="H101" i="37"/>
  <c r="I101" i="37" s="1"/>
  <c r="J101" i="37" s="1"/>
  <c r="K101" i="37" s="1"/>
  <c r="L101" i="37" s="1"/>
  <c r="M101" i="37" s="1"/>
  <c r="J34" i="37"/>
  <c r="W34" i="37" s="1"/>
  <c r="AB34" i="37"/>
  <c r="J33" i="37"/>
  <c r="AC33" i="37" s="1"/>
  <c r="U42" i="34"/>
  <c r="H40" i="34"/>
  <c r="U40" i="34"/>
  <c r="E114" i="34"/>
  <c r="F114" i="34" s="1"/>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S17" i="40" s="1"/>
  <c r="J17" i="40"/>
  <c r="W17" i="40" s="1"/>
  <c r="F15" i="40"/>
  <c r="S15" i="40" s="1"/>
  <c r="H15" i="40"/>
  <c r="AB15" i="40" s="1"/>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AA45" i="21"/>
  <c r="F27" i="33"/>
  <c r="AA27" i="33" s="1"/>
  <c r="J13" i="33"/>
  <c r="H13" i="33"/>
  <c r="U13" i="33" s="1"/>
  <c r="F13" i="33"/>
  <c r="S13" i="33" s="1"/>
  <c r="J29" i="33"/>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F11" i="35"/>
  <c r="J26" i="36"/>
  <c r="W26" i="36" s="1"/>
  <c r="H28" i="36"/>
  <c r="U28" i="36" s="1"/>
  <c r="H32" i="36"/>
  <c r="AB32" i="36" s="1"/>
  <c r="J32" i="36"/>
  <c r="W32" i="36" s="1"/>
  <c r="J11" i="36"/>
  <c r="AC11" i="36" s="1"/>
  <c r="H11" i="36"/>
  <c r="U11" i="36" s="1"/>
  <c r="F11" i="36"/>
  <c r="H13" i="36"/>
  <c r="AB13" i="36" s="1"/>
  <c r="J13" i="36"/>
  <c r="F13" i="36"/>
  <c r="S13" i="36"/>
  <c r="E89" i="37"/>
  <c r="F89" i="37" s="1"/>
  <c r="G89" i="37" s="1"/>
  <c r="H89" i="37" s="1"/>
  <c r="I89" i="37" s="1"/>
  <c r="J89" i="37" s="1"/>
  <c r="K89" i="37" s="1"/>
  <c r="L89" i="37" s="1"/>
  <c r="M89" i="37" s="1"/>
  <c r="J29" i="37"/>
  <c r="W29" i="37"/>
  <c r="F29" i="37"/>
  <c r="S29" i="37" s="1"/>
  <c r="H36" i="37"/>
  <c r="AB36" i="37" s="1"/>
  <c r="F107" i="37"/>
  <c r="J37" i="37"/>
  <c r="AC37" i="37"/>
  <c r="H37" i="37"/>
  <c r="U37" i="37" s="1"/>
  <c r="H40" i="37"/>
  <c r="U40" i="37"/>
  <c r="J40" i="37"/>
  <c r="AC40" i="37" s="1"/>
  <c r="F40" i="37"/>
  <c r="AA40" i="37"/>
  <c r="AC12" i="40"/>
  <c r="W12" i="40"/>
  <c r="H14" i="33"/>
  <c r="U14" i="33"/>
  <c r="F14" i="33"/>
  <c r="J14" i="33"/>
  <c r="H30" i="33"/>
  <c r="AB30" i="33" s="1"/>
  <c r="F30" i="33"/>
  <c r="J30" i="33"/>
  <c r="H44" i="33"/>
  <c r="J44" i="33"/>
  <c r="AC44" i="33" s="1"/>
  <c r="F44" i="33"/>
  <c r="S44" i="33"/>
  <c r="J46" i="33"/>
  <c r="AC46" i="33" s="1"/>
  <c r="F46" i="33"/>
  <c r="AA46" i="33"/>
  <c r="H46" i="33"/>
  <c r="H13" i="34"/>
  <c r="U13" i="34"/>
  <c r="J13" i="34"/>
  <c r="F13" i="34"/>
  <c r="AA13" i="34" s="1"/>
  <c r="J29" i="34"/>
  <c r="F29" i="34"/>
  <c r="S29" i="34" s="1"/>
  <c r="H29" i="34"/>
  <c r="AB29" i="34"/>
  <c r="J31" i="34"/>
  <c r="H31" i="34"/>
  <c r="AB31" i="34"/>
  <c r="F31" i="34"/>
  <c r="S31" i="34" s="1"/>
  <c r="H45" i="34"/>
  <c r="U45" i="34"/>
  <c r="J45" i="34"/>
  <c r="W45" i="34" s="1"/>
  <c r="F45" i="34"/>
  <c r="S45" i="34"/>
  <c r="H47" i="34"/>
  <c r="U47" i="34" s="1"/>
  <c r="F47" i="34"/>
  <c r="S47" i="34"/>
  <c r="J47" i="34"/>
  <c r="F13" i="35"/>
  <c r="S13" i="35"/>
  <c r="J13" i="35"/>
  <c r="H13" i="35"/>
  <c r="U13" i="35"/>
  <c r="J25" i="35"/>
  <c r="W25" i="35" s="1"/>
  <c r="S25" i="35"/>
  <c r="H25" i="35"/>
  <c r="AB25" i="35" s="1"/>
  <c r="J35" i="35"/>
  <c r="AC35" i="35"/>
  <c r="F35" i="35"/>
  <c r="AA35" i="35" s="1"/>
  <c r="H35" i="35"/>
  <c r="AB35" i="35"/>
  <c r="J25" i="36"/>
  <c r="W25" i="36" s="1"/>
  <c r="F25" i="36"/>
  <c r="S25" i="36"/>
  <c r="H25" i="36"/>
  <c r="AB25" i="36" s="1"/>
  <c r="H13" i="37"/>
  <c r="AB13" i="37" s="1"/>
  <c r="F13" i="37"/>
  <c r="S13" i="37" s="1"/>
  <c r="J13" i="37"/>
  <c r="W13" i="37" s="1"/>
  <c r="AA28" i="37"/>
  <c r="J28" i="37"/>
  <c r="AC28" i="37" s="1"/>
  <c r="H38" i="37"/>
  <c r="AB38" i="37" s="1"/>
  <c r="J38" i="37"/>
  <c r="AC38" i="37"/>
  <c r="F38" i="37"/>
  <c r="F43" i="39"/>
  <c r="AA43" i="39"/>
  <c r="H43" i="39"/>
  <c r="J14" i="39"/>
  <c r="AC14" i="39" s="1"/>
  <c r="F14" i="39"/>
  <c r="H14" i="39"/>
  <c r="U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H13" i="39"/>
  <c r="H14" i="40"/>
  <c r="AB14" i="40" s="1"/>
  <c r="J14" i="40"/>
  <c r="W14" i="40"/>
  <c r="F14" i="40"/>
  <c r="J14" i="37"/>
  <c r="AC14" i="37"/>
  <c r="J27" i="37"/>
  <c r="AA44" i="33"/>
  <c r="AA13" i="35"/>
  <c r="U31" i="34"/>
  <c r="J36" i="37"/>
  <c r="AC36" i="37"/>
  <c r="J10" i="36"/>
  <c r="AC10" i="36" s="1"/>
  <c r="AB26" i="33"/>
  <c r="AA14" i="37"/>
  <c r="AC13" i="36"/>
  <c r="W13" i="36"/>
  <c r="AC30" i="34"/>
  <c r="AA14" i="34"/>
  <c r="AB31" i="33"/>
  <c r="U31" i="33"/>
  <c r="W29" i="33"/>
  <c r="AC28" i="21"/>
  <c r="BA586" i="3"/>
  <c r="F17" i="21"/>
  <c r="AA17" i="21"/>
  <c r="H17" i="21"/>
  <c r="AB17" i="21" s="1"/>
  <c r="F15" i="21"/>
  <c r="S15" i="21"/>
  <c r="J41" i="39"/>
  <c r="W41" i="39" s="1"/>
  <c r="W36" i="39"/>
  <c r="W35" i="39"/>
  <c r="G544" i="3"/>
  <c r="G540" i="3"/>
  <c r="G532" i="3"/>
  <c r="G531" i="3"/>
  <c r="G523" i="3"/>
  <c r="G518" i="3"/>
  <c r="G514" i="3"/>
  <c r="G508" i="3"/>
  <c r="G504" i="3"/>
  <c r="G500" i="3"/>
  <c r="G584" i="3"/>
  <c r="G580" i="3"/>
  <c r="G576" i="3"/>
  <c r="G568" i="3"/>
  <c r="G564" i="3"/>
  <c r="G554" i="3"/>
  <c r="G550" i="3"/>
  <c r="BL584" i="3"/>
  <c r="AZ584" i="3" s="1"/>
  <c r="BL580" i="3"/>
  <c r="BL576" i="3"/>
  <c r="BL572" i="3"/>
  <c r="BL568" i="3"/>
  <c r="BL554" i="3"/>
  <c r="BL546" i="3"/>
  <c r="BL534" i="3"/>
  <c r="BL530" i="3"/>
  <c r="BL516" i="3"/>
  <c r="BL512" i="3"/>
  <c r="BL498" i="3"/>
  <c r="BL494" i="3"/>
  <c r="BL582" i="3"/>
  <c r="BL578" i="3"/>
  <c r="BL574" i="3"/>
  <c r="BL570" i="3"/>
  <c r="BL556" i="3"/>
  <c r="BL552" i="3"/>
  <c r="BL536" i="3"/>
  <c r="G533" i="3"/>
  <c r="BL528" i="3"/>
  <c r="G525" i="3"/>
  <c r="BL514" i="3"/>
  <c r="BL510" i="3"/>
  <c r="BL496" i="3"/>
  <c r="G493" i="3"/>
  <c r="BA584" i="3"/>
  <c r="BA582" i="3"/>
  <c r="AZ582" i="3"/>
  <c r="BA580" i="3"/>
  <c r="AZ580" i="3" s="1"/>
  <c r="BA578" i="3"/>
  <c r="AZ578" i="3"/>
  <c r="BA576" i="3"/>
  <c r="AZ576" i="3" s="1"/>
  <c r="BA574" i="3"/>
  <c r="AZ574" i="3"/>
  <c r="BA572" i="3"/>
  <c r="AZ572" i="3" s="1"/>
  <c r="BA568" i="3"/>
  <c r="BA564" i="3"/>
  <c r="BA560" i="3"/>
  <c r="BA556" i="3"/>
  <c r="AZ556" i="3"/>
  <c r="BA554" i="3"/>
  <c r="AZ554" i="3" s="1"/>
  <c r="BA552" i="3"/>
  <c r="AZ552" i="3" s="1"/>
  <c r="BA544" i="3"/>
  <c r="BA540" i="3"/>
  <c r="AZ540" i="3" s="1"/>
  <c r="BA536" i="3"/>
  <c r="AZ536" i="3" s="1"/>
  <c r="BA532" i="3"/>
  <c r="AZ532" i="3" s="1"/>
  <c r="AZ528" i="3"/>
  <c r="BA526" i="3"/>
  <c r="AZ526" i="3" s="1"/>
  <c r="AZ524" i="3"/>
  <c r="BA522" i="3"/>
  <c r="AZ522" i="3" s="1"/>
  <c r="AZ518" i="3"/>
  <c r="BA516" i="3"/>
  <c r="AZ516" i="3" s="1"/>
  <c r="BA512" i="3"/>
  <c r="AZ512" i="3" s="1"/>
  <c r="BA508" i="3"/>
  <c r="AZ508" i="3" s="1"/>
  <c r="BA506" i="3"/>
  <c r="AZ506" i="3" s="1"/>
  <c r="BA502" i="3"/>
  <c r="BA500" i="3"/>
  <c r="AZ500" i="3" s="1"/>
  <c r="BA496" i="3"/>
  <c r="BA494" i="3"/>
  <c r="BA583" i="3"/>
  <c r="BA581" i="3"/>
  <c r="BA579" i="3"/>
  <c r="BA577" i="3"/>
  <c r="AZ577" i="3" s="1"/>
  <c r="BA575" i="3"/>
  <c r="BA569" i="3"/>
  <c r="BA567" i="3"/>
  <c r="BA561" i="3"/>
  <c r="BA559" i="3"/>
  <c r="BA555" i="3"/>
  <c r="BA553" i="3"/>
  <c r="BA549" i="3"/>
  <c r="AZ549" i="3" s="1"/>
  <c r="BA547" i="3"/>
  <c r="BA541" i="3"/>
  <c r="BA539" i="3"/>
  <c r="BA533" i="3"/>
  <c r="BA531" i="3"/>
  <c r="BA525" i="3"/>
  <c r="BA523" i="3"/>
  <c r="BA515" i="3"/>
  <c r="BA513" i="3"/>
  <c r="BA505" i="3"/>
  <c r="BA503" i="3"/>
  <c r="BA497" i="3"/>
  <c r="BA495" i="3"/>
  <c r="G583" i="3"/>
  <c r="G581" i="3"/>
  <c r="G579" i="3"/>
  <c r="G577" i="3"/>
  <c r="G575" i="3"/>
  <c r="G573" i="3"/>
  <c r="G571" i="3"/>
  <c r="G569" i="3"/>
  <c r="G567" i="3"/>
  <c r="G565" i="3"/>
  <c r="BL558" i="3"/>
  <c r="BA557" i="3"/>
  <c r="AC557" i="3"/>
  <c r="G557" i="3"/>
  <c r="BQ557" i="3"/>
  <c r="BQ583" i="3"/>
  <c r="BL583" i="3"/>
  <c r="AZ583" i="3"/>
  <c r="BQ581" i="3"/>
  <c r="BL581" i="3" s="1"/>
  <c r="BQ579" i="3"/>
  <c r="BL579" i="3" s="1"/>
  <c r="AZ579" i="3" s="1"/>
  <c r="BQ577" i="3"/>
  <c r="BL577" i="3"/>
  <c r="BQ575" i="3"/>
  <c r="BL575" i="3" s="1"/>
  <c r="AZ575" i="3"/>
  <c r="BQ573" i="3"/>
  <c r="BQ571" i="3"/>
  <c r="BL571" i="3" s="1"/>
  <c r="BQ569" i="3"/>
  <c r="BL569" i="3"/>
  <c r="AZ569" i="3" s="1"/>
  <c r="BQ567" i="3"/>
  <c r="BQ565" i="3"/>
  <c r="BQ563" i="3"/>
  <c r="BL563" i="3" s="1"/>
  <c r="BQ561" i="3"/>
  <c r="BQ559" i="3"/>
  <c r="G559" i="3"/>
  <c r="G555" i="3"/>
  <c r="G553" i="3"/>
  <c r="G549" i="3"/>
  <c r="G547" i="3"/>
  <c r="G545" i="3"/>
  <c r="G541" i="3"/>
  <c r="G539" i="3"/>
  <c r="G537" i="3"/>
  <c r="BQ555" i="3"/>
  <c r="BL555" i="3" s="1"/>
  <c r="AZ555" i="3" s="1"/>
  <c r="BQ553" i="3"/>
  <c r="BL553" i="3" s="1"/>
  <c r="AZ553" i="3" s="1"/>
  <c r="BQ551" i="3"/>
  <c r="BL551" i="3"/>
  <c r="BQ549" i="3"/>
  <c r="BQ547" i="3"/>
  <c r="BL547" i="3"/>
  <c r="AZ547" i="3"/>
  <c r="BQ545" i="3"/>
  <c r="BQ543" i="3"/>
  <c r="BQ541" i="3"/>
  <c r="BL541" i="3" s="1"/>
  <c r="BQ539" i="3"/>
  <c r="BL539" i="3"/>
  <c r="AZ539" i="3"/>
  <c r="BQ537" i="3"/>
  <c r="AZ537" i="3"/>
  <c r="BQ535" i="3"/>
  <c r="BQ533" i="3"/>
  <c r="BL533" i="3" s="1"/>
  <c r="BQ531" i="3"/>
  <c r="BL531" i="3"/>
  <c r="AZ531" i="3"/>
  <c r="BQ529" i="3"/>
  <c r="AZ529" i="3"/>
  <c r="BQ527" i="3"/>
  <c r="BQ525" i="3"/>
  <c r="BL525" i="3" s="1"/>
  <c r="BQ523" i="3"/>
  <c r="BL523" i="3"/>
  <c r="AZ523" i="3"/>
  <c r="AC521" i="3"/>
  <c r="G521" i="3" s="1"/>
  <c r="BQ521" i="3"/>
  <c r="BL520" i="3"/>
  <c r="AZ520" i="3" s="1"/>
  <c r="G517" i="3"/>
  <c r="G515" i="3"/>
  <c r="G513" i="3"/>
  <c r="BQ519" i="3"/>
  <c r="BL519" i="3"/>
  <c r="AZ519" i="3" s="1"/>
  <c r="BQ517" i="3"/>
  <c r="AZ517" i="3"/>
  <c r="BQ515" i="3"/>
  <c r="BQ513" i="3"/>
  <c r="BL513" i="3"/>
  <c r="BQ511" i="3"/>
  <c r="BL511" i="3"/>
  <c r="AZ511" i="3" s="1"/>
  <c r="AC509" i="3"/>
  <c r="BQ509" i="3"/>
  <c r="BL509" i="3" s="1"/>
  <c r="G507" i="3"/>
  <c r="G505" i="3"/>
  <c r="G503" i="3"/>
  <c r="G501" i="3"/>
  <c r="G499" i="3"/>
  <c r="G497" i="3"/>
  <c r="G495" i="3"/>
  <c r="BQ507" i="3"/>
  <c r="BL507" i="3"/>
  <c r="AZ507" i="3"/>
  <c r="BQ505" i="3"/>
  <c r="AZ505" i="3"/>
  <c r="BQ503" i="3"/>
  <c r="BQ501" i="3"/>
  <c r="BQ5" i="3" s="1"/>
  <c r="BQ499" i="3"/>
  <c r="BQ497" i="3"/>
  <c r="BL497" i="3"/>
  <c r="AZ497" i="3" s="1"/>
  <c r="BQ495" i="3"/>
  <c r="AZ495" i="3"/>
  <c r="BQ493" i="3"/>
  <c r="S503" i="31"/>
  <c r="O27" i="31"/>
  <c r="O28" i="31"/>
  <c r="O26" i="31"/>
  <c r="M27" i="31"/>
  <c r="M28" i="31"/>
  <c r="M26" i="31"/>
  <c r="I26" i="31"/>
  <c r="I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AA36" i="39"/>
  <c r="F39" i="33"/>
  <c r="AA39" i="33"/>
  <c r="E123" i="33"/>
  <c r="F123" i="33" s="1"/>
  <c r="F42" i="33"/>
  <c r="AA42" i="33" s="1"/>
  <c r="H28" i="34"/>
  <c r="AB28" i="34"/>
  <c r="F14" i="36"/>
  <c r="AA14" i="36" s="1"/>
  <c r="F22" i="36"/>
  <c r="S22" i="36"/>
  <c r="F26" i="36"/>
  <c r="H27" i="34"/>
  <c r="AB27" i="34"/>
  <c r="H35" i="34"/>
  <c r="U35" i="34" s="1"/>
  <c r="F41" i="34"/>
  <c r="S41" i="34"/>
  <c r="H41" i="34"/>
  <c r="U41" i="34" s="1"/>
  <c r="J41" i="34"/>
  <c r="AC41" i="34"/>
  <c r="F10" i="35"/>
  <c r="S10" i="35" s="1"/>
  <c r="F24" i="35"/>
  <c r="AA24" i="35"/>
  <c r="H24" i="35"/>
  <c r="AB24" i="35" s="1"/>
  <c r="H23" i="37"/>
  <c r="AB23" i="37"/>
  <c r="J32" i="37"/>
  <c r="AC32" i="37" s="1"/>
  <c r="F36" i="37"/>
  <c r="AA36" i="37"/>
  <c r="F37" i="37"/>
  <c r="S37" i="37" s="1"/>
  <c r="F31" i="40"/>
  <c r="AA31" i="40"/>
  <c r="H31" i="40"/>
  <c r="U31" i="40" s="1"/>
  <c r="H32" i="40"/>
  <c r="AB32" i="40" s="1"/>
  <c r="J36" i="40"/>
  <c r="W36" i="40"/>
  <c r="AA41" i="34"/>
  <c r="H19" i="37"/>
  <c r="AB19" i="37" s="1"/>
  <c r="G123" i="33"/>
  <c r="H123" i="33" s="1"/>
  <c r="I123" i="33" s="1"/>
  <c r="J123" i="33" s="1"/>
  <c r="K123" i="33" s="1"/>
  <c r="L123" i="33" s="1"/>
  <c r="M123" i="33" s="1"/>
  <c r="H42" i="33"/>
  <c r="AB42" i="33"/>
  <c r="J43" i="33"/>
  <c r="AC43" i="33"/>
  <c r="U43" i="33"/>
  <c r="U14" i="40"/>
  <c r="U35" i="35"/>
  <c r="W23" i="35"/>
  <c r="W14" i="37"/>
  <c r="U33" i="37"/>
  <c r="W26" i="37"/>
  <c r="U26" i="37"/>
  <c r="AB13" i="34"/>
  <c r="AC36" i="34"/>
  <c r="AA13" i="33"/>
  <c r="AC45" i="33"/>
  <c r="W44" i="33"/>
  <c r="U19" i="21"/>
  <c r="W44" i="21"/>
  <c r="U26" i="21"/>
  <c r="AC46" i="21"/>
  <c r="F43" i="33"/>
  <c r="AA43" i="33"/>
  <c r="W16" i="35"/>
  <c r="W40" i="37"/>
  <c r="G107" i="37"/>
  <c r="H107" i="37"/>
  <c r="I107" i="37"/>
  <c r="J107" i="37" s="1"/>
  <c r="K107" i="37" s="1"/>
  <c r="L107" i="37" s="1"/>
  <c r="M107" i="37" s="1"/>
  <c r="H37" i="21"/>
  <c r="U37" i="21" s="1"/>
  <c r="S42" i="21"/>
  <c r="H19" i="34"/>
  <c r="AB19" i="34"/>
  <c r="F36" i="35"/>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W15" i="37" s="1"/>
  <c r="AT6" i="3"/>
  <c r="AA25" i="21"/>
  <c r="H19" i="40"/>
  <c r="U19" i="40" s="1"/>
  <c r="F88" i="40"/>
  <c r="G88" i="40"/>
  <c r="F19" i="40"/>
  <c r="S19" i="40" s="1"/>
  <c r="AC13" i="40"/>
  <c r="AB33" i="40"/>
  <c r="W23" i="39"/>
  <c r="AC43" i="39"/>
  <c r="W43" i="39"/>
  <c r="U45" i="39"/>
  <c r="AB44" i="39"/>
  <c r="U44" i="39"/>
  <c r="H37" i="39"/>
  <c r="AB37" i="39"/>
  <c r="AC37" i="39"/>
  <c r="W37" i="39"/>
  <c r="H25" i="39"/>
  <c r="AB25" i="39"/>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BL549" i="3"/>
  <c r="AZ502" i="3"/>
  <c r="AZ514"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BL116" i="3"/>
  <c r="AZ116" i="3" s="1"/>
  <c r="G117" i="3"/>
  <c r="BA119" i="3"/>
  <c r="AZ119" i="3"/>
  <c r="BL120" i="3"/>
  <c r="G121" i="3"/>
  <c r="BA123" i="3"/>
  <c r="AZ123" i="3"/>
  <c r="BL124" i="3"/>
  <c r="AZ124" i="3" s="1"/>
  <c r="G125" i="3"/>
  <c r="BA127" i="3"/>
  <c r="AZ127" i="3" s="1"/>
  <c r="BL128" i="3"/>
  <c r="G129" i="3"/>
  <c r="BA131" i="3"/>
  <c r="AZ131" i="3" s="1"/>
  <c r="BL132" i="3"/>
  <c r="AZ132" i="3" s="1"/>
  <c r="G133" i="3"/>
  <c r="BA135" i="3"/>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9" i="3"/>
  <c r="AZ136" i="3"/>
  <c r="AZ160" i="3"/>
  <c r="AZ168" i="3"/>
  <c r="AZ192" i="3"/>
  <c r="AZ200" i="3"/>
  <c r="AZ93" i="3"/>
  <c r="AZ97" i="3"/>
  <c r="AZ109" i="3"/>
  <c r="AZ120" i="3"/>
  <c r="AZ128" i="3"/>
  <c r="G530" i="3"/>
  <c r="G522" i="3"/>
  <c r="G516" i="3"/>
  <c r="G512" i="3"/>
  <c r="G506" i="3"/>
  <c r="G498" i="3"/>
  <c r="G494" i="3"/>
  <c r="G16" i="3"/>
  <c r="G15" i="3"/>
  <c r="BA304" i="3"/>
  <c r="AZ304" i="3" s="1"/>
  <c r="BA305" i="3"/>
  <c r="BL305" i="3"/>
  <c r="AZ305" i="3" s="1"/>
  <c r="G306" i="3"/>
  <c r="G309" i="3"/>
  <c r="BL310" i="3"/>
  <c r="BA312" i="3"/>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BL337" i="3"/>
  <c r="AZ337" i="3" s="1"/>
  <c r="G338" i="3"/>
  <c r="G341" i="3"/>
  <c r="BA342" i="3"/>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194" i="3"/>
  <c r="AZ198" i="3"/>
  <c r="AZ202" i="3"/>
  <c r="BA16" i="3"/>
  <c r="AZ16" i="3" s="1"/>
  <c r="BL303" i="3"/>
  <c r="AZ303" i="3" s="1"/>
  <c r="G304" i="3"/>
  <c r="BA306" i="3"/>
  <c r="AZ306" i="3" s="1"/>
  <c r="BL307" i="3"/>
  <c r="G308" i="3"/>
  <c r="BA310" i="3"/>
  <c r="AZ310" i="3" s="1"/>
  <c r="BL311" i="3"/>
  <c r="G312" i="3"/>
  <c r="BA314" i="3"/>
  <c r="BL315" i="3"/>
  <c r="G316" i="3"/>
  <c r="BA318" i="3"/>
  <c r="AZ318" i="3"/>
  <c r="BL319" i="3"/>
  <c r="G320" i="3"/>
  <c r="BA322" i="3"/>
  <c r="AZ322" i="3"/>
  <c r="BL323" i="3"/>
  <c r="AZ323" i="3" s="1"/>
  <c r="G324" i="3"/>
  <c r="BA326" i="3"/>
  <c r="AZ326" i="3" s="1"/>
  <c r="BL327" i="3"/>
  <c r="AZ327" i="3" s="1"/>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BL392" i="3"/>
  <c r="G393" i="3"/>
  <c r="AZ263" i="3"/>
  <c r="AZ275" i="3"/>
  <c r="AZ279" i="3"/>
  <c r="AZ283" i="3"/>
  <c r="AZ287" i="3"/>
  <c r="AZ291" i="3"/>
  <c r="AZ295" i="3"/>
  <c r="AZ299" i="3"/>
  <c r="BO5" i="3"/>
  <c r="BH5" i="3"/>
  <c r="BF5" i="3"/>
  <c r="AZ317" i="3"/>
  <c r="AZ325" i="3"/>
  <c r="AZ333" i="3"/>
  <c r="AC5" i="3"/>
  <c r="AZ496" i="3"/>
  <c r="G548" i="3"/>
  <c r="G538" i="3"/>
  <c r="G520" i="3"/>
  <c r="G502" i="3"/>
  <c r="BS5" i="3"/>
  <c r="AZ343" i="3"/>
  <c r="BK5" i="3"/>
  <c r="BE5" i="3"/>
  <c r="BC5" i="3"/>
  <c r="G17" i="3"/>
  <c r="BA17" i="3"/>
  <c r="BT5" i="3"/>
  <c r="AZ350" i="3"/>
  <c r="AZ360" i="3"/>
  <c r="AZ364" i="3"/>
  <c r="AZ368" i="3"/>
  <c r="BA15" i="3"/>
  <c r="AZ15" i="3"/>
  <c r="BB5" i="3"/>
  <c r="AZ384" i="3"/>
  <c r="AZ388" i="3"/>
  <c r="AZ392" i="3"/>
  <c r="AZ396" i="3"/>
  <c r="AZ394" i="3"/>
  <c r="AZ499" i="3"/>
  <c r="G509" i="3"/>
  <c r="BL493" i="3"/>
  <c r="AZ491" i="3"/>
  <c r="AZ382" i="3"/>
  <c r="AZ493" i="3"/>
  <c r="U36" i="40"/>
  <c r="F83" i="43"/>
  <c r="H85" i="43" s="1"/>
  <c r="F50" i="43"/>
  <c r="H54" i="43" s="1"/>
  <c r="F72" i="43"/>
  <c r="H75" i="43" s="1"/>
  <c r="U43" i="21"/>
  <c r="U35" i="21"/>
  <c r="AC35" i="21"/>
  <c r="G8" i="1"/>
  <c r="G10" i="1"/>
  <c r="AC11" i="39"/>
  <c r="W37" i="37"/>
  <c r="W44" i="34"/>
  <c r="S15" i="37"/>
  <c r="U13" i="37"/>
  <c r="U12" i="40"/>
  <c r="AA12" i="40"/>
  <c r="J37" i="33"/>
  <c r="W37" i="33"/>
  <c r="AC17" i="34"/>
  <c r="H106" i="33"/>
  <c r="I106" i="33" s="1"/>
  <c r="J106" i="33" s="1"/>
  <c r="K106" i="33" s="1"/>
  <c r="L106" i="33" s="1"/>
  <c r="M106" i="33" s="1"/>
  <c r="J34" i="33"/>
  <c r="W34" i="33" s="1"/>
  <c r="F33" i="34"/>
  <c r="S33" i="34"/>
  <c r="H20" i="36"/>
  <c r="AB20" i="36" s="1"/>
  <c r="J20" i="36"/>
  <c r="W20" i="36" s="1"/>
  <c r="W24" i="36"/>
  <c r="J27" i="36"/>
  <c r="W27" i="36" s="1"/>
  <c r="AB25" i="37"/>
  <c r="AC33" i="40"/>
  <c r="F111" i="40"/>
  <c r="G111" i="40" s="1"/>
  <c r="H111" i="40" s="1"/>
  <c r="I111" i="40" s="1"/>
  <c r="J111" i="40" s="1"/>
  <c r="K111" i="40" s="1"/>
  <c r="L111" i="40" s="1"/>
  <c r="M111" i="40" s="1"/>
  <c r="H35" i="40"/>
  <c r="U35" i="40" s="1"/>
  <c r="AC29" i="35"/>
  <c r="W29" i="35"/>
  <c r="H35" i="37"/>
  <c r="U35" i="37" s="1"/>
  <c r="AC14" i="35"/>
  <c r="H20" i="35"/>
  <c r="U20" i="35"/>
  <c r="F20" i="35"/>
  <c r="AB29" i="36"/>
  <c r="U29" i="36"/>
  <c r="H32" i="37"/>
  <c r="AB32" i="37" s="1"/>
  <c r="F96" i="37"/>
  <c r="G96" i="37" s="1"/>
  <c r="H96" i="37" s="1"/>
  <c r="I96" i="37" s="1"/>
  <c r="J96" i="37" s="1"/>
  <c r="K96" i="37" s="1"/>
  <c r="L96" i="37" s="1"/>
  <c r="M96" i="37" s="1"/>
  <c r="H27" i="40"/>
  <c r="J27" i="40"/>
  <c r="AC27" i="40"/>
  <c r="F27" i="40"/>
  <c r="J30" i="40"/>
  <c r="AC30" i="40"/>
  <c r="F30" i="40"/>
  <c r="AC21" i="40"/>
  <c r="S11" i="40"/>
  <c r="E98" i="40"/>
  <c r="F98" i="40"/>
  <c r="G98" i="40"/>
  <c r="H98" i="40" s="1"/>
  <c r="I98" i="40" s="1"/>
  <c r="J98" i="40" s="1"/>
  <c r="K98" i="40" s="1"/>
  <c r="L98" i="40" s="1"/>
  <c r="M98" i="40" s="1"/>
  <c r="F10" i="33"/>
  <c r="S10" i="33" s="1"/>
  <c r="F34" i="33"/>
  <c r="AA34" i="33" s="1"/>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31" i="3"/>
  <c r="AZ33" i="3"/>
  <c r="AZ37" i="3"/>
  <c r="AZ42" i="3"/>
  <c r="AZ45" i="3"/>
  <c r="AZ50" i="3"/>
  <c r="AZ53" i="3"/>
  <c r="AZ58" i="3"/>
  <c r="AZ61" i="3"/>
  <c r="AZ69" i="3"/>
  <c r="AZ72" i="3"/>
  <c r="AZ74" i="3"/>
  <c r="AZ77" i="3"/>
  <c r="AZ82" i="3"/>
  <c r="AZ86" i="3"/>
  <c r="AZ94" i="3"/>
  <c r="AZ102"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W27" i="34"/>
  <c r="AC27" i="34"/>
  <c r="AB34" i="36"/>
  <c r="U34" i="36"/>
  <c r="AB33" i="36"/>
  <c r="U33" i="36"/>
  <c r="AC12" i="39"/>
  <c r="W12" i="39"/>
  <c r="AZ401" i="3"/>
  <c r="AZ412" i="3"/>
  <c r="AZ417" i="3"/>
  <c r="AZ428" i="3"/>
  <c r="AZ433" i="3"/>
  <c r="W12" i="33"/>
  <c r="S32" i="36"/>
  <c r="AZ408" i="3"/>
  <c r="AZ437" i="3"/>
  <c r="AZ473" i="3"/>
  <c r="AA39" i="34"/>
  <c r="BL14" i="3"/>
  <c r="AZ266" i="3"/>
  <c r="U30" i="33"/>
  <c r="AA47" i="34"/>
  <c r="W28" i="37"/>
  <c r="S19" i="39"/>
  <c r="F12" i="33"/>
  <c r="H12" i="39"/>
  <c r="AB12" i="39"/>
  <c r="F39" i="40"/>
  <c r="BA14" i="3"/>
  <c r="AZ14" i="3" s="1"/>
  <c r="AZ367" i="3"/>
  <c r="AZ213" i="3"/>
  <c r="AZ224" i="3"/>
  <c r="AZ234" i="3"/>
  <c r="AZ238" i="3"/>
  <c r="AZ250" i="3"/>
  <c r="AZ254" i="3"/>
  <c r="AZ281" i="3"/>
  <c r="AZ286" i="3"/>
  <c r="AZ149" i="3"/>
  <c r="AZ157" i="3"/>
  <c r="AZ165" i="3"/>
  <c r="AZ173" i="3"/>
  <c r="AZ181" i="3"/>
  <c r="AZ189" i="3"/>
  <c r="AZ197" i="3"/>
  <c r="AZ35" i="3"/>
  <c r="AZ41" i="3"/>
  <c r="B12" i="1"/>
  <c r="E12" i="1" s="1"/>
  <c r="B10" i="1"/>
  <c r="E10" i="1" s="1"/>
  <c r="AZ80" i="3"/>
  <c r="AZ84" i="3"/>
  <c r="AZ88" i="3"/>
  <c r="AZ107" i="3"/>
  <c r="K12" i="1"/>
  <c r="M12" i="1" s="1"/>
  <c r="J51" i="67"/>
  <c r="C42" i="1"/>
  <c r="C24" i="12" s="1"/>
  <c r="AC34" i="33"/>
  <c r="B41" i="1"/>
  <c r="F48" i="9" s="1"/>
  <c r="O52" i="9" s="1"/>
  <c r="AB37" i="40"/>
  <c r="S35" i="40"/>
  <c r="AC36" i="40"/>
  <c r="W38" i="40"/>
  <c r="S23" i="40"/>
  <c r="AC17" i="40"/>
  <c r="AC15"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U12" i="39"/>
  <c r="U13" i="36"/>
  <c r="U26" i="36"/>
  <c r="AA34" i="36"/>
  <c r="AC26" i="36"/>
  <c r="AA22" i="36"/>
  <c r="W14" i="36"/>
  <c r="AB14" i="36"/>
  <c r="U22" i="36"/>
  <c r="S16" i="36"/>
  <c r="AA25" i="36"/>
  <c r="S24" i="36"/>
  <c r="U24" i="36"/>
  <c r="U23" i="36"/>
  <c r="U16" i="36"/>
  <c r="S14" i="36"/>
  <c r="S23" i="35"/>
  <c r="W24" i="35"/>
  <c r="AB13" i="35"/>
  <c r="U29" i="35"/>
  <c r="U28" i="35"/>
  <c r="AB27" i="35"/>
  <c r="U36" i="35"/>
  <c r="U32" i="35"/>
  <c r="AC30" i="35"/>
  <c r="S32" i="35"/>
  <c r="S28" i="35"/>
  <c r="AB16" i="35"/>
  <c r="U22" i="35"/>
  <c r="S22" i="35"/>
  <c r="U14" i="35"/>
  <c r="AC9" i="35"/>
  <c r="W9" i="35"/>
  <c r="AC12" i="35"/>
  <c r="F9" i="35"/>
  <c r="S9" i="35" s="1"/>
  <c r="H9" i="35"/>
  <c r="U9" i="35" s="1"/>
  <c r="AB40" i="37"/>
  <c r="S25" i="37"/>
  <c r="S26" i="37"/>
  <c r="AC29" i="37"/>
  <c r="S32" i="37"/>
  <c r="AB31" i="37"/>
  <c r="W30" i="37"/>
  <c r="S36" i="37"/>
  <c r="U32" i="37"/>
  <c r="W38" i="37"/>
  <c r="AC35" i="37"/>
  <c r="W39" i="37"/>
  <c r="S30" i="37"/>
  <c r="J17" i="37"/>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F85" i="33"/>
  <c r="G85" i="33" s="1"/>
  <c r="H23" i="33"/>
  <c r="AB23" i="33" s="1"/>
  <c r="F81" i="33"/>
  <c r="F19" i="33"/>
  <c r="S19" i="33"/>
  <c r="W19" i="33"/>
  <c r="J17" i="33"/>
  <c r="F79" i="33"/>
  <c r="U9" i="33"/>
  <c r="J10" i="33"/>
  <c r="W10" i="33" s="1"/>
  <c r="H10" i="33"/>
  <c r="U10" i="33" s="1"/>
  <c r="AB14" i="33"/>
  <c r="W43" i="21"/>
  <c r="W36" i="21"/>
  <c r="W41" i="21"/>
  <c r="AB39" i="21"/>
  <c r="AA43" i="21"/>
  <c r="S39" i="21"/>
  <c r="AA38" i="21"/>
  <c r="AA36" i="21"/>
  <c r="AC40" i="21"/>
  <c r="J15" i="21"/>
  <c r="W15" i="21" s="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H32" i="39"/>
  <c r="AB32" i="39" s="1"/>
  <c r="AA32" i="39"/>
  <c r="U21" i="39"/>
  <c r="AA21" i="39"/>
  <c r="S21" i="39"/>
  <c r="AC17" i="37"/>
  <c r="S17" i="37"/>
  <c r="J19" i="37"/>
  <c r="W19" i="37" s="1"/>
  <c r="G75" i="37"/>
  <c r="S19" i="37"/>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c r="K111" i="33"/>
  <c r="L111" i="33" s="1"/>
  <c r="M111" i="33" s="1"/>
  <c r="J36" i="33"/>
  <c r="W36" i="33" s="1"/>
  <c r="H36" i="33"/>
  <c r="U36" i="33" s="1"/>
  <c r="AC32" i="33"/>
  <c r="W32" i="33"/>
  <c r="U27" i="33"/>
  <c r="AB27" i="33"/>
  <c r="G91" i="33"/>
  <c r="H91" i="33"/>
  <c r="I91" i="33"/>
  <c r="J91" i="33" s="1"/>
  <c r="K91" i="33" s="1"/>
  <c r="L91" i="33" s="1"/>
  <c r="M91" i="33" s="1"/>
  <c r="J27" i="33"/>
  <c r="AB25" i="33"/>
  <c r="S25" i="33"/>
  <c r="AA25" i="33"/>
  <c r="J25" i="33"/>
  <c r="U23" i="33"/>
  <c r="F23" i="33"/>
  <c r="AA23" i="33" s="1"/>
  <c r="AC23" i="33"/>
  <c r="W23" i="33"/>
  <c r="AA19" i="33"/>
  <c r="H19" i="33"/>
  <c r="G81" i="33"/>
  <c r="G79" i="33"/>
  <c r="H17" i="33"/>
  <c r="U17" i="33" s="1"/>
  <c r="F17" i="33"/>
  <c r="W17" i="33"/>
  <c r="AC17" i="33"/>
  <c r="S37" i="21"/>
  <c r="AB15" i="21"/>
  <c r="J23" i="21"/>
  <c r="F85" i="21"/>
  <c r="G85" i="21" s="1"/>
  <c r="H23" i="21"/>
  <c r="S13" i="21"/>
  <c r="D6" i="52"/>
  <c r="AP7" i="1"/>
  <c r="AB45" i="21"/>
  <c r="AB9" i="21"/>
  <c r="U9" i="21"/>
  <c r="AA32" i="21"/>
  <c r="S32" i="21"/>
  <c r="AC9" i="21"/>
  <c r="AB32" i="21"/>
  <c r="U32" i="21"/>
  <c r="U32" i="39"/>
  <c r="AC32" i="39"/>
  <c r="W32" i="39"/>
  <c r="W23" i="37"/>
  <c r="AC23" i="37"/>
  <c r="J11" i="37"/>
  <c r="AC11" i="37" s="1"/>
  <c r="H70" i="34"/>
  <c r="I70" i="34" s="1"/>
  <c r="J70" i="34" s="1"/>
  <c r="K70" i="34" s="1"/>
  <c r="L70" i="34" s="1"/>
  <c r="M70" i="34" s="1"/>
  <c r="J11" i="34"/>
  <c r="W11" i="34" s="1"/>
  <c r="W27" i="33"/>
  <c r="AC27" i="33"/>
  <c r="W25" i="33"/>
  <c r="AC25" i="33"/>
  <c r="AB19" i="33"/>
  <c r="U19" i="33"/>
  <c r="AA17" i="33"/>
  <c r="S17" i="33"/>
  <c r="AB17" i="33"/>
  <c r="U23" i="21"/>
  <c r="AB23" i="21"/>
  <c r="AC23" i="21"/>
  <c r="W23" i="21"/>
  <c r="H109" i="9"/>
  <c r="M49" i="9" s="1"/>
  <c r="H112" i="9"/>
  <c r="D21" i="53"/>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AO13" i="1"/>
  <c r="E8" i="76"/>
  <c r="B7" i="76"/>
  <c r="F4" i="73"/>
  <c r="D34" i="9"/>
  <c r="B9" i="76"/>
  <c r="D6" i="73"/>
  <c r="B10" i="76"/>
  <c r="F7" i="73"/>
  <c r="E9" i="76"/>
  <c r="B13" i="76"/>
  <c r="B11" i="76"/>
  <c r="F5" i="73"/>
  <c r="D19" i="9"/>
  <c r="E2" i="69"/>
  <c r="B8" i="76"/>
  <c r="B12" i="76"/>
  <c r="F20" i="31"/>
  <c r="E12" i="76"/>
  <c r="E10" i="76"/>
  <c r="E11" i="76"/>
  <c r="E13" i="76"/>
  <c r="E7" i="76"/>
  <c r="F3" i="73"/>
  <c r="F6" i="73"/>
  <c r="D20" i="9"/>
  <c r="E2" i="68"/>
  <c r="D35" i="9"/>
  <c r="D5" i="73"/>
  <c r="W33" i="33" l="1"/>
  <c r="S33" i="33"/>
  <c r="S15" i="33"/>
  <c r="U15" i="33"/>
  <c r="W15" i="33"/>
  <c r="AB36" i="33"/>
  <c r="AC11" i="33"/>
  <c r="U11" i="33"/>
  <c r="M18" i="15"/>
  <c r="M18" i="67"/>
  <c r="F30" i="11"/>
  <c r="C48" i="11" s="1"/>
  <c r="F30" i="68"/>
  <c r="F48" i="68" s="1"/>
  <c r="F54" i="9"/>
  <c r="F32" i="15"/>
  <c r="F60" i="15" s="1"/>
  <c r="F52" i="9"/>
  <c r="D68" i="9"/>
  <c r="F30" i="69"/>
  <c r="F48" i="69" s="1"/>
  <c r="F31" i="12"/>
  <c r="C40" i="69"/>
  <c r="F3" i="35"/>
  <c r="K13" i="1"/>
  <c r="M13" i="1" s="1"/>
  <c r="O13" i="1" s="1"/>
  <c r="P13" i="1" s="1"/>
  <c r="K1" i="12"/>
  <c r="G1" i="67"/>
  <c r="G1" i="15"/>
  <c r="B6" i="1"/>
  <c r="E6" i="1" s="1"/>
  <c r="G1" i="68"/>
  <c r="K6" i="1"/>
  <c r="AP6" i="1" s="1"/>
  <c r="C36" i="69" s="1"/>
  <c r="F28" i="6"/>
  <c r="S27" i="40"/>
  <c r="AA27" i="40"/>
  <c r="AA20" i="35"/>
  <c r="S20" i="35"/>
  <c r="AB35" i="40"/>
  <c r="AZ391" i="3"/>
  <c r="AZ334" i="3"/>
  <c r="AZ314" i="3"/>
  <c r="AB21" i="40"/>
  <c r="U21" i="40"/>
  <c r="AA37" i="37"/>
  <c r="BL501" i="3"/>
  <c r="AZ533" i="3"/>
  <c r="AZ494" i="3"/>
  <c r="S44" i="34"/>
  <c r="AB14" i="39"/>
  <c r="AC13" i="35"/>
  <c r="W13" i="35"/>
  <c r="AB46" i="33"/>
  <c r="U46" i="33"/>
  <c r="S11" i="35"/>
  <c r="AA11" i="35"/>
  <c r="W31" i="33"/>
  <c r="AC31" i="33"/>
  <c r="S33" i="35"/>
  <c r="AA14" i="35"/>
  <c r="S14" i="35"/>
  <c r="AC44" i="39"/>
  <c r="W44" i="39"/>
  <c r="S12" i="34"/>
  <c r="AA12" i="34"/>
  <c r="U23" i="35"/>
  <c r="AB23" i="35"/>
  <c r="AC34" i="35"/>
  <c r="W34" i="35"/>
  <c r="AB29" i="37"/>
  <c r="U29" i="37"/>
  <c r="H39" i="40"/>
  <c r="J39" i="40"/>
  <c r="AZ521" i="3"/>
  <c r="BL515" i="3"/>
  <c r="AZ515" i="3" s="1"/>
  <c r="AZ510" i="3"/>
  <c r="AZ509" i="3"/>
  <c r="AZ504" i="3"/>
  <c r="BL503" i="3"/>
  <c r="AZ501" i="3"/>
  <c r="AZ498" i="3"/>
  <c r="AA30" i="40"/>
  <c r="S30" i="40"/>
  <c r="S36" i="35"/>
  <c r="AA36" i="35"/>
  <c r="S26" i="36"/>
  <c r="AA26" i="36"/>
  <c r="AZ503" i="3"/>
  <c r="AA14" i="40"/>
  <c r="S14" i="40"/>
  <c r="W13" i="34"/>
  <c r="AC13" i="34"/>
  <c r="S14" i="33"/>
  <c r="AA14" i="33"/>
  <c r="AA11" i="36"/>
  <c r="S11" i="36"/>
  <c r="U46" i="34"/>
  <c r="AB46" i="34"/>
  <c r="U45" i="33"/>
  <c r="AB45" i="33"/>
  <c r="W15" i="34"/>
  <c r="AC15" i="34"/>
  <c r="AB39" i="37"/>
  <c r="U39" i="37"/>
  <c r="AB36" i="39"/>
  <c r="U36" i="39"/>
  <c r="AB12" i="21"/>
  <c r="U12" i="21"/>
  <c r="BA587" i="3"/>
  <c r="AZ587" i="3" s="1"/>
  <c r="S12" i="21"/>
  <c r="AA12" i="21"/>
  <c r="B94" i="43"/>
  <c r="B73" i="43"/>
  <c r="U34" i="35"/>
  <c r="AB34" i="35"/>
  <c r="S23" i="36"/>
  <c r="AA23" i="36"/>
  <c r="W12" i="36"/>
  <c r="AC12" i="36"/>
  <c r="BL559" i="3"/>
  <c r="BL557" i="3"/>
  <c r="BL543" i="3"/>
  <c r="AZ538" i="3"/>
  <c r="BL535" i="3"/>
  <c r="AZ535" i="3" s="1"/>
  <c r="AZ534" i="3"/>
  <c r="AZ530" i="3"/>
  <c r="BL527" i="3"/>
  <c r="AZ527" i="3" s="1"/>
  <c r="AC19" i="37"/>
  <c r="C21" i="71"/>
  <c r="D19" i="53"/>
  <c r="B38" i="72" s="1"/>
  <c r="D16" i="53"/>
  <c r="B34" i="72" s="1"/>
  <c r="S23" i="33"/>
  <c r="AA29" i="21"/>
  <c r="AC15" i="37"/>
  <c r="AZ342" i="3"/>
  <c r="AZ525" i="3"/>
  <c r="AZ541" i="3"/>
  <c r="AZ581" i="3"/>
  <c r="AB30" i="21"/>
  <c r="AC27" i="37"/>
  <c r="W27" i="37"/>
  <c r="AA45" i="33"/>
  <c r="S45" i="33"/>
  <c r="AB17" i="34"/>
  <c r="AC11" i="40"/>
  <c r="AA33" i="36"/>
  <c r="S33" i="36"/>
  <c r="AB17" i="39"/>
  <c r="U17" i="39"/>
  <c r="AA35" i="39"/>
  <c r="S35" i="39"/>
  <c r="J12" i="21"/>
  <c r="U38" i="21"/>
  <c r="AB38" i="21"/>
  <c r="BL586" i="3"/>
  <c r="AZ586" i="3" s="1"/>
  <c r="BL561" i="3"/>
  <c r="AZ561" i="3" s="1"/>
  <c r="BL560" i="3"/>
  <c r="AZ560" i="3" s="1"/>
  <c r="BA558" i="3"/>
  <c r="AZ558" i="3" s="1"/>
  <c r="BA548" i="3"/>
  <c r="BN5" i="3"/>
  <c r="BI5" i="3"/>
  <c r="BR5" i="3"/>
  <c r="G28" i="6" s="1"/>
  <c r="BL545" i="3"/>
  <c r="BA545" i="3"/>
  <c r="AZ545" i="3" s="1"/>
  <c r="BL544" i="3"/>
  <c r="AZ544" i="3" s="1"/>
  <c r="BM5" i="3"/>
  <c r="F29" i="6" s="1"/>
  <c r="F30" i="6" s="1"/>
  <c r="BD5" i="3"/>
  <c r="BA543" i="3"/>
  <c r="AZ543" i="3" s="1"/>
  <c r="BP5" i="3"/>
  <c r="BG5" i="3"/>
  <c r="E10" i="6" s="1"/>
  <c r="BA542" i="3"/>
  <c r="AZ542" i="3" s="1"/>
  <c r="S36" i="33"/>
  <c r="AB33" i="34"/>
  <c r="AA19" i="40"/>
  <c r="U27" i="40"/>
  <c r="AB27" i="40"/>
  <c r="U20" i="36"/>
  <c r="AZ557" i="3"/>
  <c r="AZ513" i="3"/>
  <c r="AZ559" i="3"/>
  <c r="AZ568" i="3"/>
  <c r="S38" i="37"/>
  <c r="AA38" i="37"/>
  <c r="AC47" i="34"/>
  <c r="W47" i="34"/>
  <c r="AC31" i="34"/>
  <c r="W31" i="34"/>
  <c r="AA17" i="40"/>
  <c r="W20" i="35"/>
  <c r="AC20" i="35"/>
  <c r="AB12" i="33"/>
  <c r="BA585" i="3"/>
  <c r="AZ585" i="3" s="1"/>
  <c r="U12" i="35"/>
  <c r="AB12" i="35"/>
  <c r="AA9" i="39"/>
  <c r="S9" i="39"/>
  <c r="AA44" i="39"/>
  <c r="S44" i="39"/>
  <c r="F13" i="39"/>
  <c r="J13" i="39"/>
  <c r="F31" i="39"/>
  <c r="J31" i="39"/>
  <c r="F32" i="40"/>
  <c r="J32" i="40"/>
  <c r="BL573" i="3"/>
  <c r="BA573" i="3"/>
  <c r="AZ573" i="3" s="1"/>
  <c r="BA571" i="3"/>
  <c r="AZ571" i="3" s="1"/>
  <c r="BA570" i="3"/>
  <c r="AZ570" i="3" s="1"/>
  <c r="BL567" i="3"/>
  <c r="AZ567" i="3" s="1"/>
  <c r="BL566" i="3"/>
  <c r="AZ566" i="3" s="1"/>
  <c r="BL565" i="3"/>
  <c r="AZ565" i="3" s="1"/>
  <c r="BL564" i="3"/>
  <c r="AZ564" i="3" s="1"/>
  <c r="BA563" i="3"/>
  <c r="AZ563" i="3" s="1"/>
  <c r="BL562" i="3"/>
  <c r="BA562" i="3"/>
  <c r="AZ562" i="3" s="1"/>
  <c r="B99" i="43"/>
  <c r="B76" i="43"/>
  <c r="BL550" i="3"/>
  <c r="AZ400" i="3"/>
  <c r="AZ405" i="3"/>
  <c r="AZ407" i="3"/>
  <c r="AZ410" i="3"/>
  <c r="AZ413" i="3"/>
  <c r="AZ415" i="3"/>
  <c r="AZ439" i="3"/>
  <c r="AZ398" i="3"/>
  <c r="AZ403" i="3"/>
  <c r="AZ404" i="3"/>
  <c r="AZ411" i="3"/>
  <c r="AZ414" i="3"/>
  <c r="AZ424" i="3"/>
  <c r="AZ436" i="3"/>
  <c r="AZ448" i="3"/>
  <c r="H5" i="3"/>
  <c r="H28" i="37"/>
  <c r="AC11" i="35"/>
  <c r="W40" i="33"/>
  <c r="F39" i="37"/>
  <c r="J45" i="39"/>
  <c r="G574" i="3"/>
  <c r="BA551" i="3"/>
  <c r="AZ551" i="3" s="1"/>
  <c r="BA550" i="3"/>
  <c r="AZ550" i="3" s="1"/>
  <c r="BL548" i="3"/>
  <c r="AZ420" i="3"/>
  <c r="AZ425" i="3"/>
  <c r="AZ431" i="3"/>
  <c r="AZ434" i="3"/>
  <c r="AZ480" i="3"/>
  <c r="AA12" i="35"/>
  <c r="AZ418" i="3"/>
  <c r="AZ421" i="3"/>
  <c r="AZ422" i="3"/>
  <c r="G437" i="3"/>
  <c r="G440" i="3"/>
  <c r="BL445" i="3"/>
  <c r="BA447" i="3"/>
  <c r="AZ447" i="3" s="1"/>
  <c r="BA450" i="3"/>
  <c r="AZ450" i="3" s="1"/>
  <c r="G455" i="3"/>
  <c r="BL457" i="3"/>
  <c r="AZ457" i="3" s="1"/>
  <c r="BL461" i="3"/>
  <c r="AZ461" i="3" s="1"/>
  <c r="BL464" i="3"/>
  <c r="AZ464" i="3" s="1"/>
  <c r="BL467" i="3"/>
  <c r="G469" i="3"/>
  <c r="BL475" i="3"/>
  <c r="AZ475" i="3" s="1"/>
  <c r="BA479" i="3"/>
  <c r="AZ479" i="3" s="1"/>
  <c r="BA484" i="3"/>
  <c r="AZ484" i="3" s="1"/>
  <c r="BA487" i="3"/>
  <c r="AZ487" i="3" s="1"/>
  <c r="BL490" i="3"/>
  <c r="AZ490" i="3" s="1"/>
  <c r="BL312" i="3"/>
  <c r="AZ312" i="3" s="1"/>
  <c r="BA315" i="3"/>
  <c r="AZ315" i="3" s="1"/>
  <c r="AZ239" i="3"/>
  <c r="AZ258" i="3"/>
  <c r="AZ270" i="3"/>
  <c r="AZ276" i="3"/>
  <c r="AZ293" i="3"/>
  <c r="A15" i="62"/>
  <c r="B61" i="72" s="1"/>
  <c r="AZ445" i="3"/>
  <c r="AZ467" i="3"/>
  <c r="AZ477" i="3"/>
  <c r="BL435" i="3"/>
  <c r="BL438" i="3"/>
  <c r="AZ449" i="3"/>
  <c r="AZ459" i="3"/>
  <c r="BA468" i="3"/>
  <c r="AZ468" i="3" s="1"/>
  <c r="AZ471" i="3"/>
  <c r="BL472" i="3"/>
  <c r="BA476" i="3"/>
  <c r="AZ476" i="3" s="1"/>
  <c r="BL478" i="3"/>
  <c r="AZ482" i="3"/>
  <c r="BL483" i="3"/>
  <c r="BL486" i="3"/>
  <c r="AZ486" i="3" s="1"/>
  <c r="G488" i="3"/>
  <c r="BA307" i="3"/>
  <c r="AZ307" i="3" s="1"/>
  <c r="BL314" i="3"/>
  <c r="BA316" i="3"/>
  <c r="AZ316" i="3" s="1"/>
  <c r="AZ212" i="3"/>
  <c r="AZ217" i="3"/>
  <c r="AZ220" i="3"/>
  <c r="AZ244" i="3"/>
  <c r="AZ264" i="3"/>
  <c r="AZ284" i="3"/>
  <c r="AZ285" i="3"/>
  <c r="F34" i="35"/>
  <c r="BA435" i="3"/>
  <c r="AZ435" i="3" s="1"/>
  <c r="BA438" i="3"/>
  <c r="AZ438" i="3" s="1"/>
  <c r="BL441" i="3"/>
  <c r="AZ441" i="3" s="1"/>
  <c r="BA446" i="3"/>
  <c r="AZ446" i="3" s="1"/>
  <c r="BL450" i="3"/>
  <c r="BL453" i="3"/>
  <c r="AZ453" i="3" s="1"/>
  <c r="BA455" i="3"/>
  <c r="AZ455" i="3" s="1"/>
  <c r="G458" i="3"/>
  <c r="BL460" i="3"/>
  <c r="AZ460" i="3" s="1"/>
  <c r="G462" i="3"/>
  <c r="BA465" i="3"/>
  <c r="AZ465" i="3" s="1"/>
  <c r="AZ472" i="3"/>
  <c r="AZ478" i="3"/>
  <c r="AZ483" i="3"/>
  <c r="G491" i="3"/>
  <c r="AZ210" i="3"/>
  <c r="AZ221" i="3"/>
  <c r="AZ255" i="3"/>
  <c r="AZ260" i="3"/>
  <c r="AZ282" i="3"/>
  <c r="BA297" i="3"/>
  <c r="AZ297" i="3" s="1"/>
  <c r="AZ300" i="3"/>
  <c r="AZ301" i="3"/>
  <c r="BL115" i="3"/>
  <c r="AZ115" i="3" s="1"/>
  <c r="BA126" i="3"/>
  <c r="AZ126" i="3" s="1"/>
  <c r="BA129" i="3"/>
  <c r="AZ129" i="3" s="1"/>
  <c r="BL133" i="3"/>
  <c r="AZ133" i="3" s="1"/>
  <c r="BL135" i="3"/>
  <c r="AZ135" i="3" s="1"/>
  <c r="AZ141" i="3"/>
  <c r="AZ169" i="3"/>
  <c r="AZ18" i="3"/>
  <c r="AZ118" i="3"/>
  <c r="BL121" i="3"/>
  <c r="AZ121" i="3" s="1"/>
  <c r="BA134" i="3"/>
  <c r="AZ134" i="3" s="1"/>
  <c r="AZ23" i="3"/>
  <c r="BA302" i="3"/>
  <c r="AZ302" i="3" s="1"/>
  <c r="AZ122" i="3"/>
  <c r="BA207" i="3"/>
  <c r="AZ207" i="3" s="1"/>
  <c r="G23" i="3"/>
  <c r="BA24" i="3"/>
  <c r="BA25" i="3"/>
  <c r="AZ25" i="3" s="1"/>
  <c r="AZ38" i="3"/>
  <c r="AZ73" i="3"/>
  <c r="AZ99" i="3"/>
  <c r="BL206" i="3"/>
  <c r="AZ206" i="3" s="1"/>
  <c r="BA21" i="3"/>
  <c r="AZ21" i="3" s="1"/>
  <c r="BA22" i="3"/>
  <c r="AZ22" i="3" s="1"/>
  <c r="BL27" i="3"/>
  <c r="AZ27" i="3" s="1"/>
  <c r="BL29" i="3"/>
  <c r="AZ29" i="3" s="1"/>
  <c r="AZ34" i="3"/>
  <c r="AZ36" i="3"/>
  <c r="AZ48" i="3"/>
  <c r="AZ64" i="3"/>
  <c r="AZ68" i="3"/>
  <c r="AZ70" i="3"/>
  <c r="AZ106" i="3"/>
  <c r="BL19" i="3"/>
  <c r="AZ19" i="3" s="1"/>
  <c r="G20" i="3"/>
  <c r="BL24" i="3"/>
  <c r="G25" i="3"/>
  <c r="BL26" i="3"/>
  <c r="AZ26" i="3" s="1"/>
  <c r="BA32" i="3"/>
  <c r="AZ32" i="3" s="1"/>
  <c r="AZ44" i="3"/>
  <c r="AZ46" i="3"/>
  <c r="AZ49" i="3"/>
  <c r="AZ60" i="3"/>
  <c r="AZ62" i="3"/>
  <c r="AZ65" i="3"/>
  <c r="AZ91" i="3"/>
  <c r="AZ95" i="3"/>
  <c r="BL68" i="3"/>
  <c r="BL73" i="3"/>
  <c r="G82" i="3"/>
  <c r="G86" i="3"/>
  <c r="BA90" i="3"/>
  <c r="AZ90" i="3" s="1"/>
  <c r="BL101" i="3"/>
  <c r="AZ101" i="3" s="1"/>
  <c r="BL111" i="3"/>
  <c r="AZ111" i="3" s="1"/>
  <c r="C55" i="71"/>
  <c r="D54" i="71"/>
  <c r="C59" i="71"/>
  <c r="D58" i="71"/>
  <c r="G77" i="3"/>
  <c r="BA81" i="3"/>
  <c r="AZ81" i="3" s="1"/>
  <c r="BA85" i="3"/>
  <c r="AZ85" i="3" s="1"/>
  <c r="BL89" i="3"/>
  <c r="AZ89" i="3" s="1"/>
  <c r="G94" i="3"/>
  <c r="G97" i="3"/>
  <c r="G100" i="3"/>
  <c r="C40" i="71"/>
  <c r="D39" i="71"/>
  <c r="T28" i="71"/>
  <c r="C27" i="71"/>
  <c r="D28" i="71"/>
  <c r="U28" i="71" s="1"/>
  <c r="BA66" i="3"/>
  <c r="AZ66" i="3" s="1"/>
  <c r="BA71" i="3"/>
  <c r="AZ71" i="3" s="1"/>
  <c r="BL75" i="3"/>
  <c r="AZ75" i="3" s="1"/>
  <c r="BL78" i="3"/>
  <c r="AZ78" i="3" s="1"/>
  <c r="BA83" i="3"/>
  <c r="AZ83" i="3" s="1"/>
  <c r="BL95" i="3"/>
  <c r="BL98" i="3"/>
  <c r="AZ98" i="3" s="1"/>
  <c r="BL105" i="3"/>
  <c r="AZ105" i="3" s="1"/>
  <c r="BL110" i="3"/>
  <c r="AZ110" i="3" s="1"/>
  <c r="BA112" i="3"/>
  <c r="AZ112" i="3" s="1"/>
  <c r="D38" i="71"/>
  <c r="X28" i="71"/>
  <c r="AA37" i="71"/>
  <c r="Y31" i="71"/>
  <c r="Z31" i="71" s="1"/>
  <c r="AB32" i="71"/>
  <c r="Y33" i="71"/>
  <c r="Z33" i="71" s="1"/>
  <c r="Y32" i="71"/>
  <c r="Z32" i="71" s="1"/>
  <c r="AA34" i="71"/>
  <c r="AB35" i="71"/>
  <c r="Y34" i="71"/>
  <c r="Z34" i="71" s="1"/>
  <c r="F39" i="71"/>
  <c r="F40" i="71" s="1"/>
  <c r="V40" i="71" s="1"/>
  <c r="E47" i="71"/>
  <c r="E48" i="71" s="1"/>
  <c r="U48" i="71" s="1"/>
  <c r="F71" i="71"/>
  <c r="F70" i="71" s="1"/>
  <c r="AB24" i="71"/>
  <c r="AB21" i="71"/>
  <c r="AB23" i="71"/>
  <c r="X22" i="71"/>
  <c r="X21" i="71"/>
  <c r="AA18" i="71"/>
  <c r="AB18" i="36"/>
  <c r="AB25" i="71"/>
  <c r="S28" i="71"/>
  <c r="X26" i="71"/>
  <c r="Y26" i="71"/>
  <c r="Z26" i="71" s="1"/>
  <c r="Y37" i="71"/>
  <c r="Z37" i="71" s="1"/>
  <c r="C35" i="71"/>
  <c r="Y29" i="71"/>
  <c r="Z29" i="71" s="1"/>
  <c r="X30" i="71"/>
  <c r="AB30" i="71"/>
  <c r="AB34" i="71"/>
  <c r="Y35" i="71"/>
  <c r="Z35" i="71" s="1"/>
  <c r="AA36" i="71"/>
  <c r="B79" i="71"/>
  <c r="B78" i="71" s="1"/>
  <c r="X24" i="71"/>
  <c r="AA22" i="71"/>
  <c r="AA23" i="71"/>
  <c r="Y18" i="71"/>
  <c r="Z18" i="71" s="1"/>
  <c r="AB18" i="71"/>
  <c r="Y12" i="71"/>
  <c r="Z12" i="71" s="1"/>
  <c r="AB17" i="71"/>
  <c r="U18" i="35"/>
  <c r="Y10" i="71"/>
  <c r="Z10" i="71" s="1"/>
  <c r="Y9" i="71"/>
  <c r="Z9" i="71" s="1"/>
  <c r="AA24" i="71"/>
  <c r="E24" i="71"/>
  <c r="AA21" i="71"/>
  <c r="X18" i="71"/>
  <c r="AA12" i="71"/>
  <c r="S21" i="21"/>
  <c r="Y27" i="71"/>
  <c r="Z27" i="71" s="1"/>
  <c r="AB33" i="71"/>
  <c r="AA32" i="71"/>
  <c r="AA33" i="71"/>
  <c r="X33" i="71"/>
  <c r="X29" i="71"/>
  <c r="Y36" i="71"/>
  <c r="Z36" i="71" s="1"/>
  <c r="AB37" i="71"/>
  <c r="Y23" i="71"/>
  <c r="Z23" i="71" s="1"/>
  <c r="Y21" i="71"/>
  <c r="Z21" i="71" s="1"/>
  <c r="Y22" i="71"/>
  <c r="Z22" i="71" s="1"/>
  <c r="X17" i="71"/>
  <c r="AA17" i="71"/>
  <c r="AB15" i="71"/>
  <c r="AB10" i="71"/>
  <c r="AB13" i="71"/>
  <c r="AB12" i="71"/>
  <c r="AB11" i="71"/>
  <c r="X15" i="71"/>
  <c r="AA13" i="71"/>
  <c r="AA14" i="71"/>
  <c r="Y11" i="71"/>
  <c r="Z11" i="71" s="1"/>
  <c r="X11" i="71"/>
  <c r="X9" i="71"/>
  <c r="Y24" i="71"/>
  <c r="Z24" i="71" s="1"/>
  <c r="Y14" i="71"/>
  <c r="Z14" i="71" s="1"/>
  <c r="X13" i="71"/>
  <c r="X37" i="71"/>
  <c r="AA9" i="71"/>
  <c r="K56" i="9"/>
  <c r="AA15" i="71"/>
  <c r="AA10" i="71"/>
  <c r="X12" i="71"/>
  <c r="X14" i="71"/>
  <c r="H83" i="43"/>
  <c r="D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D103" i="9"/>
  <c r="B13" i="70"/>
  <c r="C36" i="68"/>
  <c r="D9" i="69"/>
  <c r="D9" i="68"/>
  <c r="F42" i="67"/>
  <c r="F16" i="67"/>
  <c r="F36" i="67"/>
  <c r="F8" i="15"/>
  <c r="M22" i="15"/>
  <c r="F43" i="15"/>
  <c r="F16" i="15"/>
  <c r="M6" i="15"/>
  <c r="F37" i="15"/>
  <c r="D4" i="73"/>
  <c r="D7" i="73"/>
  <c r="F6" i="67"/>
  <c r="M6" i="67"/>
  <c r="M22" i="67"/>
  <c r="M24" i="67"/>
  <c r="J15" i="67"/>
  <c r="F9" i="15"/>
  <c r="F26" i="15"/>
  <c r="M26" i="15"/>
  <c r="M9" i="15"/>
  <c r="L47" i="15"/>
  <c r="J15" i="15"/>
  <c r="F7" i="15"/>
  <c r="F8" i="67"/>
  <c r="F38" i="67"/>
  <c r="F43" i="67"/>
  <c r="M29" i="67"/>
  <c r="L48" i="67"/>
  <c r="M8" i="67"/>
  <c r="M23" i="67"/>
  <c r="M28" i="15"/>
  <c r="F6" i="15"/>
  <c r="F38" i="15"/>
  <c r="F37" i="67"/>
  <c r="F7" i="67"/>
  <c r="F26" i="67"/>
  <c r="F9" i="67"/>
  <c r="C76" i="15"/>
  <c r="F40" i="15"/>
  <c r="F36" i="15"/>
  <c r="F13" i="15"/>
  <c r="F42" i="15"/>
  <c r="L48" i="15"/>
  <c r="M24" i="15"/>
  <c r="M9" i="67"/>
  <c r="C76" i="67"/>
  <c r="D3" i="73"/>
  <c r="M28" i="67"/>
  <c r="F40" i="67"/>
  <c r="M8" i="15"/>
  <c r="M29" i="15"/>
  <c r="M23" i="15"/>
  <c r="F13" i="67"/>
  <c r="M26" i="67"/>
  <c r="L47" i="67"/>
  <c r="C30" i="69" l="1"/>
  <c r="C48" i="69"/>
  <c r="C31" i="12"/>
  <c r="C30" i="68"/>
  <c r="Q16" i="1"/>
  <c r="F27" i="69" s="1"/>
  <c r="F45" i="69" s="1"/>
  <c r="F64" i="67"/>
  <c r="C27" i="67"/>
  <c r="J57" i="67"/>
  <c r="J55" i="67" s="1"/>
  <c r="J58" i="67" s="1"/>
  <c r="Q50" i="67" s="1"/>
  <c r="I54" i="67"/>
  <c r="J53" i="67"/>
  <c r="F1" i="67" s="1"/>
  <c r="L56" i="67"/>
  <c r="M6" i="1"/>
  <c r="H16" i="1"/>
  <c r="G16" i="1"/>
  <c r="F10" i="39" s="1"/>
  <c r="AA10" i="39" s="1"/>
  <c r="F50" i="15"/>
  <c r="M7" i="15"/>
  <c r="J6" i="15" s="1"/>
  <c r="J18" i="15" s="1"/>
  <c r="F65" i="15"/>
  <c r="F66" i="15"/>
  <c r="I54" i="15"/>
  <c r="J53" i="15"/>
  <c r="L56" i="15" s="1"/>
  <c r="J57" i="15"/>
  <c r="J55" i="15" s="1"/>
  <c r="J58" i="15" s="1"/>
  <c r="Q50" i="15" s="1"/>
  <c r="N59" i="15"/>
  <c r="L58" i="15"/>
  <c r="Q73" i="15" s="1"/>
  <c r="L59" i="15"/>
  <c r="Q74" i="15" s="1"/>
  <c r="M59" i="15"/>
  <c r="C6" i="15"/>
  <c r="C32" i="15" s="1"/>
  <c r="F71" i="15"/>
  <c r="F64" i="15"/>
  <c r="C27" i="15"/>
  <c r="F68" i="15"/>
  <c r="F51" i="15"/>
  <c r="Q71" i="15"/>
  <c r="N94" i="46"/>
  <c r="E11" i="6"/>
  <c r="E60" i="39" s="1"/>
  <c r="E13" i="6"/>
  <c r="J26" i="43"/>
  <c r="N370" i="46"/>
  <c r="F26" i="43"/>
  <c r="D26" i="43" s="1"/>
  <c r="C25" i="43" s="1"/>
  <c r="E26" i="43"/>
  <c r="H26" i="43"/>
  <c r="H7" i="36"/>
  <c r="F68" i="67"/>
  <c r="L58" i="67"/>
  <c r="Q73" i="67" s="1"/>
  <c r="M59" i="67"/>
  <c r="N59" i="67"/>
  <c r="L59" i="67"/>
  <c r="Q61" i="67" s="1"/>
  <c r="F31" i="67"/>
  <c r="C6" i="67"/>
  <c r="C32" i="67" s="1"/>
  <c r="F50" i="67"/>
  <c r="M7" i="67"/>
  <c r="J6" i="67" s="1"/>
  <c r="J18" i="67" s="1"/>
  <c r="F71" i="67"/>
  <c r="K1" i="73"/>
  <c r="F66" i="67"/>
  <c r="Q71" i="67"/>
  <c r="F65" i="67"/>
  <c r="F51" i="67"/>
  <c r="E28" i="6"/>
  <c r="K14" i="1" s="1"/>
  <c r="M14" i="1" s="1"/>
  <c r="AC45" i="39"/>
  <c r="W45" i="39"/>
  <c r="S32" i="40"/>
  <c r="AA32" i="40"/>
  <c r="AA13" i="39"/>
  <c r="S13" i="39"/>
  <c r="BL5" i="3"/>
  <c r="C56" i="71"/>
  <c r="D55" i="71"/>
  <c r="U28" i="37"/>
  <c r="AB28" i="37"/>
  <c r="C36" i="71"/>
  <c r="D35" i="71"/>
  <c r="D40" i="71"/>
  <c r="T40" i="71"/>
  <c r="AA39" i="37"/>
  <c r="S39" i="37"/>
  <c r="W31" i="39"/>
  <c r="AC31" i="39"/>
  <c r="G29" i="6"/>
  <c r="E29" i="6" s="1"/>
  <c r="K15" i="1" s="1"/>
  <c r="BA5" i="3"/>
  <c r="E27" i="6" s="1"/>
  <c r="E15" i="6"/>
  <c r="E64" i="39" s="1"/>
  <c r="E12" i="6"/>
  <c r="E57" i="40" s="1"/>
  <c r="E14" i="6"/>
  <c r="E23" i="71"/>
  <c r="E22" i="71" s="1"/>
  <c r="E21" i="71" s="1"/>
  <c r="E20" i="71" s="1"/>
  <c r="V24" i="71"/>
  <c r="D27" i="71"/>
  <c r="C26" i="71"/>
  <c r="D26" i="71" s="1"/>
  <c r="C60" i="71"/>
  <c r="D59" i="71"/>
  <c r="AA34" i="35"/>
  <c r="S34" i="35"/>
  <c r="S31" i="39"/>
  <c r="AA31" i="39"/>
  <c r="AZ548" i="3"/>
  <c r="AC12" i="21"/>
  <c r="W12" i="21"/>
  <c r="D21" i="71"/>
  <c r="C20" i="71"/>
  <c r="W39" i="40"/>
  <c r="AC39" i="40"/>
  <c r="B15" i="71"/>
  <c r="B14" i="71" s="1"/>
  <c r="B13" i="71" s="1"/>
  <c r="B12" i="71" s="1"/>
  <c r="S16" i="71"/>
  <c r="E20" i="3"/>
  <c r="J7" i="37"/>
  <c r="AC7" i="37" s="1"/>
  <c r="V42" i="37" s="1"/>
  <c r="I42" i="37" s="1"/>
  <c r="AZ5" i="3"/>
  <c r="AZ24" i="3"/>
  <c r="AC32" i="40"/>
  <c r="W32" i="40"/>
  <c r="W13" i="39"/>
  <c r="AC13" i="39"/>
  <c r="G5" i="3"/>
  <c r="B3" i="3" s="1"/>
  <c r="E469" i="3" s="1"/>
  <c r="U39" i="40"/>
  <c r="AB39" i="40"/>
  <c r="E61" i="43"/>
  <c r="B59" i="43" s="1"/>
  <c r="C28" i="43" s="1"/>
  <c r="B116" i="43"/>
  <c r="Z7" i="43"/>
  <c r="E30" i="6"/>
  <c r="E56" i="39"/>
  <c r="H7" i="34"/>
  <c r="AB7" i="34" s="1"/>
  <c r="T49" i="34" s="1"/>
  <c r="G49" i="34" s="1"/>
  <c r="E67" i="39"/>
  <c r="J7" i="34"/>
  <c r="W7" i="34" s="1"/>
  <c r="F7" i="34"/>
  <c r="S7" i="34" s="1"/>
  <c r="AA26" i="35"/>
  <c r="S26" i="35"/>
  <c r="AC26" i="35"/>
  <c r="W26" i="35"/>
  <c r="AB26" i="35"/>
  <c r="U26" i="35"/>
  <c r="E56" i="40"/>
  <c r="C9" i="69"/>
  <c r="C9" i="68"/>
  <c r="E72" i="43"/>
  <c r="B70" i="43" s="1"/>
  <c r="E60" i="40"/>
  <c r="F31" i="6"/>
  <c r="E51" i="40"/>
  <c r="E58" i="40"/>
  <c r="E62" i="39"/>
  <c r="D5" i="43"/>
  <c r="C7" i="43"/>
  <c r="C5" i="43" s="1"/>
  <c r="D10" i="52"/>
  <c r="D125" i="9"/>
  <c r="D11" i="52" s="1"/>
  <c r="B7" i="74"/>
  <c r="C7" i="74" s="1"/>
  <c r="F67" i="39"/>
  <c r="E69"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C16" i="15"/>
  <c r="AE6" i="1"/>
  <c r="F41" i="67" s="1"/>
  <c r="C16" i="67"/>
  <c r="G1" i="73"/>
  <c r="C47" i="69" l="1"/>
  <c r="D45" i="69" s="1"/>
  <c r="C29" i="69"/>
  <c r="D27" i="69" s="1"/>
  <c r="C49" i="15"/>
  <c r="S10" i="39"/>
  <c r="H10" i="40"/>
  <c r="AB10" i="40" s="1"/>
  <c r="Q52" i="67"/>
  <c r="F27" i="11"/>
  <c r="C29" i="11" s="1"/>
  <c r="D27" i="11" s="1"/>
  <c r="F28" i="12"/>
  <c r="C29" i="12" s="1"/>
  <c r="D28" i="12" s="1"/>
  <c r="J10" i="39"/>
  <c r="W10" i="39" s="1"/>
  <c r="J10" i="40"/>
  <c r="AC10" i="40" s="1"/>
  <c r="F10" i="40"/>
  <c r="S10" i="40" s="1"/>
  <c r="H10" i="39"/>
  <c r="U10" i="39" s="1"/>
  <c r="Q61" i="15"/>
  <c r="Q52" i="15"/>
  <c r="Q60" i="15"/>
  <c r="F1" i="15"/>
  <c r="O6" i="1"/>
  <c r="P6" i="1" s="1"/>
  <c r="C13" i="12" s="1"/>
  <c r="J5" i="15"/>
  <c r="J24" i="15" s="1"/>
  <c r="Q60" i="67"/>
  <c r="Q74" i="67"/>
  <c r="E440" i="3"/>
  <c r="E25" i="3"/>
  <c r="E61" i="39"/>
  <c r="E455" i="3"/>
  <c r="AY6" i="3"/>
  <c r="E86" i="3"/>
  <c r="K26" i="6"/>
  <c r="W7" i="37"/>
  <c r="F59" i="67"/>
  <c r="C49" i="67"/>
  <c r="M17" i="67"/>
  <c r="J5" i="67"/>
  <c r="J24" i="67" s="1"/>
  <c r="B40" i="1"/>
  <c r="L36" i="43" s="1"/>
  <c r="Q36" i="43" s="1"/>
  <c r="E16" i="6"/>
  <c r="E510" i="3"/>
  <c r="E329" i="3"/>
  <c r="E16" i="3"/>
  <c r="E188" i="3"/>
  <c r="E223" i="3"/>
  <c r="E116" i="3"/>
  <c r="E105" i="3"/>
  <c r="E393" i="3"/>
  <c r="E493" i="3"/>
  <c r="E564" i="3"/>
  <c r="E543" i="3"/>
  <c r="E427" i="3"/>
  <c r="E486" i="3"/>
  <c r="E507" i="3"/>
  <c r="E422" i="3"/>
  <c r="E490" i="3"/>
  <c r="E376" i="3"/>
  <c r="AH6" i="3"/>
  <c r="J6" i="3"/>
  <c r="E498" i="3"/>
  <c r="E419" i="3"/>
  <c r="E483" i="3"/>
  <c r="E401" i="3"/>
  <c r="E463" i="3"/>
  <c r="E40" i="3"/>
  <c r="E108" i="3"/>
  <c r="E178" i="3"/>
  <c r="E119" i="3"/>
  <c r="E202" i="3"/>
  <c r="E242" i="3"/>
  <c r="E226" i="3"/>
  <c r="E276" i="3"/>
  <c r="E346" i="3"/>
  <c r="E333" i="3"/>
  <c r="E372" i="3"/>
  <c r="L6" i="3"/>
  <c r="E60" i="3"/>
  <c r="E43" i="3"/>
  <c r="E540" i="3"/>
  <c r="E473" i="3"/>
  <c r="E15" i="3"/>
  <c r="E79" i="3"/>
  <c r="E38"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139" i="3"/>
  <c r="E75" i="3"/>
  <c r="E18" i="3"/>
  <c r="E78" i="3"/>
  <c r="E190" i="3"/>
  <c r="E220" i="3"/>
  <c r="E324" i="3"/>
  <c r="E342" i="3"/>
  <c r="E35" i="3"/>
  <c r="E34" i="3"/>
  <c r="E206" i="3"/>
  <c r="E251" i="3"/>
  <c r="AF6" i="3"/>
  <c r="E80" i="3"/>
  <c r="E158" i="3"/>
  <c r="E308" i="3"/>
  <c r="E22" i="3"/>
  <c r="E436" i="3"/>
  <c r="E240" i="3"/>
  <c r="E378" i="3"/>
  <c r="E58" i="3"/>
  <c r="E47" i="3"/>
  <c r="E138" i="3"/>
  <c r="E209" i="3"/>
  <c r="E386" i="3"/>
  <c r="E584" i="3"/>
  <c r="E48" i="3"/>
  <c r="E284" i="3"/>
  <c r="E51" i="3"/>
  <c r="E222" i="3"/>
  <c r="E539" i="3"/>
  <c r="E536" i="3"/>
  <c r="E148" i="3"/>
  <c r="E212" i="3"/>
  <c r="E199" i="3"/>
  <c r="E286" i="3"/>
  <c r="E575" i="3"/>
  <c r="E499" i="3"/>
  <c r="R6" i="3"/>
  <c r="E442" i="3"/>
  <c r="E466" i="3"/>
  <c r="E541" i="3"/>
  <c r="E430" i="3"/>
  <c r="E449" i="3"/>
  <c r="E255" i="3"/>
  <c r="I3" i="6"/>
  <c r="AP6" i="3"/>
  <c r="E554" i="3"/>
  <c r="E517" i="3"/>
  <c r="E435"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225" i="3"/>
  <c r="E281" i="3"/>
  <c r="E243" i="3"/>
  <c r="E332" i="3"/>
  <c r="E391" i="3"/>
  <c r="E356" i="3"/>
  <c r="AL6" i="3"/>
  <c r="E42" i="3"/>
  <c r="E428" i="3"/>
  <c r="E482" i="3"/>
  <c r="E412" i="3"/>
  <c r="E96" i="3"/>
  <c r="E129" i="3"/>
  <c r="E174" i="3"/>
  <c r="E275" i="3"/>
  <c r="E235" i="3"/>
  <c r="E383" i="3"/>
  <c r="E522" i="3"/>
  <c r="E49" i="3"/>
  <c r="E232" i="3"/>
  <c r="E370" i="3"/>
  <c r="E102" i="3"/>
  <c r="E113" i="3"/>
  <c r="E287" i="3"/>
  <c r="E326" i="3"/>
  <c r="E83" i="3"/>
  <c r="E195" i="3"/>
  <c r="E250" i="3"/>
  <c r="E179" i="3"/>
  <c r="E460" i="3"/>
  <c r="E187" i="3"/>
  <c r="E259" i="3"/>
  <c r="E375" i="3"/>
  <c r="E110" i="3"/>
  <c r="E446" i="3"/>
  <c r="E65" i="3"/>
  <c r="E248" i="3"/>
  <c r="E266" i="3"/>
  <c r="E354" i="3"/>
  <c r="E24" i="3"/>
  <c r="E127" i="3"/>
  <c r="Y6" i="3"/>
  <c r="E19" i="3"/>
  <c r="E323" i="3"/>
  <c r="E165" i="3"/>
  <c r="E244" i="3"/>
  <c r="E149" i="3"/>
  <c r="E167" i="3"/>
  <c r="E141" i="3"/>
  <c r="E312" i="3"/>
  <c r="AD6" i="3"/>
  <c r="E542" i="3"/>
  <c r="E552" i="3"/>
  <c r="E421" i="3"/>
  <c r="E464" i="3"/>
  <c r="E487" i="3"/>
  <c r="E398" i="3"/>
  <c r="E416" i="3"/>
  <c r="E459" i="3"/>
  <c r="E374" i="3"/>
  <c r="E566" i="3"/>
  <c r="E500" i="3"/>
  <c r="E582" i="3"/>
  <c r="E413" i="3"/>
  <c r="E520" i="3"/>
  <c r="E39" i="3"/>
  <c r="E90" i="3"/>
  <c r="E57" i="3"/>
  <c r="E131" i="3"/>
  <c r="E155" i="3"/>
  <c r="E297" i="3"/>
  <c r="E348" i="3"/>
  <c r="E504" i="3"/>
  <c r="E98" i="3"/>
  <c r="E163" i="3"/>
  <c r="E307" i="3"/>
  <c r="E66" i="3"/>
  <c r="E87" i="3"/>
  <c r="E341" i="3"/>
  <c r="E154" i="3"/>
  <c r="E373" i="3"/>
  <c r="E38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6" i="3"/>
  <c r="E262" i="3"/>
  <c r="E330" i="3"/>
  <c r="E424" i="3"/>
  <c r="E429" i="3"/>
  <c r="E203" i="3"/>
  <c r="E394" i="3"/>
  <c r="E236" i="3"/>
  <c r="E576" i="3"/>
  <c r="E443" i="3"/>
  <c r="E404" i="3"/>
  <c r="E166" i="3"/>
  <c r="E334" i="3"/>
  <c r="E480" i="3"/>
  <c r="E125" i="3"/>
  <c r="E366" i="3"/>
  <c r="E553" i="3"/>
  <c r="E282" i="3"/>
  <c r="N6" i="3"/>
  <c r="E239" i="3"/>
  <c r="E516" i="3"/>
  <c r="E396" i="3"/>
  <c r="E151" i="3"/>
  <c r="E358" i="3"/>
  <c r="E559" i="3"/>
  <c r="V6" i="3"/>
  <c r="E320" i="3"/>
  <c r="E294" i="3"/>
  <c r="E114" i="3"/>
  <c r="E290" i="3"/>
  <c r="E382" i="3"/>
  <c r="E293" i="3"/>
  <c r="E502"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38" i="3"/>
  <c r="E128" i="3"/>
  <c r="E177" i="3"/>
  <c r="E481" i="3"/>
  <c r="AE6" i="3"/>
  <c r="E496" i="3"/>
  <c r="E73" i="3"/>
  <c r="E274" i="3"/>
  <c r="E32" i="3"/>
  <c r="I6" i="3"/>
  <c r="E164" i="3"/>
  <c r="P6" i="3"/>
  <c r="E558" i="3"/>
  <c r="E444" i="3"/>
  <c r="E88" i="3"/>
  <c r="E295" i="3"/>
  <c r="E30" i="3"/>
  <c r="E229" i="3"/>
  <c r="E407" i="3"/>
  <c r="E130" i="3"/>
  <c r="E395" i="3"/>
  <c r="E117" i="3"/>
  <c r="E61" i="3"/>
  <c r="E518" i="3"/>
  <c r="E583" i="3"/>
  <c r="E52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434" i="3"/>
  <c r="E120" i="3"/>
  <c r="Q6" i="3"/>
  <c r="E437" i="3"/>
  <c r="E344" i="3"/>
  <c r="E55" i="3"/>
  <c r="E256" i="3"/>
  <c r="E580" i="3"/>
  <c r="E252" i="3"/>
  <c r="AG6" i="3"/>
  <c r="E448" i="3"/>
  <c r="E581" i="3"/>
  <c r="E121" i="3"/>
  <c r="E316" i="3"/>
  <c r="E569" i="3"/>
  <c r="E551" i="3"/>
  <c r="E230" i="3"/>
  <c r="E415" i="3"/>
  <c r="E550" i="3"/>
  <c r="E245" i="3"/>
  <c r="E578" i="3"/>
  <c r="E336" i="3"/>
  <c r="E260" i="3"/>
  <c r="E462" i="3"/>
  <c r="B11" i="71"/>
  <c r="B10" i="71" s="1"/>
  <c r="B9" i="71" s="1"/>
  <c r="B8" i="71" s="1"/>
  <c r="B7" i="71" s="1"/>
  <c r="B6" i="71" s="1"/>
  <c r="B5" i="71" s="1"/>
  <c r="S12" i="71"/>
  <c r="E100" i="3"/>
  <c r="E19" i="71"/>
  <c r="E18" i="71" s="1"/>
  <c r="E17" i="71" s="1"/>
  <c r="E16" i="71" s="1"/>
  <c r="V20" i="71"/>
  <c r="E94" i="3"/>
  <c r="E82" i="3"/>
  <c r="T36" i="71"/>
  <c r="D36" i="71"/>
  <c r="E63" i="39"/>
  <c r="E65" i="39" s="1"/>
  <c r="E59" i="40"/>
  <c r="T56" i="71"/>
  <c r="D56" i="71"/>
  <c r="K16" i="1"/>
  <c r="E3" i="6"/>
  <c r="G30" i="6"/>
  <c r="G31" i="6" s="1"/>
  <c r="E491" i="3"/>
  <c r="C19" i="71"/>
  <c r="T20" i="71"/>
  <c r="D20" i="71"/>
  <c r="U20" i="71" s="1"/>
  <c r="D60" i="71"/>
  <c r="T60" i="71"/>
  <c r="E488" i="3"/>
  <c r="E23" i="3"/>
  <c r="E77"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F41" i="15"/>
  <c r="C48" i="15" l="1"/>
  <c r="C66" i="15" s="1"/>
  <c r="AB10" i="39"/>
  <c r="AC10" i="39"/>
  <c r="W10" i="40"/>
  <c r="M26" i="6"/>
  <c r="I26" i="6" s="1"/>
  <c r="S26" i="6" s="1"/>
  <c r="S13" i="1"/>
  <c r="F22" i="11"/>
  <c r="C23" i="11" s="1"/>
  <c r="N36" i="43"/>
  <c r="AC6" i="3"/>
  <c r="H6" i="3"/>
  <c r="C48" i="67"/>
  <c r="C60" i="67" s="1"/>
  <c r="F24" i="67"/>
  <c r="C24" i="67" s="1"/>
  <c r="M36" i="43"/>
  <c r="P36" i="43"/>
  <c r="F24" i="15"/>
  <c r="C24" i="15" s="1"/>
  <c r="F22" i="69"/>
  <c r="F41" i="69" s="1"/>
  <c r="O36" i="43"/>
  <c r="L37" i="43"/>
  <c r="Q37" i="43" s="1"/>
  <c r="F22" i="68"/>
  <c r="C44" i="68" s="1"/>
  <c r="D41" i="68" s="1"/>
  <c r="F25" i="12"/>
  <c r="C26" i="12" s="1"/>
  <c r="D25" i="12" s="1"/>
  <c r="C18" i="71"/>
  <c r="D19" i="71"/>
  <c r="D116" i="43"/>
  <c r="E15" i="71"/>
  <c r="E14" i="71" s="1"/>
  <c r="E13" i="71" s="1"/>
  <c r="E12" i="71" s="1"/>
  <c r="V1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7" i="15"/>
  <c r="C14" i="67"/>
  <c r="C60" i="15" l="1"/>
  <c r="H22" i="6"/>
  <c r="H26" i="6"/>
  <c r="H24" i="6"/>
  <c r="R24" i="6" s="1"/>
  <c r="R11" i="1" s="1"/>
  <c r="H21" i="6"/>
  <c r="R21" i="6" s="1"/>
  <c r="P37" i="43"/>
  <c r="H25" i="6"/>
  <c r="R25" i="6" s="1"/>
  <c r="R12" i="1" s="1"/>
  <c r="AR13" i="1"/>
  <c r="AQ13" i="1"/>
  <c r="T13" i="1"/>
  <c r="C44" i="11"/>
  <c r="D41" i="11" s="1"/>
  <c r="C26" i="11"/>
  <c r="D22" i="11" s="1"/>
  <c r="C25" i="11"/>
  <c r="C66" i="67"/>
  <c r="C24" i="11"/>
  <c r="E6" i="3"/>
  <c r="N37" i="43"/>
  <c r="C26" i="69"/>
  <c r="D22" i="69" s="1"/>
  <c r="M37" i="43"/>
  <c r="C26" i="68"/>
  <c r="D22" i="68" s="1"/>
  <c r="C23" i="68"/>
  <c r="F41" i="68"/>
  <c r="C44" i="69"/>
  <c r="D41" i="69" s="1"/>
  <c r="O37" i="43"/>
  <c r="E11" i="71"/>
  <c r="E10" i="71" s="1"/>
  <c r="E9" i="71" s="1"/>
  <c r="E8" i="71" s="1"/>
  <c r="E7" i="71" s="1"/>
  <c r="E6" i="71" s="1"/>
  <c r="E5" i="71" s="1"/>
  <c r="V12" i="71"/>
  <c r="C17" i="71"/>
  <c r="D18" i="71"/>
  <c r="C18" i="67"/>
  <c r="C15" i="67"/>
  <c r="H23" i="6"/>
  <c r="R23" i="6"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C5" i="69" s="1"/>
  <c r="D19" i="69"/>
  <c r="F50" i="69"/>
  <c r="F50" i="11"/>
  <c r="F50" i="68"/>
  <c r="C4" i="52"/>
  <c r="B45" i="72" s="1"/>
  <c r="A10" i="51"/>
  <c r="B9" i="72" s="1"/>
  <c r="A7" i="51"/>
  <c r="B7" i="72" s="1"/>
  <c r="D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R8" i="1"/>
  <c r="R13" i="1"/>
  <c r="R10" i="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C14" i="71" l="1"/>
  <c r="D15"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C19" i="9"/>
  <c r="D2" i="34"/>
  <c r="L51" i="15"/>
  <c r="D22" i="9" l="1"/>
  <c r="C102" i="9"/>
  <c r="G19" i="9"/>
  <c r="G21" i="9" s="1"/>
  <c r="C21" i="9"/>
  <c r="D10" i="7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C20" i="9"/>
  <c r="AO11" i="1"/>
  <c r="AO6" i="1"/>
  <c r="AO8" i="1"/>
  <c r="AO12" i="1"/>
  <c r="G20" i="9" l="1"/>
  <c r="R24" i="3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6" i="31"/>
  <c r="S26" i="31" s="1"/>
  <c r="R31" i="31"/>
  <c r="S31" i="31" s="1"/>
  <c r="R29" i="31"/>
  <c r="S29" i="31" s="1"/>
  <c r="R27" i="31"/>
  <c r="S27" i="31" s="1"/>
  <c r="R25" i="31"/>
  <c r="S25" i="31" s="1"/>
  <c r="R30" i="31"/>
  <c r="S30" i="31" s="1"/>
  <c r="D7" i="71"/>
  <c r="C6" i="71"/>
  <c r="C42" i="40"/>
  <c r="C43" i="40"/>
  <c r="E47" i="40"/>
  <c r="F47" i="40" s="1"/>
  <c r="E46" i="40"/>
  <c r="F46" i="40" s="1"/>
  <c r="I47" i="40"/>
  <c r="J47" i="40" s="1"/>
  <c r="S22" i="31" l="1"/>
  <c r="C5" i="7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22" i="72" l="1"/>
  <c r="D6" i="53"/>
  <c r="B47" i="72"/>
  <c r="D4" i="52"/>
  <c r="B21" i="72"/>
  <c r="D7" i="53"/>
  <c r="H5" i="52"/>
  <c r="H119" i="9"/>
  <c r="B53" i="72"/>
  <c r="F5" i="52"/>
  <c r="F119" i="9"/>
  <c r="M54" i="9"/>
  <c r="D56" i="9"/>
  <c r="D58" i="9"/>
  <c r="C97" i="9"/>
  <c r="B48" i="72"/>
  <c r="E4" i="52"/>
  <c r="B49" i="72"/>
  <c r="D5" i="52"/>
  <c r="E118" i="9"/>
  <c r="D118" i="9"/>
  <c r="D119" i="9"/>
  <c r="D9" i="52"/>
  <c r="D123" i="9"/>
  <c r="B52" i="72"/>
  <c r="G4" i="52"/>
  <c r="B31" i="72"/>
  <c r="D15" i="53"/>
  <c r="H108" i="9"/>
  <c r="C6" i="74"/>
  <c r="B32" i="72"/>
  <c r="D14" i="53"/>
  <c r="C81" i="9"/>
  <c r="N58" i="9"/>
  <c r="P57" i="9"/>
  <c r="C104" i="9"/>
  <c r="H4" i="52"/>
  <c r="N61" i="9"/>
  <c r="D55" i="9"/>
  <c r="M53" i="9"/>
  <c r="N57" i="9"/>
  <c r="N59" i="9"/>
  <c r="N60" i="9"/>
  <c r="B51" i="72"/>
  <c r="G118" i="9"/>
  <c r="F118" i="9"/>
  <c r="F4" i="52"/>
  <c r="M48" i="9"/>
  <c r="D54" i="9"/>
  <c r="C68" i="9"/>
  <c r="C85" i="9"/>
  <c r="C95" i="9"/>
  <c r="C96" i="9"/>
  <c r="E96" i="9"/>
  <c r="E97" i="9"/>
  <c r="C64" i="9"/>
  <c r="C63" i="9"/>
  <c r="C67" i="9"/>
  <c r="D59" i="9"/>
  <c r="M55" i="9"/>
  <c r="D122" i="9"/>
  <c r="D8" i="52"/>
  <c r="I4" i="52"/>
  <c r="C105" i="9"/>
  <c r="H102" i="9"/>
  <c r="C5" i="74"/>
  <c r="C73" i="9"/>
  <c r="C78" i="9"/>
  <c r="C72" i="9"/>
  <c r="C79" i="9"/>
  <c r="C80" i="9"/>
  <c r="E80" i="9"/>
  <c r="E81" i="9"/>
  <c r="H107" i="9"/>
  <c r="D13" i="53"/>
  <c r="B30" i="72"/>
  <c r="D52" i="9"/>
  <c r="D53" i="9"/>
  <c r="D45" i="9"/>
  <c r="C93" i="9"/>
  <c r="C86"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59E29DF-40F9-40D1-94C6-994A0253E61F}">
      <text>
        <r>
          <rPr>
            <b/>
            <sz val="9"/>
            <color indexed="81"/>
            <rFont val="宋体"/>
            <family val="3"/>
            <charset val="134"/>
          </rPr>
          <t>权重验证</t>
        </r>
        <r>
          <rPr>
            <sz val="9"/>
            <color indexed="81"/>
            <rFont val="宋体"/>
            <family val="3"/>
            <charset val="134"/>
          </rPr>
          <t xml:space="preserve">
</t>
        </r>
      </text>
    </comment>
    <comment ref="C58" authorId="1" shapeId="0" xr:uid="{827EF288-FEA8-4030-A6F1-6C42D35C0C09}">
      <text>
        <r>
          <rPr>
            <b/>
            <sz val="12"/>
            <color indexed="81"/>
            <rFont val="宋体"/>
            <family val="3"/>
            <charset val="134"/>
          </rPr>
          <t>价值时点所在月度</t>
        </r>
        <r>
          <rPr>
            <sz val="12"/>
            <color indexed="81"/>
            <rFont val="宋体"/>
            <family val="3"/>
            <charset val="134"/>
          </rPr>
          <t xml:space="preserve">
</t>
        </r>
      </text>
    </comment>
    <comment ref="B102" authorId="1" shapeId="0" xr:uid="{CDBC7484-C4AE-4D15-944D-6000DCE0D97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<sst xmlns="http://schemas.openxmlformats.org/spreadsheetml/2006/main" count="8078" uniqueCount="3423">
  <si>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</si>
  <si>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</si>
  <si>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</si>
  <si>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</si>
  <si>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</si>
  <si>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</si>
  <si>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</si>
  <si>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</si>
  <si>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</si>
  <si>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</si>
  <si>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</si>
  <si>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</si>
  <si>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</si>
  <si>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</si>
  <si>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</si>
  <si>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</si>
  <si>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</si>
  <si>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</si>
  <si>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</si>
  <si>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</si>
  <si>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</si>
  <si>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</si>
  <si>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</si>
  <si>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</si>
  <si>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</si>
  <si>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</si>
  <si>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</si>
  <si>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</si>
  <si>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</si>
  <si>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</si>
  <si>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</si>
  <si>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</si>
  <si>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</si>
  <si>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</si>
  <si>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</si>
  <si>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</si>
  <si>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</si>
  <si>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</si>
  <si>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</si>
  <si>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</si>
  <si>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</si>
  <si>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</si>
  <si>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</si>
  <si>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</si>
  <si>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</si>
  <si>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</si>
  <si>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</si>
  <si>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</si>
  <si>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</si>
  <si>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</si>
  <si>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</si>
  <si>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</si>
  <si>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</si>
  <si>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</si>
  <si>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</si>
  <si>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</si>
  <si>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</si>
  <si>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</si>
  <si>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</si>
  <si>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</si>
  <si>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</si>
  <si>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</si>
  <si>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</si>
  <si>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</si>
  <si>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</si>
  <si>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</si>
  <si>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</si>
  <si>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</si>
  <si>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</si>
  <si>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</si>
  <si>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</si>
  <si>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</si>
  <si>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</si>
  <si>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</si>
  <si>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</si>
  <si>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</si>
  <si>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</si>
  <si>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</si>
  <si>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</si>
  <si>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</si>
  <si>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</si>
  <si>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</si>
  <si>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</si>
  <si>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</si>
  <si>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</si>
  <si>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</si>
  <si>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</si>
  <si>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</si>
  <si>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</si>
  <si>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</si>
  <si>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</si>
  <si>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</si>
  <si>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</si>
  <si>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</si>
  <si>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</si>
  <si>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</si>
  <si>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</si>
  <si>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</si>
  <si>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</si>
  <si>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</si>
  <si>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</si>
  <si>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</si>
  <si>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</si>
  <si>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</si>
  <si>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</si>
  <si>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</si>
  <si>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</si>
  <si>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</si>
  <si>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</si>
  <si>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</si>
  <si>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</si>
  <si>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</si>
  <si>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</si>
  <si>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</si>
  <si>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</si>
  <si>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</si>
  <si>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</si>
  <si>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</si>
  <si>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</si>
  <si>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</si>
  <si>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</si>
  <si>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</si>
  <si>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</si>
  <si>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</si>
  <si>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</si>
  <si>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</si>
  <si>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</si>
  <si>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</si>
  <si>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</si>
  <si>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</si>
  <si>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</si>
  <si>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</si>
  <si>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</si>
  <si>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</si>
  <si>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</si>
  <si>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</si>
  <si>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</si>
  <si>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</si>
  <si>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</si>
  <si>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</si>
  <si>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</si>
  <si>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</si>
  <si>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</si>
  <si>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</si>
  <si>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</si>
  <si>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</si>
  <si>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</si>
  <si>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</si>
  <si>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</si>
  <si>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</si>
  <si>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</si>
  <si>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</si>
  <si>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</si>
  <si>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</si>
  <si>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</si>
  <si>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</si>
  <si>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</si>
  <si>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</si>
  <si>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</si>
  <si>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</si>
  <si>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</si>
  <si>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</si>
  <si>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</si>
  <si>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</si>
  <si>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</si>
  <si>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</si>
  <si>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</si>
  <si>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</si>
  <si>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</si>
  <si>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</si>
  <si>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</si>
  <si>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</si>
  <si>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</si>
  <si>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</si>
  <si>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</si>
  <si>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</si>
  <si>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</si>
  <si>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</si>
  <si>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</si>
  <si>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</si>
  <si>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</si>
  <si>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</si>
  <si>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</si>
  <si>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</si>
  <si>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</si>
  <si>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</si>
  <si>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</si>
  <si>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</si>
  <si>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</si>
  <si>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</si>
  <si>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</si>
  <si>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</si>
  <si>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</si>
  <si>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</si>
  <si>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</si>
  <si>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</si>
  <si>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</si>
  <si>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</si>
  <si>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</si>
  <si>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</si>
  <si>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</si>
  <si>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</si>
  <si>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</si>
  <si>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</si>
  <si>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</si>
  <si>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</si>
  <si>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</si>
  <si>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</si>
  <si>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</si>
  <si>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</si>
  <si>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</si>
  <si>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</si>
  <si>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</si>
  <si>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</si>
  <si>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</si>
  <si>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</si>
  <si>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</si>
  <si>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</si>
  <si>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</si>
  <si>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</si>
  <si>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</si>
  <si>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</si>
  <si>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</si>
  <si>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</si>
  <si>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</si>
  <si>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</si>
  <si>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</si>
  <si>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</si>
  <si>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</si>
  <si>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</si>
  <si>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</si>
  <si>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</si>
  <si>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</si>
  <si>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</si>
  <si>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</si>
  <si>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</si>
  <si>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</si>
  <si>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</si>
  <si>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</si>
  <si>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</si>
  <si>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</si>
  <si>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</si>
  <si>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</si>
  <si>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</si>
  <si>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</si>
  <si>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</si>
  <si>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</si>
  <si>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</si>
  <si>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</si>
  <si>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</si>
  <si>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</si>
  <si>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</si>
  <si>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</si>
  <si>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</si>
  <si>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</si>
  <si>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</si>
  <si>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</si>
  <si>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</si>
  <si>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</si>
  <si>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</si>
  <si>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</si>
  <si>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</si>
  <si>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</si>
  <si>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</si>
  <si>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</si>
  <si>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</si>
  <si>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</si>
  <si>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</si>
  <si>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</si>
  <si>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</si>
  <si>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</si>
  <si>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</si>
  <si>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</si>
  <si>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</si>
  <si>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</si>
  <si>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</si>
  <si>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</si>
  <si>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</si>
  <si>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</si>
  <si>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</si>
  <si>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</si>
  <si>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</si>
  <si>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</si>
  <si>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</si>
  <si>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</si>
  <si>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</si>
  <si>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</si>
  <si>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</si>
  <si>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</si>
  <si>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</si>
  <si>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</si>
  <si>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</si>
  <si>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</si>
  <si>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</si>
  <si>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</si>
  <si>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</si>
  <si>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</si>
  <si>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</si>
  <si>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</si>
  <si>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</si>
  <si>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</si>
  <si>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</si>
  <si>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</si>
  <si>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</si>
  <si>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</si>
  <si>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</si>
  <si>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</si>
  <si>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</si>
  <si>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</si>
  <si>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</si>
  <si>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</si>
  <si>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</si>
  <si>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</si>
  <si>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</si>
  <si>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</si>
  <si>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</si>
  <si>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</si>
  <si>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</si>
  <si>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</si>
  <si>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</si>
  <si>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</si>
  <si>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</si>
  <si>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</si>
  <si>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</si>
  <si>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</si>
  <si>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</si>
  <si>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</si>
  <si>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</si>
  <si>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</si>
  <si>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</si>
  <si>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</si>
  <si>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</si>
  <si>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</si>
  <si>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</si>
  <si>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</si>
  <si>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</si>
  <si>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</si>
  <si>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</si>
  <si>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</si>
  <si>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</si>
  <si>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</si>
  <si>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</si>
  <si>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</si>
  <si>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</si>
  <si>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</si>
  <si>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</si>
  <si>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</si>
  <si>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</si>
  <si>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</si>
  <si>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</si>
  <si>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</si>
  <si>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</si>
  <si>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</si>
  <si>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</si>
  <si>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</si>
  <si>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</si>
  <si>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</si>
  <si>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</si>
  <si>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</si>
  <si>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</si>
  <si>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</si>
  <si>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</si>
  <si>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</si>
  <si>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</si>
  <si>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</si>
  <si>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</si>
  <si>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</si>
  <si>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</si>
  <si>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</si>
  <si>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</si>
  <si>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</si>
  <si>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</si>
  <si>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</si>
  <si>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</si>
  <si>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</si>
  <si>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</si>
  <si>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</si>
  <si>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</si>
  <si>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</si>
  <si>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</si>
  <si>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</si>
  <si>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</si>
  <si>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</si>
  <si>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</si>
  <si>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</si>
  <si>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</si>
  <si>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</si>
  <si>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</si>
  <si>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</si>
  <si>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</si>
  <si>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</si>
  <si>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</si>
  <si>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</si>
  <si>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</si>
  <si>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</si>
  <si>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</si>
  <si>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</si>
  <si>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</si>
  <si>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</si>
  <si>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</si>
  <si>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</si>
  <si>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</si>
  <si>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</si>
  <si>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</si>
  <si>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</si>
  <si>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</si>
  <si>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</si>
  <si>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</si>
  <si>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</si>
  <si>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</si>
  <si>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</si>
  <si>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</si>
  <si>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</si>
  <si>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</si>
  <si>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</si>
  <si>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</si>
  <si>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</si>
  <si>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</si>
  <si>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</si>
  <si>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</si>
  <si>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</si>
  <si>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</si>
  <si>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</si>
  <si>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</si>
  <si>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</si>
  <si>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</si>
  <si>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</si>
  <si>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</si>
  <si>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</si>
  <si>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</si>
  <si>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</si>
  <si>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</si>
  <si>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</si>
  <si>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</si>
  <si>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</si>
  <si>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</si>
  <si>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</si>
  <si>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</si>
  <si>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</si>
  <si>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</si>
  <si>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</si>
  <si>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</si>
  <si>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</si>
  <si>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</si>
  <si>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</si>
  <si>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</si>
  <si>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</si>
  <si>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</si>
  <si>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</si>
  <si>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</si>
  <si>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</si>
  <si>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</si>
  <si>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</si>
  <si>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</si>
  <si>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</si>
  <si>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</si>
  <si>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</si>
  <si>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</si>
  <si>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</si>
  <si>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</si>
  <si>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</si>
  <si>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</si>
  <si>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</si>
  <si>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</si>
  <si>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</si>
  <si>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</si>
  <si>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</si>
  <si>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</si>
  <si>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</si>
  <si>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</si>
  <si>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</si>
  <si>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</si>
  <si>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</si>
  <si>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</si>
  <si>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</si>
  <si>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</si>
  <si>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</si>
  <si>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</si>
  <si>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</si>
  <si>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</si>
  <si>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</si>
  <si>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</si>
  <si>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</si>
  <si>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</si>
  <si>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</si>
  <si>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</si>
  <si>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</si>
  <si>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</si>
  <si>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</si>
  <si>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</si>
  <si>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</si>
  <si>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</si>
  <si>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</si>
  <si>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</si>
  <si>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</si>
  <si>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</si>
  <si>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</si>
  <si>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</si>
  <si>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</si>
  <si>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</si>
  <si>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</si>
  <si>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</si>
  <si>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</si>
  <si>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</si>
  <si>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</si>
  <si>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</si>
  <si>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</si>
  <si>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</si>
  <si>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</si>
  <si>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</si>
  <si>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</si>
  <si>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</si>
  <si>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</si>
  <si>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</si>
  <si>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</si>
  <si>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</si>
  <si>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</si>
  <si>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</si>
  <si>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</si>
  <si>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</si>
  <si>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</si>
  <si>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</si>
  <si>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</si>
  <si>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</si>
  <si>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</si>
  <si>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</si>
  <si>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</si>
  <si>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</si>
  <si>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</si>
  <si>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</si>
  <si>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</si>
  <si>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</si>
  <si>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</si>
  <si>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</si>
  <si>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</si>
  <si>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</si>
  <si>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</si>
  <si>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</si>
  <si>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</si>
  <si>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</si>
  <si>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</si>
  <si>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</si>
  <si>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</si>
  <si>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</si>
  <si>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</si>
  <si>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</si>
  <si>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</si>
  <si>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</si>
  <si>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</si>
  <si>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</si>
  <si>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</si>
  <si>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</si>
  <si>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</si>
  <si>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</si>
  <si>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</si>
  <si>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</si>
  <si>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</si>
  <si>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</si>
  <si>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</si>
  <si>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</si>
  <si>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</si>
  <si>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</si>
  <si>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</si>
  <si>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</si>
  <si>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</si>
  <si>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</si>
  <si>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</si>
  <si>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</si>
  <si>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</si>
  <si>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</si>
  <si>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</si>
  <si>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</si>
  <si>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</si>
  <si>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</si>
  <si>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</si>
  <si>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</si>
  <si>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</si>
  <si>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</si>
  <si>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</si>
  <si>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</si>
  <si>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</si>
  <si>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</si>
  <si>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</si>
  <si>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</si>
  <si>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</si>
  <si>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</si>
  <si>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</si>
  <si>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</si>
  <si>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</si>
  <si>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</si>
  <si>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</si>
  <si>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</si>
  <si>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</si>
  <si>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</si>
  <si>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</si>
  <si>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</si>
  <si>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</si>
  <si>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</si>
  <si>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</si>
  <si>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</si>
  <si>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</si>
  <si>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</si>
  <si>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</si>
  <si>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</si>
  <si>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</si>
  <si>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</si>
  <si>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</si>
  <si>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</si>
  <si>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</si>
  <si>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</si>
  <si>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</si>
  <si>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</si>
  <si>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</si>
  <si>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</si>
  <si>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</si>
  <si>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</si>
  <si>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</si>
  <si>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</si>
  <si>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</si>
  <si>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</si>
  <si>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</si>
  <si>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</si>
  <si>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</si>
  <si>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</si>
  <si>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</si>
  <si>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</si>
  <si>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</si>
  <si>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</si>
  <si>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</si>
  <si>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</si>
  <si>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</si>
  <si>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</si>
  <si>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</si>
  <si>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</si>
  <si>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</si>
  <si>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</si>
  <si>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</si>
  <si>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</si>
  <si>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</si>
  <si>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</si>
  <si>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</si>
  <si>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</si>
  <si>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</si>
  <si>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</si>
  <si>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</si>
  <si>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</si>
  <si>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</si>
  <si>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</si>
  <si>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</si>
  <si>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</si>
  <si>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</si>
  <si>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</si>
  <si>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</si>
  <si>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</si>
  <si>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</si>
  <si>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</si>
  <si>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</si>
  <si>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</si>
  <si>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</si>
  <si>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</si>
  <si>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</si>
  <si>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</si>
  <si>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</si>
  <si>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</si>
  <si>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</si>
  <si>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</si>
  <si>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</si>
  <si>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</si>
  <si>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</si>
  <si>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</si>
  <si>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</si>
  <si>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</si>
  <si>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</si>
  <si>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</si>
  <si>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</si>
  <si>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</si>
  <si>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</si>
  <si>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</si>
  <si>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</si>
  <si>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</si>
  <si>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</si>
  <si>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</si>
  <si>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</si>
  <si>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</si>
  <si>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</si>
  <si>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</si>
  <si>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</si>
  <si>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</si>
  <si>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</si>
  <si>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</si>
  <si>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</si>
  <si>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</si>
  <si>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</si>
  <si>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</si>
  <si>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</si>
  <si>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</si>
  <si>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</si>
  <si>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</si>
  <si>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</si>
  <si>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</si>
  <si>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</si>
  <si>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</si>
  <si>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</si>
  <si>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</si>
  <si>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</si>
  <si>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</si>
  <si>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</si>
  <si>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</si>
  <si>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</si>
  <si>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</si>
  <si>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</si>
  <si>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</si>
  <si>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</si>
  <si>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</si>
  <si>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</si>
  <si>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</si>
  <si>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</si>
  <si>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</si>
  <si>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</si>
  <si>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</si>
  <si>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</si>
  <si>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</si>
  <si>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</si>
  <si>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</si>
  <si>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</si>
  <si>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</si>
  <si>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</si>
  <si>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</si>
  <si>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</si>
  <si>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</si>
  <si>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</si>
  <si>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</si>
  <si>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</si>
  <si>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</si>
  <si>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</si>
  <si>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</si>
  <si>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</si>
  <si>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</si>
  <si>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</si>
  <si>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</si>
  <si>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</si>
  <si>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</si>
  <si>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</si>
  <si>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</si>
  <si>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</si>
  <si>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</si>
  <si>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</si>
  <si>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</si>
  <si>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</si>
  <si>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</si>
  <si>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</si>
  <si>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</si>
  <si>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</si>
  <si>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</si>
  <si>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</si>
  <si>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</si>
  <si>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</si>
  <si>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</si>
  <si>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</si>
  <si>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</si>
  <si>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</si>
  <si>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</si>
  <si>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</si>
  <si>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</si>
  <si>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</si>
  <si>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</si>
  <si>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</si>
  <si>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</si>
  <si>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</si>
  <si>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</si>
  <si>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</si>
  <si>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</si>
  <si>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</si>
  <si>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</si>
  <si>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</si>
  <si>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</si>
  <si>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</si>
  <si>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</si>
  <si>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</si>
  <si>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</si>
  <si>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</si>
  <si>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</si>
  <si>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</si>
  <si>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</si>
  <si>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</si>
  <si>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</si>
  <si>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</si>
  <si>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</si>
  <si>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</si>
  <si>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</si>
  <si>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</si>
  <si>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</si>
  <si>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</si>
  <si>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</si>
  <si>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</si>
  <si>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</si>
  <si>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</si>
  <si>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</si>
  <si>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</si>
  <si>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</si>
  <si>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</si>
  <si>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</si>
  <si>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</si>
  <si>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</si>
  <si>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</si>
  <si>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</si>
  <si>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</si>
  <si>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</si>
  <si>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</si>
  <si>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</si>
  <si>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</si>
  <si>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</si>
  <si>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</si>
  <si>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</si>
  <si>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</si>
  <si>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</si>
  <si>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</si>
  <si>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</si>
  <si>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</si>
  <si>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</si>
  <si>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</si>
  <si>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</si>
  <si>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</si>
  <si>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</si>
  <si>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</si>
  <si>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</si>
  <si>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</si>
  <si>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</si>
  <si>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</si>
  <si>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</si>
  <si>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</si>
  <si>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</si>
  <si>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</si>
  <si>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</si>
  <si>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</si>
  <si>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</si>
  <si>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</si>
  <si>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</si>
  <si>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</si>
  <si>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</si>
  <si>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</si>
  <si>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</si>
  <si>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</si>
  <si>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</si>
  <si>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</si>
  <si>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</si>
  <si>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</si>
  <si>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</si>
  <si>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</si>
  <si>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</si>
  <si>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</si>
  <si>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</si>
  <si>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</si>
  <si>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</si>
  <si>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</si>
  <si>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</si>
  <si>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</si>
  <si>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</si>
  <si>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</si>
  <si>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</si>
  <si>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</si>
  <si>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</si>
  <si>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</si>
  <si>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</si>
  <si>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</si>
  <si>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</si>
  <si>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</si>
  <si>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</si>
  <si>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</si>
  <si>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</si>
  <si>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</si>
  <si>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</si>
  <si>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</si>
  <si>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</si>
  <si>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</si>
  <si>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</si>
  <si>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</si>
  <si>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</si>
  <si>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</si>
  <si>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</si>
  <si>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</si>
  <si>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</si>
  <si>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</si>
  <si>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</si>
  <si>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</si>
  <si>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</si>
  <si>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</si>
  <si>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</si>
  <si>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</si>
  <si>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</si>
  <si>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</si>
  <si>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</si>
  <si>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</si>
  <si>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</si>
  <si>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</si>
  <si>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</si>
  <si>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</si>
  <si>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</si>
  <si>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</si>
  <si>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</si>
  <si>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</si>
  <si>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</si>
  <si>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</si>
  <si>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</si>
  <si>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</si>
  <si>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</si>
  <si>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</si>
  <si>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</si>
  <si>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</si>
  <si>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</si>
  <si>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</si>
  <si>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</si>
  <si>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</si>
  <si>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</si>
  <si>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</si>
  <si>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</si>
  <si>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</si>
  <si>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</si>
  <si>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</si>
  <si>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</si>
  <si>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</si>
  <si>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</si>
  <si>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</si>
  <si>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</si>
  <si>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</si>
  <si>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</si>
  <si>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</si>
  <si>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</si>
  <si>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</si>
  <si>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</si>
  <si>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</si>
  <si>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</si>
  <si>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</si>
  <si>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</si>
  <si>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</si>
  <si>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</si>
  <si>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</si>
  <si>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</si>
  <si>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</si>
  <si>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</si>
  <si>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</si>
  <si>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</si>
  <si>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</si>
  <si>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</si>
  <si>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</si>
  <si>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</si>
  <si>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</si>
  <si>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</si>
  <si>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</si>
  <si>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</si>
  <si>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</si>
  <si>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</si>
  <si>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</si>
  <si>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</si>
  <si>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</si>
  <si>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</si>
  <si>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</si>
  <si>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</si>
  <si>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</si>
  <si>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</si>
  <si>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</si>
  <si>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</si>
  <si>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</si>
  <si>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</si>
  <si>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</si>
  <si>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</si>
  <si>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</si>
  <si>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</si>
  <si>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</si>
  <si>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</si>
  <si>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</si>
  <si>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</si>
  <si>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</si>
  <si>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</si>
  <si>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</si>
  <si>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</si>
  <si>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</si>
  <si>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</si>
  <si>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</si>
  <si>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</si>
  <si>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</si>
  <si>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</si>
  <si>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</si>
  <si>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</si>
  <si>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</si>
  <si>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</si>
  <si>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</si>
  <si>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</si>
  <si>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</si>
  <si>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</si>
  <si>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</si>
  <si>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</si>
  <si>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</si>
  <si>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</si>
  <si>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</si>
  <si>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</si>
  <si>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</si>
  <si>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</si>
  <si>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</si>
  <si>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</si>
  <si>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</si>
  <si>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</si>
  <si>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</si>
  <si>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</si>
  <si>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</si>
  <si>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</si>
  <si>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</si>
  <si>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</si>
  <si>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</si>
  <si>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</si>
  <si>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</si>
  <si>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</si>
  <si>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</si>
  <si>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</si>
  <si>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</si>
  <si>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</si>
  <si>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</si>
  <si>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</si>
  <si>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</si>
  <si>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</si>
  <si>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</si>
  <si>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</si>
  <si>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</si>
  <si>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</si>
  <si>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</si>
  <si>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</si>
  <si>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</si>
  <si>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</si>
  <si>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</si>
  <si>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</si>
  <si>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</si>
  <si>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</si>
  <si>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</si>
  <si>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</si>
  <si>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</si>
  <si>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</si>
  <si>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</si>
  <si>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</si>
  <si>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</si>
  <si>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</si>
  <si>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</si>
  <si>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</si>
  <si>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</si>
  <si>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</si>
  <si>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</si>
  <si>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</si>
  <si>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</si>
  <si>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</si>
  <si>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</si>
  <si>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</si>
  <si>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</si>
  <si>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</si>
  <si>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</si>
  <si>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</si>
  <si>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</si>
  <si>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</si>
  <si>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</si>
  <si>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</si>
  <si>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</si>
  <si>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</si>
  <si>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</si>
  <si>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</si>
  <si>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</si>
  <si>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</si>
  <si>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</si>
  <si>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</si>
  <si>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</si>
  <si>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</si>
  <si>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</si>
  <si>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</si>
  <si>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</si>
  <si>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</si>
  <si>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</si>
  <si>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</si>
  <si>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</si>
  <si>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</si>
  <si>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</si>
  <si>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</si>
  <si>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</si>
  <si>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</si>
  <si>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</si>
  <si>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</si>
  <si>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</si>
  <si>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</si>
  <si>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</si>
  <si>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</si>
  <si>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</si>
  <si>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</si>
  <si>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</si>
  <si>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</si>
  <si>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</si>
  <si>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</si>
  <si>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</si>
  <si>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</si>
  <si>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</si>
  <si>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</si>
  <si>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</si>
  <si>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</si>
  <si>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</si>
  <si>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</si>
  <si>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</si>
  <si>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</si>
  <si>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</si>
  <si>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</si>
  <si>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</si>
  <si>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</si>
  <si>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</si>
  <si>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</si>
  <si>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</si>
  <si>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</si>
  <si>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</si>
  <si>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</si>
  <si>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</si>
  <si>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</si>
  <si>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</si>
  <si>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</si>
  <si>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</si>
  <si>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</si>
  <si>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</si>
  <si>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</si>
  <si>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</si>
  <si>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</si>
  <si>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</si>
  <si>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</si>
  <si>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</si>
  <si>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</si>
  <si>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</si>
  <si>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</si>
  <si>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</si>
  <si>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</si>
  <si>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</si>
  <si>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</si>
  <si>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</si>
  <si>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</si>
  <si>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</si>
  <si>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</si>
  <si>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</si>
  <si>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</si>
  <si>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</si>
  <si>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</si>
  <si>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</si>
  <si>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</si>
  <si>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</si>
  <si>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</si>
  <si>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</si>
  <si>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</si>
  <si>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</si>
  <si>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</si>
  <si>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</si>
  <si>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</si>
  <si>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</si>
  <si>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</si>
  <si>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</si>
  <si>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</si>
  <si>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</si>
  <si>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</si>
  <si>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</si>
  <si>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</si>
  <si>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</si>
  <si>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</si>
  <si>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</si>
  <si>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</si>
  <si>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</si>
  <si>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</si>
  <si>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</si>
  <si>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</si>
  <si>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</si>
  <si>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</si>
  <si>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</si>
  <si>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</si>
  <si>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</si>
  <si>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</si>
  <si>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</si>
  <si>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</si>
  <si>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</si>
  <si>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</si>
  <si>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</si>
  <si>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</si>
  <si>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</si>
  <si>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</si>
  <si>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</si>
  <si>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</si>
  <si>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</si>
  <si>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</si>
  <si>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</si>
  <si>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</si>
  <si>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</si>
  <si>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</si>
  <si>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</si>
  <si>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</si>
  <si>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</si>
  <si>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</si>
  <si>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</si>
  <si>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</si>
  <si>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</si>
  <si>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</si>
  <si>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</si>
  <si>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</si>
  <si>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</si>
  <si>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</si>
  <si>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</si>
  <si>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</si>
  <si>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</si>
  <si>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</si>
  <si>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</si>
  <si>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</si>
  <si>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</si>
  <si>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</si>
  <si>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</si>
  <si>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</si>
  <si>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</si>
  <si>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</si>
  <si>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</si>
  <si>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</si>
  <si>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</si>
  <si>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</si>
  <si>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</si>
  <si>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</si>
  <si>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</si>
  <si>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</si>
  <si>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</si>
  <si>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</si>
  <si>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</si>
  <si>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</si>
  <si>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</si>
  <si>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</si>
  <si>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</si>
  <si>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</si>
  <si>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</si>
  <si>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</si>
  <si>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</si>
  <si>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</si>
  <si>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</si>
  <si>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</si>
  <si>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</si>
  <si>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</si>
  <si>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</si>
  <si>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</si>
  <si>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</si>
  <si>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</si>
  <si>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</si>
  <si>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</si>
  <si>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</si>
  <si>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</si>
  <si>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</si>
  <si>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</si>
  <si>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</si>
  <si>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</si>
  <si>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</si>
  <si>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</si>
  <si>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</si>
  <si>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</si>
  <si>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</si>
  <si>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</si>
  <si>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</si>
  <si>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</si>
  <si>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</si>
  <si>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</si>
  <si>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</si>
  <si>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</si>
  <si>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</si>
  <si>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</si>
  <si>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</si>
  <si>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</si>
  <si>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</si>
  <si>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</si>
  <si>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</si>
  <si>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</si>
  <si>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</si>
  <si>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</si>
  <si>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</si>
  <si>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</si>
  <si>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</si>
  <si>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</si>
  <si>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</si>
  <si>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</si>
  <si>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</si>
  <si>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</si>
  <si>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</si>
  <si>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</si>
  <si>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</si>
  <si>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</si>
  <si>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</si>
  <si>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</si>
  <si>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</si>
  <si>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</si>
  <si>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</si>
  <si>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</si>
  <si>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</si>
  <si>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</si>
  <si>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</si>
  <si>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</si>
  <si>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</si>
  <si>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</si>
  <si>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</si>
  <si>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</si>
  <si>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</si>
  <si>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</si>
  <si>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</si>
  <si>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</si>
  <si>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</si>
  <si>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</si>
  <si>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</si>
  <si>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</si>
  <si>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</si>
  <si>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</si>
  <si>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</si>
  <si>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</si>
  <si>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</si>
  <si>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</si>
  <si>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</si>
  <si>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</si>
  <si>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</si>
  <si>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</si>
  <si>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</si>
  <si>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</si>
  <si>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</si>
  <si>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</si>
  <si>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</si>
  <si>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</si>
  <si>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</si>
  <si>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</si>
  <si>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</si>
  <si>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</si>
  <si>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</si>
  <si>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</si>
  <si>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</si>
  <si>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</si>
  <si>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</si>
  <si>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</si>
  <si>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</si>
  <si>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</si>
  <si>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</si>
  <si>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</si>
  <si>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</si>
  <si>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</si>
  <si>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</si>
  <si>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</si>
  <si>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</si>
  <si>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</si>
  <si>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</si>
  <si>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</si>
  <si>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</si>
  <si>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</si>
  <si>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</si>
  <si>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</si>
  <si>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</si>
  <si>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</si>
  <si>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</si>
  <si>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</si>
  <si>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</si>
  <si>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</si>
  <si>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</si>
  <si>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</si>
  <si>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</si>
  <si>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</si>
  <si>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</si>
  <si>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</si>
  <si>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</si>
  <si>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</si>
  <si>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</si>
  <si>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</si>
  <si>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</si>
  <si>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</si>
  <si>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</si>
  <si>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</si>
  <si>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</si>
  <si>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</si>
  <si>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</si>
  <si>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</si>
  <si>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</si>
  <si>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</si>
  <si>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</si>
  <si>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</si>
  <si>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</si>
  <si>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</si>
  <si>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</si>
  <si>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</si>
  <si>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</si>
  <si>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</si>
  <si>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</si>
  <si>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</si>
  <si>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</si>
  <si>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</si>
  <si>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</si>
  <si>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</si>
  <si>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</si>
  <si>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</si>
  <si>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</si>
  <si>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</si>
  <si>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</si>
  <si>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</si>
  <si>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</si>
  <si>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</si>
  <si>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</si>
  <si>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</si>
  <si>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</si>
  <si>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</si>
  <si>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</si>
  <si>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</si>
  <si>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</si>
  <si>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</si>
  <si>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</si>
  <si>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</si>
  <si>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</si>
  <si>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</si>
  <si>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</si>
  <si>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</si>
  <si>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</si>
  <si>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</si>
  <si>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</si>
  <si>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</si>
  <si>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</si>
  <si>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</si>
  <si>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</si>
  <si>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</si>
  <si>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</si>
  <si>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</si>
  <si>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</si>
  <si>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</si>
  <si>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</si>
  <si>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</si>
  <si>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</si>
  <si>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</si>
  <si>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</si>
  <si>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</si>
  <si>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</si>
  <si>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</si>
  <si>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</si>
  <si>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</si>
  <si>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</si>
  <si>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</si>
  <si>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</si>
  <si>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</si>
  <si>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</si>
  <si>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</si>
  <si>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</si>
  <si>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</si>
  <si>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</si>
  <si>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</si>
  <si>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</si>
  <si>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</si>
  <si>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</si>
  <si>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</si>
  <si>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</si>
  <si>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</si>
  <si>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</si>
  <si>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</si>
  <si>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</si>
  <si>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</si>
  <si>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</si>
  <si>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</si>
  <si>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</si>
  <si>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</si>
  <si>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</si>
  <si>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</si>
  <si>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</si>
  <si>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</si>
  <si>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</si>
  <si>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</si>
  <si>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</si>
  <si>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</si>
  <si>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</si>
  <si>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</si>
  <si>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</si>
  <si>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</si>
  <si>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</si>
  <si>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</si>
  <si>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</si>
  <si>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</si>
  <si>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</si>
  <si>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</si>
  <si>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</si>
  <si>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</si>
  <si>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</si>
  <si>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</si>
  <si>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</si>
  <si>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</si>
  <si>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</si>
  <si>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</si>
  <si>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</si>
  <si>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</si>
  <si>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</si>
  <si>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</si>
  <si>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</si>
  <si>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</si>
  <si>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</si>
  <si>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</si>
  <si>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</si>
  <si>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</si>
  <si>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</si>
  <si>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</si>
  <si>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</si>
  <si>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</si>
  <si>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</si>
  <si>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</si>
  <si>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</si>
  <si>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</si>
  <si>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</si>
  <si>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</si>
  <si>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</si>
  <si>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</si>
  <si>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</si>
  <si>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</si>
  <si>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</si>
  <si>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</si>
  <si>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</si>
  <si>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</si>
  <si>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</si>
  <si>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</si>
  <si>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</si>
  <si>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</si>
  <si>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</si>
  <si>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</si>
  <si>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</si>
  <si>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</si>
  <si>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</si>
  <si>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</si>
  <si>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</si>
  <si>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</si>
  <si>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</si>
  <si>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</si>
  <si>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</si>
  <si>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</si>
  <si>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</si>
  <si>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</si>
  <si>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</si>
  <si>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</si>
  <si>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</si>
  <si>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</si>
  <si>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</si>
  <si>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</si>
  <si>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</si>
  <si>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</si>
  <si>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</si>
  <si>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</si>
  <si>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</si>
  <si>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</si>
  <si>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</si>
  <si>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</si>
  <si>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</si>
  <si>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</si>
  <si>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</si>
  <si>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</si>
  <si>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</si>
  <si>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</si>
  <si>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</si>
  <si>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</si>
  <si>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</si>
  <si>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</si>
  <si>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</si>
  <si>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</si>
  <si>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</si>
  <si>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</si>
  <si>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</si>
  <si>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</si>
  <si>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</si>
  <si>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</si>
  <si>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</si>
  <si>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</si>
  <si>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</si>
  <si>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</si>
  <si>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</si>
  <si>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</si>
  <si>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</si>
  <si>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</si>
  <si>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</si>
  <si>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</si>
  <si>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</si>
  <si>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</si>
  <si>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</si>
  <si>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</si>
  <si>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</si>
  <si>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</si>
  <si>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</si>
  <si>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</si>
  <si>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</si>
  <si>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</si>
  <si>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</si>
  <si>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</si>
  <si>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</si>
  <si>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</si>
  <si>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</si>
  <si>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</si>
  <si>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</si>
  <si>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</si>
  <si>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</si>
  <si>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</si>
  <si>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</si>
  <si>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</si>
  <si>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</si>
  <si>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</si>
  <si>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</si>
  <si>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</si>
  <si>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</si>
  <si>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</si>
  <si>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</si>
  <si>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</si>
  <si>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</si>
  <si>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</si>
  <si>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</si>
  <si>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</si>
  <si>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</si>
  <si>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</si>
  <si>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</si>
  <si>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</si>
  <si>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</si>
  <si>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</si>
  <si>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</si>
  <si>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</si>
  <si>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</si>
  <si>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</si>
  <si>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</si>
  <si>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</si>
  <si>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</si>
  <si>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</si>
  <si>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</si>
  <si>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</si>
  <si>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</si>
  <si>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</si>
  <si>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</si>
  <si>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</si>
  <si>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</si>
  <si>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</si>
  <si>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</si>
  <si>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</si>
  <si>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</si>
  <si>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</si>
  <si>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</si>
  <si>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</si>
  <si>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</si>
  <si>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</si>
  <si>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</si>
  <si>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</si>
  <si>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</si>
  <si>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</si>
  <si>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</si>
  <si>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</si>
  <si>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</si>
  <si>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</si>
  <si>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</si>
  <si>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</si>
  <si>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</si>
  <si>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</si>
  <si>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</si>
  <si>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</si>
  <si>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</si>
  <si>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</si>
  <si>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</si>
  <si>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</si>
  <si>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</si>
  <si>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</si>
  <si>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</si>
  <si>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</si>
  <si>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</si>
  <si>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</si>
  <si>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</si>
  <si>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</si>
  <si>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</si>
  <si>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</si>
  <si>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</si>
  <si>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</si>
  <si>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</si>
  <si>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</si>
  <si>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</si>
  <si>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</si>
  <si>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</si>
  <si>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</si>
  <si>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</si>
  <si>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</si>
  <si>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</si>
  <si>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</si>
  <si>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</si>
  <si>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</si>
  <si>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</si>
  <si>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</si>
  <si>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</si>
  <si>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</si>
  <si>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</si>
  <si>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</si>
  <si>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</si>
  <si>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</si>
  <si>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</si>
  <si>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</si>
  <si>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</si>
  <si>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</si>
  <si>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</si>
  <si>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</si>
  <si>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</si>
  <si>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</si>
  <si>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</si>
  <si>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</si>
  <si>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</si>
  <si>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</si>
  <si>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</si>
  <si>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</si>
  <si>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</si>
  <si>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</si>
  <si>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</si>
  <si>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</si>
  <si>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</si>
  <si>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</si>
  <si>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</si>
  <si>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</si>
  <si>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</si>
  <si>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</si>
  <si>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</si>
  <si>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</si>
  <si>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</si>
  <si>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</si>
  <si>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</si>
  <si>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</si>
  <si>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</si>
  <si>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</si>
  <si>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</si>
  <si>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</si>
  <si>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</si>
  <si>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</si>
  <si>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</si>
  <si>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</si>
  <si>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</si>
  <si>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</si>
  <si>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</si>
  <si>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</si>
  <si>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</si>
  <si>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</si>
  <si>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</si>
  <si>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</si>
  <si>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</si>
  <si>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</si>
  <si>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</si>
  <si>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</si>
  <si>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</si>
  <si>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</si>
  <si>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</si>
  <si>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</si>
  <si>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</si>
  <si>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</si>
  <si>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</si>
  <si>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</si>
  <si>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</si>
  <si>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</si>
  <si>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</si>
  <si>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</si>
  <si>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</si>
  <si>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</si>
  <si>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</si>
  <si>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</si>
  <si>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</si>
  <si>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</si>
  <si>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</si>
  <si>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</si>
  <si>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</si>
  <si>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</si>
  <si>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</si>
  <si>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</si>
  <si>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</si>
  <si>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</si>
  <si>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</si>
  <si>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</si>
  <si>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</si>
  <si>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</si>
  <si>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</si>
  <si>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</si>
  <si>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</si>
  <si>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</si>
  <si>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</si>
  <si>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</si>
  <si>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</si>
  <si>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</si>
  <si>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</si>
  <si>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</si>
  <si>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</si>
  <si>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</si>
  <si>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</si>
  <si>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</si>
  <si>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</si>
  <si>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</si>
  <si>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</si>
  <si>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</si>
  <si>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</si>
  <si>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</si>
  <si>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</si>
  <si>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</si>
  <si>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</si>
  <si>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</si>
  <si>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</si>
  <si>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</si>
  <si>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</si>
  <si>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</si>
  <si>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</si>
  <si>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</si>
  <si>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</si>
  <si>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</si>
  <si>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</si>
  <si>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</si>
  <si>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</si>
  <si>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</si>
  <si>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</si>
  <si>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</si>
  <si>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</si>
  <si>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</si>
  <si>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</si>
  <si>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</si>
  <si>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</si>
  <si>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</si>
  <si>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</si>
  <si>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</si>
  <si>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</si>
  <si>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</si>
  <si>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</si>
  <si>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</si>
  <si>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</si>
  <si>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</si>
  <si>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</si>
  <si>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</si>
  <si>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</si>
  <si>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</si>
  <si>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</si>
  <si>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</si>
  <si>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</si>
  <si>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</si>
  <si>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</si>
  <si>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</si>
  <si>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</si>
  <si>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</si>
  <si>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</si>
  <si>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</si>
  <si>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</si>
  <si>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</si>
  <si>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</si>
  <si>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</si>
  <si>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</si>
  <si>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</si>
  <si>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</si>
  <si>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</si>
  <si>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</si>
  <si>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</si>
  <si>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</si>
  <si>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</si>
  <si>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</si>
  <si>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</si>
  <si>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</si>
  <si>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</si>
  <si>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</si>
  <si>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</si>
  <si>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</si>
  <si>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</si>
  <si>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</si>
  <si>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</si>
  <si>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</si>
  <si>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</si>
  <si>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</si>
  <si>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</si>
  <si>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</si>
  <si>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</si>
  <si>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</si>
  <si>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</si>
  <si>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</si>
  <si>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</si>
  <si>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</si>
  <si>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</si>
  <si>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</si>
  <si>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</si>
  <si>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</si>
  <si>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</si>
  <si>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</si>
  <si>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</si>
  <si>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</si>
  <si>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</si>
  <si>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</si>
  <si>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</si>
  <si>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</si>
  <si>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</si>
  <si>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</si>
  <si>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</si>
  <si>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</si>
  <si>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</si>
  <si>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</si>
  <si>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</si>
  <si>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</si>
  <si>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</si>
  <si>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</si>
  <si>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</si>
  <si>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</si>
  <si>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</si>
  <si>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</si>
  <si>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</si>
  <si>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</si>
  <si>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</si>
  <si>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</si>
  <si>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</si>
  <si>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</si>
  <si>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</si>
  <si>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</si>
  <si>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</si>
  <si>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</si>
  <si>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</si>
  <si>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</si>
  <si>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</si>
  <si>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</si>
  <si>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</si>
  <si>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</si>
  <si>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</si>
  <si>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</si>
  <si>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</si>
  <si>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</si>
  <si>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</si>
  <si>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</si>
  <si>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</si>
  <si>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</si>
  <si>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</si>
  <si>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</si>
  <si>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</si>
  <si>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</si>
  <si>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</si>
  <si>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</si>
  <si>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</si>
  <si>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</si>
  <si>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</si>
  <si>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</si>
  <si>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</si>
  <si>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</si>
  <si>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</si>
  <si>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</si>
  <si>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</si>
  <si>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</si>
  <si>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</si>
  <si>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</si>
  <si>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</si>
  <si>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</si>
  <si>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</si>
  <si>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</si>
  <si>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</si>
  <si>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</si>
  <si>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</si>
  <si>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</si>
  <si>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</si>
  <si>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</si>
  <si>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</si>
  <si>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</si>
  <si>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</si>
  <si>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</si>
  <si>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</si>
  <si>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</si>
  <si>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</si>
  <si>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</si>
  <si>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</si>
  <si>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</si>
  <si>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</si>
  <si>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</si>
  <si>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</si>
  <si>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</si>
  <si>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</si>
  <si>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</si>
  <si>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</si>
  <si>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</si>
  <si>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</si>
  <si>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</si>
  <si>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</si>
  <si>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</si>
  <si>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</si>
  <si>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</si>
  <si>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</si>
  <si>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</si>
  <si>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</si>
  <si>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</si>
  <si>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</si>
  <si>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</si>
  <si>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</si>
  <si>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</si>
  <si>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</si>
  <si>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</si>
  <si>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</si>
  <si>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</si>
  <si>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</si>
  <si>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</si>
  <si>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</si>
  <si>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</si>
  <si>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</si>
  <si>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</si>
  <si>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</si>
  <si>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</si>
  <si>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</si>
  <si>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</si>
  <si>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</si>
  <si>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</si>
  <si>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</si>
  <si>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</si>
  <si>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</si>
  <si>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</si>
  <si>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</si>
  <si>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</si>
  <si>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</si>
  <si>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</si>
  <si>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</si>
  <si>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</si>
  <si>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</si>
  <si>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</si>
  <si>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</si>
  <si>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</si>
  <si>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</si>
  <si>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</si>
  <si>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</si>
  <si>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</si>
  <si>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</si>
  <si>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</si>
  <si>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</si>
  <si>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</si>
  <si>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</si>
  <si>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</si>
  <si>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</si>
  <si>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</si>
  <si>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</si>
  <si>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</si>
  <si>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</si>
  <si>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</si>
  <si>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</si>
  <si>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</si>
  <si>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</si>
  <si>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</si>
  <si>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</si>
  <si>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</si>
  <si>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</si>
  <si>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</si>
  <si>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</si>
  <si>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</si>
  <si>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</si>
  <si>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</si>
  <si>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</si>
  <si>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</si>
  <si>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</si>
  <si>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</si>
  <si>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</si>
  <si>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</si>
  <si>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</si>
  <si>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</si>
  <si>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</si>
  <si>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</si>
  <si>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</si>
  <si>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</si>
  <si>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</si>
  <si>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</si>
  <si>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</si>
  <si>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</si>
  <si>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</si>
  <si>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</si>
  <si>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</si>
  <si>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</si>
  <si>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</si>
  <si>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</si>
  <si>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</si>
  <si>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</si>
  <si>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</si>
  <si>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</si>
  <si>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</si>
  <si>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</si>
  <si>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</si>
  <si>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</si>
  <si>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</si>
  <si>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</si>
  <si>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</si>
  <si>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</si>
  <si>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</si>
  <si>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</si>
  <si>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</si>
  <si>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</si>
  <si>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</si>
  <si>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</si>
  <si>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</si>
  <si>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</si>
  <si>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</si>
  <si>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</si>
  <si>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</si>
  <si>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</si>
  <si>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</si>
  <si>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</si>
  <si>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</si>
  <si>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</si>
  <si>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</si>
  <si>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</si>
  <si>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</si>
  <si>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</si>
  <si>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</si>
  <si>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</si>
  <si>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</si>
  <si>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</si>
  <si>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</si>
  <si>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</si>
  <si>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</si>
  <si>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</si>
  <si>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</si>
  <si>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</si>
  <si>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</si>
  <si>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</si>
  <si>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</si>
  <si>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</si>
  <si>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</si>
  <si>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</si>
  <si>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</si>
  <si>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</si>
  <si>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</si>
  <si>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</si>
  <si>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</si>
  <si>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</si>
  <si>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</si>
  <si>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</si>
  <si>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</si>
  <si>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</si>
  <si>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</si>
  <si>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</si>
  <si>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</si>
  <si>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</si>
  <si>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</si>
  <si>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</si>
  <si>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</si>
  <si>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</si>
  <si>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</si>
  <si>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</si>
  <si>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</si>
  <si>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</si>
  <si>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</si>
  <si>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</si>
  <si>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</si>
  <si>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</si>
  <si>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</si>
  <si>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</si>
  <si>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</si>
  <si>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</si>
  <si>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</si>
  <si>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</si>
  <si>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</si>
  <si>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</si>
  <si>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</si>
  <si>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</si>
  <si>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</si>
  <si>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</si>
  <si>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</si>
  <si>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</si>
  <si>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</si>
  <si>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</si>
  <si>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</si>
  <si>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</si>
  <si>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</si>
  <si>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</si>
  <si>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</si>
  <si>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</si>
  <si>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</si>
  <si>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</si>
  <si>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</si>
  <si>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</si>
  <si>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</si>
  <si>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</si>
  <si>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</si>
  <si>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</si>
  <si>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</si>
  <si>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</si>
  <si>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</si>
  <si>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</si>
  <si>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</si>
  <si>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</si>
  <si>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</si>
  <si>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</si>
  <si>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</si>
  <si>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</si>
  <si>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</si>
  <si>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</si>
  <si>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</si>
  <si>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</si>
  <si>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</si>
  <si>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</si>
  <si>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</si>
  <si>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</si>
  <si>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</si>
  <si>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</si>
  <si>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</si>
  <si>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</si>
  <si>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</si>
  <si>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</si>
  <si>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</si>
  <si>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</si>
  <si>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</si>
  <si>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</si>
  <si>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</si>
  <si>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</si>
  <si>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</si>
  <si>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</si>
  <si>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</si>
  <si>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</si>
  <si>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</si>
  <si>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</si>
  <si>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</si>
  <si>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</si>
  <si>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</si>
  <si>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</si>
  <si>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</si>
  <si>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</si>
  <si>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</si>
  <si>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</si>
  <si>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</si>
  <si>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</si>
  <si>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</si>
  <si>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</si>
  <si>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</si>
  <si>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</si>
  <si>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</si>
  <si>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</si>
  <si>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</si>
  <si>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</si>
  <si>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</si>
  <si>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</si>
  <si>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</si>
  <si>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</si>
  <si>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</si>
  <si>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</si>
  <si>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</si>
  <si>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</si>
  <si>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</si>
  <si>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</si>
  <si>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</si>
  <si>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</si>
  <si>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</si>
  <si>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</si>
  <si>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</si>
  <si>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</si>
  <si>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</si>
  <si>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</si>
  <si>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</si>
  <si>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</si>
  <si>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</si>
  <si>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</si>
  <si>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</si>
  <si>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</si>
  <si>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</si>
  <si>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</si>
  <si>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</si>
  <si>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</si>
  <si>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</si>
  <si>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</si>
  <si>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</si>
  <si>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</si>
  <si>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</si>
  <si>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</si>
  <si>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</si>
  <si>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</si>
  <si>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</si>
  <si>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</si>
  <si>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</si>
  <si>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</si>
  <si>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</si>
  <si>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</si>
  <si>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</si>
  <si>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</si>
  <si>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</si>
  <si>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</si>
  <si>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</si>
  <si>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</si>
  <si>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</si>
  <si>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</si>
  <si>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</si>
  <si>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</si>
  <si>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</si>
  <si>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</si>
  <si>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</si>
  <si>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</si>
  <si>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</si>
  <si>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</si>
  <si>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</si>
  <si>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</si>
  <si>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</si>
  <si>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</si>
  <si>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</si>
  <si>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</si>
  <si>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</si>
  <si>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</si>
  <si>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</si>
  <si>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</si>
  <si>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</si>
  <si>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</si>
  <si>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</si>
  <si>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</si>
  <si>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</si>
  <si>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</si>
  <si>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</si>
  <si>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</si>
  <si>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</si>
  <si>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</si>
  <si>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</si>
  <si>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</si>
  <si>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</si>
  <si>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</si>
  <si>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</si>
  <si>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</si>
  <si>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</si>
  <si>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</si>
  <si>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</si>
  <si>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</si>
  <si>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</si>
  <si>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</si>
  <si>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</si>
  <si>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</si>
  <si>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</si>
  <si>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</si>
  <si>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</si>
  <si>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</si>
  <si>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</si>
  <si>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</si>
  <si>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</si>
  <si>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</si>
  <si>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</si>
  <si>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</si>
  <si>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</si>
  <si>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</si>
  <si>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</si>
  <si>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</si>
  <si>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</si>
  <si>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</si>
  <si>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</si>
  <si>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</si>
  <si>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</si>
  <si>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</si>
  <si>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</si>
  <si>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</si>
  <si>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</si>
  <si>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</si>
  <si>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</si>
  <si>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</si>
  <si>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</si>
  <si>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</si>
  <si>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</si>
  <si>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</si>
  <si>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</si>
  <si>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</si>
  <si>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</si>
  <si>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</si>
  <si>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</si>
  <si>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</si>
  <si>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</si>
  <si>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</si>
  <si>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</si>
  <si>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</si>
  <si>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</si>
  <si>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</si>
  <si>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</si>
  <si>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</si>
  <si>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</si>
  <si>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</si>
  <si>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</si>
  <si>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</si>
  <si>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</si>
  <si>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</si>
  <si>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</si>
  <si>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</si>
  <si>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</si>
  <si>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</si>
  <si>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</si>
  <si>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</si>
  <si>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</si>
  <si>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</si>
  <si>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</si>
  <si>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</si>
  <si>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</si>
  <si>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</si>
  <si>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</si>
  <si>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</si>
  <si>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</si>
  <si>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</si>
  <si>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</si>
  <si>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</si>
  <si>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</si>
  <si>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</si>
  <si>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</si>
  <si>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</si>
  <si>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</si>
  <si>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</si>
  <si>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</si>
  <si>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</si>
  <si>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</si>
  <si>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</si>
  <si>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</si>
  <si>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</si>
  <si>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</si>
  <si>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</si>
  <si>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</si>
  <si>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</si>
  <si>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</si>
  <si>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</si>
  <si>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</si>
  <si>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</si>
  <si>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</si>
  <si>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</si>
  <si>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</si>
  <si>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</si>
  <si>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</si>
  <si>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</si>
  <si>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</si>
  <si>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</si>
  <si>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</si>
  <si>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</si>
  <si>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</si>
  <si>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</si>
  <si>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</si>
  <si>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</si>
  <si>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</si>
  <si>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</si>
  <si>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</si>
  <si>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</si>
  <si>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</si>
  <si>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</si>
  <si>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</si>
  <si>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</si>
  <si>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</si>
  <si>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</si>
  <si>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</si>
  <si>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</si>
  <si>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</si>
  <si>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</si>
  <si>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</si>
  <si>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</si>
  <si>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</si>
  <si>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</si>
  <si>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</si>
  <si>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</si>
  <si>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</si>
  <si>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</si>
  <si>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</si>
  <si>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</si>
  <si>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</si>
  <si>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</si>
  <si>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</si>
  <si>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</si>
  <si>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</si>
  <si>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</si>
  <si>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</si>
  <si>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</si>
  <si>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</si>
  <si>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</si>
  <si>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</si>
  <si>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</si>
  <si>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</si>
  <si>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</si>
  <si>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</si>
  <si>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</si>
  <si>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</si>
  <si>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</si>
  <si>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</si>
  <si>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</si>
  <si>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</si>
  <si>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</si>
  <si>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</si>
  <si>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</si>
  <si>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</si>
  <si>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</si>
  <si>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</si>
  <si>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</si>
  <si>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</si>
  <si>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</si>
  <si>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</si>
  <si>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</si>
  <si>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</si>
  <si>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</si>
  <si>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</si>
  <si>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</si>
  <si>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</si>
  <si>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</si>
  <si>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</si>
  <si>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</si>
  <si>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</si>
  <si>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</si>
  <si>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</si>
  <si>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</si>
  <si>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</si>
  <si>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</si>
  <si>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</si>
  <si>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</si>
  <si>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</si>
  <si>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</si>
  <si>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</si>
  <si>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</si>
  <si>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</si>
  <si>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</si>
  <si>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</si>
  <si>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</si>
  <si>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</si>
  <si>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</si>
  <si>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</si>
  <si>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</si>
  <si>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</si>
  <si>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</si>
  <si>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</si>
  <si>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</si>
  <si>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</si>
  <si>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</si>
  <si>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</si>
  <si>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</si>
  <si>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</si>
  <si>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</si>
  <si>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</si>
  <si>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</si>
  <si>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</si>
  <si>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</si>
  <si>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</si>
  <si>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</si>
  <si>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</si>
  <si>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</si>
  <si>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</si>
  <si>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</si>
  <si>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</si>
  <si>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</si>
  <si>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</si>
  <si>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</si>
  <si>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</si>
  <si>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</si>
  <si>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</si>
  <si>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</si>
  <si>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</si>
  <si>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</si>
  <si>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</si>
  <si>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</si>
  <si>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</si>
  <si>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</si>
  <si>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</si>
  <si>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</si>
  <si>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</si>
  <si>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</si>
  <si>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</si>
  <si>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</si>
  <si>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</si>
  <si>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</si>
  <si>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</si>
  <si>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</si>
  <si>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</si>
  <si>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</si>
  <si>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</si>
  <si>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</si>
  <si>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</si>
  <si>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</si>
  <si>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</si>
  <si>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</si>
  <si>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</si>
  <si>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</si>
  <si>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</si>
  <si>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</si>
  <si>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</si>
  <si>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</si>
  <si>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</si>
  <si>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</si>
  <si>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</si>
  <si>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</si>
  <si>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</si>
  <si>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</si>
  <si>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</si>
  <si>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</si>
  <si>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</si>
  <si>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</si>
  <si>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</si>
  <si>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</si>
  <si>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</si>
  <si>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</si>
  <si>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</si>
  <si>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</si>
  <si>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</si>
  <si>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</si>
  <si>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</si>
  <si>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</si>
  <si>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</si>
  <si>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</si>
  <si>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</si>
  <si>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</si>
  <si>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</si>
  <si>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</si>
  <si>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</si>
  <si>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</si>
  <si>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</si>
  <si>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</si>
  <si>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</si>
  <si>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</si>
  <si>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</si>
  <si>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</si>
  <si>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</si>
  <si>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</si>
  <si>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</si>
  <si>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</si>
  <si>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</si>
  <si>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</si>
  <si>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</si>
  <si>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</si>
  <si>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</si>
  <si>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</si>
  <si>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</si>
  <si>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</si>
  <si>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</si>
  <si>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</si>
  <si>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</si>
  <si>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</si>
  <si>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</si>
  <si>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</si>
  <si>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</si>
  <si>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</si>
  <si>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</si>
  <si>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</si>
  <si>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</si>
  <si>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</si>
  <si>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</si>
  <si>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</si>
  <si>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</si>
  <si>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</si>
  <si>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</si>
  <si>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</si>
  <si>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</si>
  <si>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</si>
  <si>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</si>
  <si>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</si>
  <si>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</si>
  <si>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</si>
  <si>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</si>
  <si>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</si>
  <si>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</si>
  <si>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</si>
  <si>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</si>
  <si>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</si>
  <si>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</si>
  <si>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</si>
  <si>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</si>
  <si>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</si>
  <si>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</si>
  <si>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</si>
  <si>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</si>
  <si>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</si>
  <si>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</si>
  <si>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</si>
  <si>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</si>
  <si>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</si>
  <si>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</si>
  <si>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</si>
  <si>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</si>
  <si>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</si>
  <si>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</si>
  <si>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</si>
  <si>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</si>
  <si>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</si>
  <si>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</si>
  <si>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</si>
  <si>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</si>
  <si>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</si>
  <si>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</si>
  <si>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</si>
  <si>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</si>
  <si>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</si>
  <si>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</si>
  <si>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</si>
  <si>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</si>
  <si>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</si>
  <si>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</si>
  <si>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</si>
  <si>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</si>
  <si>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</si>
  <si>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</si>
  <si>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</si>
  <si>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</si>
  <si>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</si>
  <si>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</si>
  <si>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</si>
  <si>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</si>
  <si>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</si>
  <si>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</si>
  <si>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</si>
  <si>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</si>
  <si>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</si>
  <si>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</si>
  <si>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</si>
  <si>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</si>
  <si>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</si>
  <si>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</si>
  <si>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</si>
  <si>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</si>
  <si>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</si>
  <si>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</si>
  <si>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</si>
  <si>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</si>
  <si>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</si>
  <si>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</si>
  <si>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</si>
  <si>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</si>
  <si>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</si>
  <si>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</si>
  <si>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</si>
  <si>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</si>
  <si>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</si>
  <si>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</si>
  <si>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</si>
  <si>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</si>
  <si>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</si>
  <si>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</si>
  <si>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</si>
  <si>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</si>
  <si>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</si>
  <si>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</si>
  <si>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</si>
  <si>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</si>
  <si>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</si>
  <si>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</si>
  <si>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</si>
  <si>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</si>
  <si>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</si>
  <si>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</si>
  <si>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</si>
  <si>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</si>
  <si>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</si>
  <si>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</si>
  <si>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</si>
  <si>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</si>
  <si>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</si>
  <si>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</si>
  <si>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</si>
  <si>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</si>
  <si>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</si>
  <si>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</si>
  <si>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</si>
  <si>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</si>
  <si>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</si>
  <si>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</si>
  <si>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</si>
  <si>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</si>
  <si>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</si>
  <si>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</si>
  <si>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</si>
  <si>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</si>
  <si>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</si>
  <si>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</si>
  <si>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</si>
  <si>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</si>
  <si>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</si>
  <si>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</si>
  <si>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</si>
  <si>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</si>
  <si>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</si>
  <si>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</si>
  <si>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</si>
  <si>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</si>
  <si>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</si>
  <si>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</si>
  <si>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</si>
  <si>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</si>
  <si>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</si>
  <si>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</si>
  <si>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</si>
  <si>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</si>
  <si>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</si>
  <si>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</si>
  <si>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</si>
  <si>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</si>
  <si>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</si>
  <si>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</si>
  <si>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</si>
  <si>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</si>
  <si>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</si>
  <si>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</si>
  <si>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</si>
  <si>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</si>
  <si>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</si>
  <si>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</si>
  <si>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</si>
  <si>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</si>
  <si>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</si>
  <si>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</si>
  <si>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</si>
  <si>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</si>
  <si>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</si>
  <si>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</si>
  <si>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</si>
  <si>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</si>
  <si>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</si>
  <si>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</si>
  <si>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</si>
  <si>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</si>
  <si>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</si>
  <si>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</si>
  <si>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</si>
  <si>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</si>
  <si>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</si>
  <si>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</si>
  <si>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</si>
  <si>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</si>
  <si>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</si>
  <si>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</si>
  <si>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</si>
  <si>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</si>
  <si>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</si>
  <si>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</si>
  <si>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</si>
  <si>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</si>
  <si>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</si>
  <si>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</si>
  <si>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</si>
  <si>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</si>
  <si>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</si>
  <si>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</si>
  <si>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</si>
  <si>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</si>
  <si>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</si>
  <si>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</si>
  <si>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</si>
  <si>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</si>
  <si>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</si>
  <si>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</si>
  <si>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</si>
  <si>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</si>
  <si>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</si>
  <si>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</si>
  <si>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</si>
  <si>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</si>
  <si>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</si>
  <si>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</si>
  <si>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</si>
  <si>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</si>
  <si>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</si>
  <si>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</si>
  <si>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</si>
  <si>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</si>
  <si>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</si>
  <si>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</si>
  <si>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</si>
  <si>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</si>
  <si>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</si>
  <si>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</si>
  <si>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</si>
  <si>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</si>
  <si>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</si>
  <si>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</si>
  <si>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</si>
  <si>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</si>
  <si>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</si>
  <si>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</si>
  <si>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</si>
  <si>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</si>
  <si>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</si>
  <si>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</si>
  <si>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</si>
  <si>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</si>
  <si>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</si>
  <si>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</si>
  <si>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</si>
  <si>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</si>
  <si>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</si>
  <si>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</si>
  <si>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</si>
  <si>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</si>
  <si>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</si>
  <si>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</si>
  <si>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</si>
  <si>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</si>
  <si>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</si>
  <si>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</si>
  <si>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</si>
  <si>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</si>
  <si>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</si>
  <si>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</si>
  <si>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</si>
  <si>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</si>
  <si>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</si>
  <si>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</si>
  <si>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</si>
  <si>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</si>
  <si>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</si>
  <si>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</si>
  <si>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</si>
  <si>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</si>
  <si>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</si>
  <si>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</si>
  <si>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</si>
  <si>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</si>
  <si>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</si>
  <si>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</si>
  <si>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</si>
  <si>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</si>
  <si>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</si>
  <si>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</si>
  <si>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</si>
  <si>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</si>
  <si>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</si>
  <si>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</si>
  <si>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</si>
  <si>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</si>
  <si>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</si>
  <si>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</si>
  <si>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</si>
  <si>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</si>
  <si>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</si>
  <si>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</si>
  <si>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</si>
  <si>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</si>
  <si>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</si>
  <si>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</si>
  <si>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</si>
  <si>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</si>
  <si>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</si>
  <si>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</si>
  <si>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</si>
  <si>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</si>
  <si>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</si>
  <si>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</si>
  <si>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</si>
  <si>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</si>
  <si>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</si>
  <si>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</si>
  <si>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</si>
  <si>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</si>
  <si>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</si>
  <si>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</si>
  <si>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</si>
  <si>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</si>
  <si>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</si>
  <si>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</si>
  <si>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</si>
  <si>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</si>
  <si>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</si>
  <si>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</si>
  <si>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</si>
  <si>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</si>
  <si>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</si>
  <si>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</si>
  <si>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</si>
  <si>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</si>
  <si>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</si>
  <si>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</si>
  <si>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</si>
  <si>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</si>
  <si>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</si>
  <si>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</si>
  <si>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</si>
  <si>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</si>
  <si>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</si>
  <si>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</si>
  <si>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</si>
  <si>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</si>
  <si>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</si>
  <si>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</si>
  <si>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</si>
  <si>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</si>
  <si>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</si>
  <si>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</si>
  <si>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</si>
  <si>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</si>
  <si>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</si>
  <si>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</si>
  <si>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</si>
  <si>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</si>
  <si>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</si>
  <si>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</si>
  <si>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</si>
  <si>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</si>
  <si>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</si>
  <si>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</si>
  <si>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</si>
  <si>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</si>
  <si>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</si>
  <si>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</si>
  <si>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</si>
  <si>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</si>
  <si>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</si>
  <si>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</si>
  <si>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</si>
  <si>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</si>
  <si>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</si>
  <si>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</si>
  <si>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</si>
  <si>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</si>
  <si>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</si>
  <si>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</si>
  <si>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</si>
  <si>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</si>
  <si>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</si>
  <si>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</si>
  <si>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</si>
  <si>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</si>
  <si>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</si>
  <si>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</si>
  <si>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</si>
  <si>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</si>
  <si>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</si>
  <si>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</si>
  <si>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</si>
  <si>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</si>
  <si>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</si>
  <si>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</si>
  <si>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</si>
  <si>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</si>
  <si>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</si>
  <si>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</si>
  <si>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</si>
  <si>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</si>
  <si>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</si>
  <si>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</si>
  <si>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</si>
  <si>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</si>
  <si>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</si>
  <si>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</si>
  <si>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</si>
  <si>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</si>
  <si>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</si>
  <si>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</si>
  <si>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</si>
  <si>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</si>
  <si>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</si>
  <si>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</si>
  <si>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</si>
  <si>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</si>
  <si>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</si>
  <si>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</si>
  <si>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</si>
  <si>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</si>
  <si>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</si>
  <si>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</si>
  <si>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</si>
  <si>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</si>
  <si>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</si>
  <si>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</si>
  <si>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</si>
  <si>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</si>
  <si>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</si>
  <si>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</si>
  <si>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</si>
  <si>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</si>
  <si>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</si>
  <si>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</si>
  <si>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</si>
  <si>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</si>
  <si>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</si>
  <si>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</si>
  <si>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</si>
  <si>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</si>
  <si>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</si>
  <si>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</si>
  <si>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</si>
  <si>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</si>
  <si>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</si>
  <si>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</si>
  <si>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</si>
  <si>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</si>
  <si>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</si>
  <si>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</si>
  <si>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</si>
  <si>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</si>
  <si>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</si>
  <si>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</si>
  <si>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</si>
  <si>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</si>
  <si>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</si>
  <si>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</si>
  <si>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</si>
  <si>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</si>
  <si>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</si>
  <si>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</si>
  <si>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</si>
  <si>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</si>
  <si>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</si>
  <si>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</si>
  <si>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</si>
  <si>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</si>
  <si>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</si>
  <si>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</si>
  <si>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</si>
  <si>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</si>
  <si>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</si>
  <si>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</si>
  <si>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</si>
  <si>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</si>
  <si>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</si>
  <si>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</si>
  <si>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</si>
  <si>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</si>
  <si>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</si>
  <si>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</si>
  <si>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</si>
  <si>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</si>
  <si>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</si>
  <si>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</si>
  <si>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</si>
  <si>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</si>
  <si>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</si>
  <si>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</si>
  <si>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</si>
  <si>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</si>
  <si>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</si>
  <si>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</si>
  <si>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</si>
  <si>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</si>
  <si>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</si>
  <si>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</si>
  <si>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</si>
  <si>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</si>
  <si>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</si>
  <si>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</si>
  <si>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</si>
  <si>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</si>
  <si>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</si>
  <si>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</si>
  <si>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</si>
  <si>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</si>
  <si>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</si>
  <si>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</si>
  <si>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</si>
  <si>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</si>
  <si>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</si>
  <si>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</si>
  <si>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</si>
  <si>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</si>
  <si>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</si>
  <si>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</si>
  <si>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</si>
  <si>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</si>
  <si>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</si>
  <si>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</si>
  <si>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</si>
  <si>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</si>
  <si>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</si>
  <si>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</si>
  <si>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</si>
  <si>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</si>
  <si>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</si>
  <si>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</si>
  <si>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</si>
  <si>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</si>
  <si>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</si>
  <si>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</si>
  <si>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</si>
  <si>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</si>
  <si>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</si>
  <si>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</si>
  <si>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</si>
  <si>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</si>
  <si>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</si>
  <si>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</si>
  <si>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</si>
  <si>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</si>
  <si>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</si>
  <si>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</si>
  <si>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</si>
  <si>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</si>
  <si>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</si>
  <si>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</si>
  <si>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</si>
  <si>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</si>
  <si>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</si>
  <si>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</si>
  <si>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</si>
  <si>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</si>
  <si>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</si>
  <si>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</si>
  <si>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</si>
  <si>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</si>
  <si>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</si>
  <si>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</si>
  <si>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</si>
  <si>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</si>
  <si>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</si>
  <si>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</si>
  <si>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</si>
  <si>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</si>
  <si>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</si>
  <si>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</si>
  <si>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</si>
  <si>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</si>
  <si>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</si>
  <si>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</si>
  <si>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</si>
  <si>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</si>
  <si>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</si>
  <si>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</si>
  <si>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</si>
  <si>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</si>
  <si>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</si>
  <si>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</si>
  <si>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</si>
  <si>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</si>
  <si>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</si>
  <si>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</si>
  <si>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</si>
  <si>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</si>
  <si>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</si>
  <si>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</si>
  <si>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</si>
  <si>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</si>
  <si>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</si>
  <si>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</si>
  <si>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</si>
  <si>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</si>
  <si>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</si>
  <si>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</si>
  <si>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</si>
  <si>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</si>
  <si>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</si>
  <si>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</si>
  <si>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</si>
  <si>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</si>
  <si>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</si>
  <si>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</si>
  <si>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</si>
  <si>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</si>
  <si>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</si>
  <si>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</si>
  <si>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</si>
  <si>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</si>
  <si>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</si>
  <si>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</si>
  <si>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</si>
  <si>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</si>
  <si>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</si>
  <si>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</si>
  <si>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</si>
  <si>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</si>
  <si>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</si>
  <si>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</si>
  <si>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</si>
  <si>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</si>
  <si>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</si>
  <si>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</si>
  <si>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</si>
  <si>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</si>
  <si>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</si>
  <si>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</si>
  <si>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</si>
  <si>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</si>
  <si>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</si>
  <si>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</si>
  <si>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</si>
  <si>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</si>
  <si>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</si>
  <si>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</si>
  <si>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</si>
  <si>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</si>
  <si>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</si>
  <si>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</si>
  <si>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</si>
  <si>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</si>
  <si>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</si>
  <si>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</si>
  <si>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</si>
  <si>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</si>
  <si>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</si>
  <si>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</si>
  <si>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</si>
  <si>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</si>
  <si>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</si>
  <si>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</si>
  <si>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</si>
  <si>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</si>
  <si>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</si>
  <si>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</si>
  <si>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</si>
  <si>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</si>
  <si>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</si>
  <si>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</si>
  <si>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</si>
  <si>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</si>
  <si>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</si>
  <si>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</si>
  <si>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</si>
  <si>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</si>
  <si>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</si>
  <si>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</si>
  <si>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</si>
  <si>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</si>
  <si>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</si>
  <si>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</si>
  <si>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</si>
  <si>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</si>
  <si>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</si>
  <si>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</si>
  <si>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</si>
  <si>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</si>
  <si>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</si>
  <si>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</si>
  <si>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</si>
  <si>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</si>
  <si>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</si>
  <si>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</si>
  <si>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</si>
  <si>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</si>
  <si>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</si>
  <si>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</si>
  <si>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</si>
  <si>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</si>
  <si>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</si>
  <si>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</si>
  <si>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</si>
  <si>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</si>
  <si>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</si>
  <si>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</si>
  <si>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</si>
  <si>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</si>
  <si>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</si>
  <si>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</si>
  <si>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</si>
  <si>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</si>
  <si>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</si>
  <si>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</si>
  <si>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</si>
  <si>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</si>
  <si>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</si>
  <si>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</si>
  <si>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</si>
  <si>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</si>
  <si>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</si>
  <si>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</si>
  <si>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</si>
  <si>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</si>
  <si>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</si>
  <si>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</si>
  <si>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</si>
  <si>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</si>
  <si>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</si>
  <si>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</si>
  <si>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</si>
  <si>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</si>
  <si>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</si>
  <si>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</si>
  <si>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</si>
  <si>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</si>
  <si>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</si>
  <si>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</si>
  <si>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</si>
  <si>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</si>
  <si>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</si>
  <si>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</si>
  <si>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</si>
  <si>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</si>
  <si>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</si>
  <si>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</si>
  <si>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</si>
  <si>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</si>
  <si>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</si>
  <si>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</si>
  <si>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</si>
  <si>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</si>
  <si>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</si>
  <si>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</si>
  <si>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</si>
  <si>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</si>
  <si>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</si>
  <si>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</si>
  <si>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</si>
  <si>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</si>
  <si>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</si>
  <si>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</si>
  <si>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</si>
  <si>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</si>
  <si>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</si>
  <si>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</si>
  <si>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</si>
  <si>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</si>
  <si>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</si>
  <si>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</si>
  <si>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</si>
  <si>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</si>
  <si>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</si>
  <si>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</si>
  <si>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</si>
  <si>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</si>
  <si>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</si>
  <si>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</si>
  <si>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</si>
  <si>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</si>
  <si>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</si>
  <si>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</si>
  <si>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</si>
  <si>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</si>
  <si>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</si>
  <si>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</si>
  <si>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</si>
  <si>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</si>
  <si>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</si>
  <si>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</si>
  <si>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</si>
  <si>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</si>
  <si>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</si>
  <si>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</si>
  <si>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</si>
  <si>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</si>
  <si>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</si>
  <si>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</si>
  <si>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</si>
  <si>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其他：</t>
  </si>
  <si>
    <t>企业</t>
  </si>
  <si>
    <t>是</t>
  </si>
  <si>
    <t>地上</t>
  </si>
  <si>
    <t>独立商业</t>
  </si>
  <si>
    <t>【8图】房子新装修的，非常干净,长春宽城站前商铺租售/生意转让出租-长春58同城</t>
  </si>
  <si>
    <t>【3图】好门市，华正商场对面,长春宽城站前商铺租售/生意转让出租-长春58同城</t>
  </si>
  <si>
    <t>【4图】房东直租。客流稳，格局好。新装修，可办公,长春宽城站前商铺租售/生意转让出租-长春58同城</t>
  </si>
  <si>
    <t>【17图】站前四平路临街门市出租,长春宽城站前商铺租售/生意转让出租-长春58同城</t>
  </si>
  <si>
    <t>宽城杭州路商铺</t>
    <phoneticPr fontId="134" type="noConversion"/>
  </si>
  <si>
    <t>宽城华正批发商铺</t>
    <phoneticPr fontId="134" type="noConversion"/>
  </si>
  <si>
    <t>宽城西二条街商铺</t>
    <phoneticPr fontId="134" type="noConversion"/>
  </si>
  <si>
    <t>人民大街</t>
    <phoneticPr fontId="134" type="noConversion"/>
  </si>
  <si>
    <t>商业1层</t>
  </si>
  <si>
    <t>商业1层</t>
    <phoneticPr fontId="7" type="noConversion"/>
  </si>
  <si>
    <t>商业-1层</t>
    <phoneticPr fontId="7" type="noConversion"/>
  </si>
  <si>
    <t>商业2层</t>
    <phoneticPr fontId="7" type="noConversion"/>
  </si>
  <si>
    <t>商业3层</t>
  </si>
  <si>
    <t>商业4层</t>
  </si>
  <si>
    <t>商业5层</t>
  </si>
  <si>
    <t>商业6层</t>
  </si>
  <si>
    <t>商业7层</t>
  </si>
  <si>
    <t>成新度</t>
  </si>
  <si>
    <t>租金</t>
  </si>
  <si>
    <t>较好</t>
  </si>
  <si>
    <t>好</t>
  </si>
  <si>
    <t>收益法 (元)</t>
  </si>
  <si>
    <t>押一</t>
  </si>
  <si>
    <t>钢混</t>
  </si>
  <si>
    <t>非生产用房</t>
  </si>
  <si>
    <t>否</t>
  </si>
  <si>
    <t>一匡街</t>
    <phoneticPr fontId="134" type="noConversion"/>
  </si>
  <si>
    <t>西广小区</t>
    <phoneticPr fontId="134" type="noConversion"/>
  </si>
  <si>
    <t>北斗星城</t>
    <phoneticPr fontId="134" type="noConversion"/>
  </si>
  <si>
    <t>售价</t>
  </si>
  <si>
    <t>比较法-商业-售价</t>
  </si>
  <si>
    <t>比较法-商业-售价</t>
    <phoneticPr fontId="16" type="noConversion"/>
  </si>
  <si>
    <t>单套模式</t>
  </si>
  <si>
    <t>一般</t>
  </si>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</sst>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129059</xdr:colOff>
      <xdr:row>0</xdr:row>
      <xdr:rowOff>0</xdr:rowOff>
    </xdr:from>
    <xdr:to>
      <xdr:col>17</xdr:col>
      <xdr:colOff>123084</xdr:colOff>
      <xdr:row>18</xdr:row>
      <xdr:rowOff>28094</xdr:rowOff>
    </xdr:to>
    <xdr:pic>
      <xdr:nvPicPr>
        <xdr:cNvPr id="3" name="图片 2">
          <a:extLst>
            <a:ext uri="{FF2B5EF4-FFF2-40B4-BE49-F238E27FC236}">
              <a16:creationId xmlns:a16="http://schemas.microsoft.com/office/drawing/2014/main" id="{3605FD29-D5B6-0AE2-5D39-2AEF39D5D326}"/>
            </a:ext>
          </a:extLst>
        </xdr:cNvPr>
        <xdr:cNvPicPr>
          <a:picLocks noChangeAspect="1"/>
        </xdr:cNvPicPr>
      </xdr:nvPicPr>
      <xdr:blipFill>
        <a:blip xmlns:r="http://schemas.openxmlformats.org/officeDocument/2006/relationships" r:embed="rId1"/>
        <a:stretch>
          <a:fillRect/>
        </a:stretch>
      </xdr:blipFill>
      <xdr:spPr>
        <a:xfrm>
          <a:off x="6987059" y="0"/>
          <a:ext cx="4794625" cy="3114194"/>
        </a:xfrm>
        <a:prstGeom prst="rect">
          <a:avLst/>
        </a:prstGeom>
      </xdr:spPr>
    </xdr:pic>
    <xdr:clientData/>
  </xdr:twoCellAnchor>
  <xdr:twoCellAnchor editAs="oneCell">
    <xdr:from>
      <xdr:col>10</xdr:col>
      <xdr:colOff>173049</xdr:colOff>
      <xdr:row>16</xdr:row>
      <xdr:rowOff>38099</xdr:rowOff>
    </xdr:from>
    <xdr:to>
      <xdr:col>17</xdr:col>
      <xdr:colOff>568423</xdr:colOff>
      <xdr:row>28</xdr:row>
      <xdr:rowOff>66674</xdr:rowOff>
    </xdr:to>
    <xdr:pic>
      <xdr:nvPicPr>
        <xdr:cNvPr id="4" name="图片 3">
          <a:extLst>
            <a:ext uri="{FF2B5EF4-FFF2-40B4-BE49-F238E27FC236}">
              <a16:creationId xmlns:a16="http://schemas.microsoft.com/office/drawing/2014/main" id="{D2CFC4BB-DCC1-217D-B533-D61DC26C9713}"/>
            </a:ext>
          </a:extLst>
        </xdr:cNvPr>
        <xdr:cNvPicPr>
          <a:picLocks noChangeAspect="1"/>
        </xdr:cNvPicPr>
      </xdr:nvPicPr>
      <xdr:blipFill>
        <a:blip xmlns:r="http://schemas.openxmlformats.org/officeDocument/2006/relationships" r:embed="rId2"/>
        <a:stretch>
          <a:fillRect/>
        </a:stretch>
      </xdr:blipFill>
      <xdr:spPr>
        <a:xfrm>
          <a:off x="7516824" y="2781299"/>
          <a:ext cx="5195974" cy="2085975"/>
        </a:xfrm>
        <a:prstGeom prst="rect">
          <a:avLst/>
        </a:prstGeom>
      </xdr:spPr>
    </xdr:pic>
    <xdr:clientData/>
  </xdr:twoCellAnchor>
  <xdr:twoCellAnchor editAs="oneCell">
    <xdr:from>
      <xdr:col>10</xdr:col>
      <xdr:colOff>366320</xdr:colOff>
      <xdr:row>24</xdr:row>
      <xdr:rowOff>57149</xdr:rowOff>
    </xdr:from>
    <xdr:to>
      <xdr:col>17</xdr:col>
      <xdr:colOff>81562</xdr:colOff>
      <xdr:row>43</xdr:row>
      <xdr:rowOff>9018</xdr:rowOff>
    </xdr:to>
    <xdr:pic>
      <xdr:nvPicPr>
        <xdr:cNvPr id="5" name="图片 4">
          <a:extLst>
            <a:ext uri="{FF2B5EF4-FFF2-40B4-BE49-F238E27FC236}">
              <a16:creationId xmlns:a16="http://schemas.microsoft.com/office/drawing/2014/main" id="{368E3221-58F6-BE3A-2483-DE2FD497F531}"/>
            </a:ext>
          </a:extLst>
        </xdr:cNvPr>
        <xdr:cNvPicPr>
          <a:picLocks noChangeAspect="1"/>
        </xdr:cNvPicPr>
      </xdr:nvPicPr>
      <xdr:blipFill>
        <a:blip xmlns:r="http://schemas.openxmlformats.org/officeDocument/2006/relationships" r:embed="rId3"/>
        <a:stretch>
          <a:fillRect/>
        </a:stretch>
      </xdr:blipFill>
      <xdr:spPr>
        <a:xfrm>
          <a:off x="7710095" y="4171949"/>
          <a:ext cx="4515842" cy="3209419"/>
        </a:xfrm>
        <a:prstGeom prst="rect">
          <a:avLst/>
        </a:prstGeom>
      </xdr:spPr>
    </xdr:pic>
    <xdr:clientData/>
  </xdr:twoCellAnchor>
  <xdr:twoCellAnchor editAs="oneCell">
    <xdr:from>
      <xdr:col>10</xdr:col>
      <xdr:colOff>299646</xdr:colOff>
      <xdr:row>36</xdr:row>
      <xdr:rowOff>38100</xdr:rowOff>
    </xdr:from>
    <xdr:to>
      <xdr:col>17</xdr:col>
      <xdr:colOff>407480</xdr:colOff>
      <xdr:row>56</xdr:row>
      <xdr:rowOff>132876</xdr:rowOff>
    </xdr:to>
    <xdr:pic>
      <xdr:nvPicPr>
        <xdr:cNvPr id="6" name="图片 5">
          <a:extLst>
            <a:ext uri="{FF2B5EF4-FFF2-40B4-BE49-F238E27FC236}">
              <a16:creationId xmlns:a16="http://schemas.microsoft.com/office/drawing/2014/main" id="{06D27FF0-032F-B4D9-E5FC-577E4ED5BA5E}"/>
            </a:ext>
          </a:extLst>
        </xdr:cNvPr>
        <xdr:cNvPicPr>
          <a:picLocks noChangeAspect="1"/>
        </xdr:cNvPicPr>
      </xdr:nvPicPr>
      <xdr:blipFill>
        <a:blip xmlns:r="http://schemas.openxmlformats.org/officeDocument/2006/relationships" r:embed="rId4"/>
        <a:stretch>
          <a:fillRect/>
        </a:stretch>
      </xdr:blipFill>
      <xdr:spPr>
        <a:xfrm>
          <a:off x="7157646" y="6210300"/>
          <a:ext cx="4908434" cy="3523776"/>
        </a:xfrm>
        <a:prstGeom prst="rect">
          <a:avLst/>
        </a:prstGeom>
      </xdr:spPr>
    </xdr:pic>
    <xdr:clientData/>
  </xdr:twoCellAnchor>
  <xdr:twoCellAnchor editAs="oneCell">
    <xdr:from>
      <xdr:col>0</xdr:col>
      <xdr:colOff>0</xdr:colOff>
      <xdr:row>7</xdr:row>
      <xdr:rowOff>57150</xdr:rowOff>
    </xdr:from>
    <xdr:to>
      <xdr:col>9</xdr:col>
      <xdr:colOff>218215</xdr:colOff>
      <xdr:row>20</xdr:row>
      <xdr:rowOff>66395</xdr:rowOff>
    </xdr:to>
    <xdr:pic>
      <xdr:nvPicPr>
        <xdr:cNvPr id="7" name="图片 6">
          <a:extLst>
            <a:ext uri="{FF2B5EF4-FFF2-40B4-BE49-F238E27FC236}">
              <a16:creationId xmlns:a16="http://schemas.microsoft.com/office/drawing/2014/main" id="{176D47C6-9D5B-055F-22FD-DFA2565289DF}"/>
            </a:ext>
          </a:extLst>
        </xdr:cNvPr>
        <xdr:cNvPicPr>
          <a:picLocks noChangeAspect="1"/>
        </xdr:cNvPicPr>
      </xdr:nvPicPr>
      <xdr:blipFill>
        <a:blip xmlns:r="http://schemas.openxmlformats.org/officeDocument/2006/relationships" r:embed="rId5"/>
        <a:stretch>
          <a:fillRect/>
        </a:stretch>
      </xdr:blipFill>
      <xdr:spPr>
        <a:xfrm>
          <a:off x="0" y="1257300"/>
          <a:ext cx="6876190" cy="2238095"/>
        </a:xfrm>
        <a:prstGeom prst="rect">
          <a:avLst/>
        </a:prstGeom>
      </xdr:spPr>
    </xdr:pic>
    <xdr:clientData/>
  </xdr:twoCellAnchor>
  <xdr:twoCellAnchor editAs="oneCell">
    <xdr:from>
      <xdr:col>0</xdr:col>
      <xdr:colOff>0</xdr:colOff>
      <xdr:row>20</xdr:row>
      <xdr:rowOff>57150</xdr:rowOff>
    </xdr:from>
    <xdr:to>
      <xdr:col>6</xdr:col>
      <xdr:colOff>36454</xdr:colOff>
      <xdr:row>39</xdr:row>
      <xdr:rowOff>94724</xdr:rowOff>
    </xdr:to>
    <xdr:pic>
      <xdr:nvPicPr>
        <xdr:cNvPr id="8" name="图片 7">
          <a:extLst>
            <a:ext uri="{FF2B5EF4-FFF2-40B4-BE49-F238E27FC236}">
              <a16:creationId xmlns:a16="http://schemas.microsoft.com/office/drawing/2014/main" id="{10D6FF97-50F1-41A0-7C52-3FDFF3653483}"/>
            </a:ext>
          </a:extLst>
        </xdr:cNvPr>
        <xdr:cNvPicPr>
          <a:picLocks noChangeAspect="1"/>
        </xdr:cNvPicPr>
      </xdr:nvPicPr>
      <xdr:blipFill>
        <a:blip xmlns:r="http://schemas.openxmlformats.org/officeDocument/2006/relationships" r:embed="rId6"/>
        <a:stretch>
          <a:fillRect/>
        </a:stretch>
      </xdr:blipFill>
      <xdr:spPr>
        <a:xfrm>
          <a:off x="0" y="3486150"/>
          <a:ext cx="4637029" cy="3295124"/>
        </a:xfrm>
        <a:prstGeom prst="rect">
          <a:avLst/>
        </a:prstGeom>
      </xdr:spPr>
    </xdr:pic>
    <xdr:clientData/>
  </xdr:twoCellAnchor>
  <xdr:twoCellAnchor editAs="oneCell">
    <xdr:from>
      <xdr:col>0</xdr:col>
      <xdr:colOff>0</xdr:colOff>
      <xdr:row>38</xdr:row>
      <xdr:rowOff>76200</xdr:rowOff>
    </xdr:from>
    <xdr:to>
      <xdr:col>6</xdr:col>
      <xdr:colOff>119022</xdr:colOff>
      <xdr:row>57</xdr:row>
      <xdr:rowOff>9036</xdr:rowOff>
    </xdr:to>
    <xdr:pic>
      <xdr:nvPicPr>
        <xdr:cNvPr id="9" name="图片 8">
          <a:extLst>
            <a:ext uri="{FF2B5EF4-FFF2-40B4-BE49-F238E27FC236}">
              <a16:creationId xmlns:a16="http://schemas.microsoft.com/office/drawing/2014/main" id="{612C68F5-E1B7-FA4F-6576-F853C8F01F7E}"/>
            </a:ext>
          </a:extLst>
        </xdr:cNvPr>
        <xdr:cNvPicPr>
          <a:picLocks noChangeAspect="1"/>
        </xdr:cNvPicPr>
      </xdr:nvPicPr>
      <xdr:blipFill>
        <a:blip xmlns:r="http://schemas.openxmlformats.org/officeDocument/2006/relationships" r:embed="rId7"/>
        <a:stretch>
          <a:fillRect/>
        </a:stretch>
      </xdr:blipFill>
      <xdr:spPr>
        <a:xfrm>
          <a:off x="0" y="6591300"/>
          <a:ext cx="4719597" cy="3190386"/>
        </a:xfrm>
        <a:prstGeom prst="rect">
          <a:avLst/>
        </a:prstGeom>
      </xdr:spPr>
    </xdr:pic>
    <xdr:clientData/>
  </xdr:twoCellAnchor>
  <xdr:twoCellAnchor editAs="oneCell">
    <xdr:from>
      <xdr:col>0</xdr:col>
      <xdr:colOff>0</xdr:colOff>
      <xdr:row>56</xdr:row>
      <xdr:rowOff>85725</xdr:rowOff>
    </xdr:from>
    <xdr:to>
      <xdr:col>6</xdr:col>
      <xdr:colOff>101710</xdr:colOff>
      <xdr:row>76</xdr:row>
      <xdr:rowOff>8999</xdr:rowOff>
    </xdr:to>
    <xdr:pic>
      <xdr:nvPicPr>
        <xdr:cNvPr id="10" name="图片 9">
          <a:extLst>
            <a:ext uri="{FF2B5EF4-FFF2-40B4-BE49-F238E27FC236}">
              <a16:creationId xmlns:a16="http://schemas.microsoft.com/office/drawing/2014/main" id="{ADE226C2-CFA8-1F67-2B26-053A52AC80A7}"/>
            </a:ext>
          </a:extLst>
        </xdr:cNvPr>
        <xdr:cNvPicPr>
          <a:picLocks noChangeAspect="1"/>
        </xdr:cNvPicPr>
      </xdr:nvPicPr>
      <xdr:blipFill>
        <a:blip xmlns:r="http://schemas.openxmlformats.org/officeDocument/2006/relationships" r:embed="rId8"/>
        <a:stretch>
          <a:fillRect/>
        </a:stretch>
      </xdr:blipFill>
      <xdr:spPr>
        <a:xfrm>
          <a:off x="0" y="9686925"/>
          <a:ext cx="4702285" cy="3352274"/>
        </a:xfrm>
        <a:prstGeom prst="rect">
          <a:avLst/>
        </a:prstGeom>
      </xdr:spPr>
    </xdr:pic>
    <xdr:clientData/>
  </xdr:twoCellAnchor>
  <xdr:twoCellAnchor editAs="oneCell">
    <xdr:from>
      <xdr:col>0</xdr:col>
      <xdr:colOff>0</xdr:colOff>
      <xdr:row>76</xdr:row>
      <xdr:rowOff>40059</xdr:rowOff>
    </xdr:from>
    <xdr:to>
      <xdr:col>5</xdr:col>
      <xdr:colOff>523875</xdr:colOff>
      <xdr:row>93</xdr:row>
      <xdr:rowOff>170960</xdr:rowOff>
    </xdr:to>
    <xdr:pic>
      <xdr:nvPicPr>
        <xdr:cNvPr id="11" name="图片 10">
          <a:extLst>
            <a:ext uri="{FF2B5EF4-FFF2-40B4-BE49-F238E27FC236}">
              <a16:creationId xmlns:a16="http://schemas.microsoft.com/office/drawing/2014/main" id="{2993F5F3-00E4-9F8A-646B-AF32F71D3A63}"/>
            </a:ext>
          </a:extLst>
        </xdr:cNvPr>
        <xdr:cNvPicPr>
          <a:picLocks noChangeAspect="1"/>
        </xdr:cNvPicPr>
      </xdr:nvPicPr>
      <xdr:blipFill>
        <a:blip xmlns:r="http://schemas.openxmlformats.org/officeDocument/2006/relationships" r:embed="rId9"/>
        <a:stretch>
          <a:fillRect/>
        </a:stretch>
      </xdr:blipFill>
      <xdr:spPr>
        <a:xfrm>
          <a:off x="0" y="13070259"/>
          <a:ext cx="4438650" cy="3045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238125</xdr:colOff>
      <xdr:row>0</xdr:row>
      <xdr:rowOff>85725</xdr:rowOff>
    </xdr:from>
    <xdr:to>
      <xdr:col>19</xdr:col>
      <xdr:colOff>532677</xdr:colOff>
      <xdr:row>13</xdr:row>
      <xdr:rowOff>37827</xdr:rowOff>
    </xdr:to>
    <xdr:pic>
      <xdr:nvPicPr>
        <xdr:cNvPr id="2" name="图片 1">
          <a:extLst>
            <a:ext uri="{FF2B5EF4-FFF2-40B4-BE49-F238E27FC236}">
              <a16:creationId xmlns:a16="http://schemas.microsoft.com/office/drawing/2014/main" id="{B73AA760-6692-046E-BCC0-12AA6BDC4354}"/>
            </a:ext>
          </a:extLst>
        </xdr:cNvPr>
        <xdr:cNvPicPr>
          <a:picLocks noChangeAspect="1"/>
        </xdr:cNvPicPr>
      </xdr:nvPicPr>
      <xdr:blipFill>
        <a:blip xmlns:r="http://schemas.openxmlformats.org/officeDocument/2006/relationships" r:embed="rId1"/>
        <a:stretch>
          <a:fillRect/>
        </a:stretch>
      </xdr:blipFill>
      <xdr:spPr>
        <a:xfrm>
          <a:off x="7781925" y="85725"/>
          <a:ext cx="5780952" cy="2180952"/>
        </a:xfrm>
        <a:prstGeom prst="rect">
          <a:avLst/>
        </a:prstGeom>
      </xdr:spPr>
    </xdr:pic>
    <xdr:clientData/>
  </xdr:twoCellAnchor>
  <xdr:twoCellAnchor editAs="oneCell">
    <xdr:from>
      <xdr:col>0</xdr:col>
      <xdr:colOff>0</xdr:colOff>
      <xdr:row>0</xdr:row>
      <xdr:rowOff>0</xdr:rowOff>
    </xdr:from>
    <xdr:to>
      <xdr:col>10</xdr:col>
      <xdr:colOff>361048</xdr:colOff>
      <xdr:row>33</xdr:row>
      <xdr:rowOff>75483</xdr:rowOff>
    </xdr:to>
    <xdr:pic>
      <xdr:nvPicPr>
        <xdr:cNvPr id="3" name="图片 2">
          <a:extLst>
            <a:ext uri="{FF2B5EF4-FFF2-40B4-BE49-F238E27FC236}">
              <a16:creationId xmlns:a16="http://schemas.microsoft.com/office/drawing/2014/main" id="{33FB05B5-F80F-4873-AB3A-E1DDBB5F1CDF}"/>
            </a:ext>
          </a:extLst>
        </xdr:cNvPr>
        <xdr:cNvPicPr>
          <a:picLocks noChangeAspect="1"/>
        </xdr:cNvPicPr>
      </xdr:nvPicPr>
      <xdr:blipFill>
        <a:blip xmlns:r="http://schemas.openxmlformats.org/officeDocument/2006/relationships" r:embed="rId2"/>
        <a:stretch>
          <a:fillRect/>
        </a:stretch>
      </xdr:blipFill>
      <xdr:spPr>
        <a:xfrm>
          <a:off x="0" y="0"/>
          <a:ext cx="7219048" cy="5733333"/>
        </a:xfrm>
        <a:prstGeom prst="rect">
          <a:avLst/>
        </a:prstGeom>
      </xdr:spPr>
    </xdr:pic>
    <xdr:clientData/>
  </xdr:twoCellAnchor>
  <xdr:twoCellAnchor editAs="oneCell">
    <xdr:from>
      <xdr:col>0</xdr:col>
      <xdr:colOff>0</xdr:colOff>
      <xdr:row>32</xdr:row>
      <xdr:rowOff>85725</xdr:rowOff>
    </xdr:from>
    <xdr:to>
      <xdr:col>16</xdr:col>
      <xdr:colOff>379581</xdr:colOff>
      <xdr:row>44</xdr:row>
      <xdr:rowOff>104515</xdr:rowOff>
    </xdr:to>
    <xdr:pic>
      <xdr:nvPicPr>
        <xdr:cNvPr id="4" name="图片 3">
          <a:extLst>
            <a:ext uri="{FF2B5EF4-FFF2-40B4-BE49-F238E27FC236}">
              <a16:creationId xmlns:a16="http://schemas.microsoft.com/office/drawing/2014/main" id="{EAB6D35A-61B8-ED2A-B2EE-2A48CE1DAA1A}"/>
            </a:ext>
          </a:extLst>
        </xdr:cNvPr>
        <xdr:cNvPicPr>
          <a:picLocks noChangeAspect="1"/>
        </xdr:cNvPicPr>
      </xdr:nvPicPr>
      <xdr:blipFill>
        <a:blip xmlns:r="http://schemas.openxmlformats.org/officeDocument/2006/relationships" r:embed="rId3"/>
        <a:stretch>
          <a:fillRect/>
        </a:stretch>
      </xdr:blipFill>
      <xdr:spPr>
        <a:xfrm>
          <a:off x="0" y="5572125"/>
          <a:ext cx="11352381" cy="20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TargetMode="External"/><Relationship Id="rId2" Type="http://schemas.openxmlformats.org/officeDocument/2006/relationships/hyperlink" Target="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TargetMode="External"/><Relationship Id="rId1" Type="http://schemas.openxmlformats.org/officeDocument/2006/relationships/hyperlink" Target="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TargetMode="External"/><Relationship Id="rId5" Type="http://schemas.openxmlformats.org/officeDocument/2006/relationships/drawing" Target="../drawings/drawing1.xml"/><Relationship Id="rId4" Type="http://schemas.openxmlformats.org/officeDocument/2006/relationships/hyperlink" Target="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估价对象为房地产，为所有。根据《国有土地使用证》[]，估价对象（分摊）出让国有建设用地使用权面积为869平方米，建筑面积为7099.51平方米。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估价对象为房地产,属开发建设的，该项目尚在开发建设中。根据《国有土地使用证》[]，估价对象（分摊）出让国有建设用地使用权面积为869平方米，规划建筑面积为7099.51平方米。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2024年3月11日</v>
      </c>
    </row>
    <row r="13" spans="1:2">
      <c r="A13" s="1118" t="s">
        <v>529</v>
      </c>
      <c r="B13" s="1119"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7099.51</v>
      </c>
    </row>
    <row r="44" spans="1:2">
      <c r="A44" s="1118" t="s">
        <v>575</v>
      </c>
      <c r="B44" s="1119" t="str">
        <f>'预评函-3'!C2</f>
        <v>(分摊)土地面积</v>
      </c>
    </row>
    <row r="45" spans="1:2">
      <c r="A45" s="1118" t="s">
        <v>547</v>
      </c>
      <c r="B45" s="1119">
        <f>'预评函-3'!C4</f>
        <v>869</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2292</v>
      </c>
      <c r="C17" s="1441"/>
    </row>
    <row r="18" spans="1:3">
      <c r="A18" s="1440" t="s">
        <v>1046</v>
      </c>
      <c r="B18" s="1440" t="s">
        <v>2436</v>
      </c>
      <c r="C18" s="1441"/>
    </row>
    <row r="19" spans="1:3">
      <c r="A19" s="1440" t="s">
        <v>1047</v>
      </c>
      <c r="B19" s="1440" t="s">
        <v>3419</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6" t="s">
        <v>385</v>
      </c>
      <c r="C54" s="1444" t="s">
        <v>583</v>
      </c>
    </row>
    <row r="55" spans="1:4">
      <c r="A55" s="3184"/>
      <c r="B55" s="1446" t="s">
        <v>386</v>
      </c>
      <c r="C55" s="1444" t="s">
        <v>584</v>
      </c>
    </row>
    <row r="56" spans="1:4">
      <c r="A56" s="3184"/>
      <c r="B56" s="1446" t="s">
        <v>387</v>
      </c>
      <c r="C56" s="1444" t="s">
        <v>588</v>
      </c>
    </row>
    <row r="57" spans="1:4">
      <c r="A57" s="318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3" t="s">
        <v>2596</v>
      </c>
      <c r="J1" s="2782"/>
      <c r="K1" s="2782"/>
      <c r="L1" s="2782"/>
      <c r="M1" s="2782"/>
      <c r="N1" s="2967"/>
      <c r="O1" s="2967"/>
      <c r="P1" s="2967"/>
      <c r="Q1" s="2967"/>
      <c r="R1" s="2967"/>
    </row>
    <row r="2" spans="1:18">
      <c r="A2" s="2759"/>
      <c r="B2" s="2760"/>
      <c r="C2" s="2760"/>
      <c r="D2" s="2760"/>
      <c r="E2" s="2760"/>
      <c r="F2" s="2761"/>
      <c r="I2" s="3185" t="s">
        <v>2583</v>
      </c>
      <c r="J2" s="3185"/>
      <c r="K2" s="3185"/>
      <c r="L2" s="3185"/>
      <c r="M2" s="3185"/>
      <c r="N2" s="3185"/>
      <c r="O2" s="3185"/>
      <c r="P2" s="3185"/>
      <c r="Q2" s="3185"/>
      <c r="R2" s="3185"/>
    </row>
    <row r="3" spans="1:18">
      <c r="A3" s="2762" t="s">
        <v>2504</v>
      </c>
      <c r="B3" s="2763">
        <f>项目基本情况!D3</f>
        <v>45362</v>
      </c>
      <c r="C3" s="2765"/>
      <c r="D3" s="2765"/>
      <c r="E3" s="2765"/>
      <c r="F3" s="2761"/>
      <c r="I3" s="2777"/>
      <c r="J3" s="2777" t="s">
        <v>2587</v>
      </c>
      <c r="K3" s="2777" t="s">
        <v>2588</v>
      </c>
      <c r="L3" s="2777" t="s">
        <v>2589</v>
      </c>
      <c r="M3" s="2777" t="s">
        <v>2590</v>
      </c>
      <c r="N3" s="3134" t="s">
        <v>2591</v>
      </c>
      <c r="O3" s="3134" t="s">
        <v>2592</v>
      </c>
      <c r="P3" s="3134" t="s">
        <v>2593</v>
      </c>
      <c r="Q3" s="3134" t="s">
        <v>2594</v>
      </c>
      <c r="R3" s="3134"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2.77</v>
      </c>
      <c r="D5" s="2767">
        <f>IF(ISERROR(ROUND(POWER(1+E5,A5-C5)*(POWER(1+E5,C5)-1)/(POWER(1+E5,A5)-1),3)),0,ROUND(POWER(1+E5,A5-C5)*(POWER(1+E5,C5)-1)/(POWER(1+E5,A5)-1),4))</f>
        <v>0.13</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12.78</v>
      </c>
      <c r="D6" s="2767">
        <f>IF(ISERROR(ROUND(POWER(1+E6,A6-C6)*(POWER(1+E6,C6)-1)/(POWER(1+E6,A6)-1),3)),0,ROUND(POWER(1+E6,A6-C6)*(POWER(1+E6,C6)-1)/(POWER(1+E6,A6)-1),4))</f>
        <v>0.45879999999999999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32.79</v>
      </c>
      <c r="D7" s="2767">
        <f>IF(ISERROR(ROUND(POWER(1+E7,A7-C7)*(POWER(1+E7,C7)-1)/(POWER(1+E7,A7)-1),3)),0,ROUND(POWER(1+E7,A7-C7)*(POWER(1+E7,C7)-1)/(POWER(1+E7,A7)-1),4))</f>
        <v>0.77329999999999999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5" zoomScaleNormal="100" zoomScaleSheetLayoutView="85" workbookViewId="0">
      <selection activeCell="E14" sqref="E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93" t="str">
        <f>IF(B10="北京市","北京市",C10)&amp;F10&amp;IF(结果表!G1="在建","出让国有建设用地使用权及在建建筑物",IF(结果表!G1="土地","出让国有建设用地使用权",))&amp;B9&amp;"预评估"</f>
        <v>预评估</v>
      </c>
      <c r="C1" s="3194"/>
      <c r="D1" s="3194"/>
      <c r="E1" s="3194"/>
      <c r="F1" s="3194"/>
      <c r="G1" s="3194"/>
      <c r="H1" s="3194"/>
      <c r="I1" s="319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2168</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2169</v>
      </c>
      <c r="B3" s="2184"/>
      <c r="C3" s="2185" t="s">
        <v>2170</v>
      </c>
      <c r="D3" s="2184">
        <v>45362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196" t="s">
        <v>2176</v>
      </c>
      <c r="E8" s="2201"/>
      <c r="F8" s="2202"/>
      <c r="G8" s="2441"/>
      <c r="H8" s="2441"/>
      <c r="I8" s="2441"/>
      <c r="J8" s="2244"/>
      <c r="K8" s="2399"/>
      <c r="L8" s="2398"/>
      <c r="M8" s="2398"/>
      <c r="N8" s="2244"/>
      <c r="O8" s="1669"/>
      <c r="P8" s="2244"/>
      <c r="Q8" s="2244"/>
      <c r="R8" s="2244"/>
    </row>
    <row r="9" spans="1:30" ht="13.5" thickBot="1">
      <c r="A9" s="2203" t="s">
        <v>2177</v>
      </c>
      <c r="B9" s="2204"/>
      <c r="C9" s="2205"/>
      <c r="D9" s="3197"/>
      <c r="E9" s="2204"/>
      <c r="F9" s="2206"/>
      <c r="G9" s="2442"/>
      <c r="H9" s="2442"/>
      <c r="I9" s="2442"/>
      <c r="J9" s="2244"/>
      <c r="K9" s="2401"/>
      <c r="L9" s="2398"/>
      <c r="M9" s="2398"/>
      <c r="N9" s="2244"/>
      <c r="O9" s="1669"/>
      <c r="P9" s="2244"/>
      <c r="Q9" s="2244"/>
      <c r="R9" s="2244"/>
    </row>
    <row r="10" spans="1:30" ht="13.5" thickTop="1">
      <c r="A10" s="2207" t="s">
        <v>2178</v>
      </c>
      <c r="B10" s="2208" t="s">
        <v>3383</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3384</v>
      </c>
      <c r="C11" s="2213"/>
      <c r="D11" s="2214"/>
      <c r="E11" s="2181"/>
      <c r="F11" s="2181"/>
      <c r="G11" s="2181"/>
      <c r="H11" s="2181"/>
      <c r="I11" s="2181"/>
      <c r="J11" s="2801"/>
      <c r="K11" s="2398"/>
      <c r="L11" s="2398"/>
      <c r="M11" s="2398"/>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800" t="s">
        <v>2579</v>
      </c>
      <c r="J12" s="2802"/>
      <c r="K12" s="2398"/>
      <c r="L12" s="2398"/>
      <c r="M12" s="2244"/>
      <c r="N12" s="1669"/>
      <c r="O12" s="2244"/>
      <c r="P12" s="2244"/>
      <c r="Q12" s="2244"/>
      <c r="AD12" s="1617"/>
    </row>
    <row r="13" spans="1:30">
      <c r="A13" s="3120" t="s">
        <v>3335</v>
      </c>
      <c r="B13" s="2217" t="s">
        <v>2189</v>
      </c>
      <c r="C13" s="802"/>
      <c r="D13" s="802">
        <v>48816</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1"/>
      <c r="B15" s="2219" t="s">
        <v>2191</v>
      </c>
      <c r="C15" s="2220" t="str">
        <f>IF(A13="出让",IF(C13="","",ROUNDDOWN(MIN((C13-$D$3)/365,C14),2)),C14)</f>
        <v/>
      </c>
      <c r="D15" s="2220">
        <f>IF(A13="出让",IF(D13="","",ROUNDDOWN(MIN((D13-$D$3)/365,D14),2)),D14)</f>
        <v>9.4600000000000009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03"/>
      <c r="C16" s="3204"/>
      <c r="D16" s="3205"/>
      <c r="E16" s="2221" t="s">
        <v>2193</v>
      </c>
      <c r="F16" s="3206"/>
      <c r="G16" s="3207"/>
      <c r="H16" s="3207"/>
      <c r="I16" s="3208"/>
      <c r="J16" s="2244"/>
      <c r="K16" s="2402"/>
      <c r="L16" s="1669"/>
      <c r="M16" s="1669"/>
      <c r="N16" s="2244"/>
      <c r="O16" s="1669"/>
      <c r="P16" s="2244"/>
      <c r="Q16" s="2244"/>
      <c r="R16" s="2244"/>
    </row>
    <row r="17" spans="1:28">
      <c r="A17" s="304" t="s">
        <v>2194</v>
      </c>
      <c r="B17" s="293" t="s">
        <v>2195</v>
      </c>
      <c r="C17" s="8">
        <f>'数据-汇总表'!E3</f>
        <v>7099.51</v>
      </c>
      <c r="D17" s="1255" t="s">
        <v>2196</v>
      </c>
      <c r="E17" s="3209" t="s">
        <v>2197</v>
      </c>
      <c r="F17" s="3210"/>
      <c r="G17" s="3210"/>
      <c r="H17" s="3210"/>
      <c r="I17" s="3211"/>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869</v>
      </c>
      <c r="D18" s="1028" t="s">
        <v>2200</v>
      </c>
      <c r="E18" s="3212" t="s">
        <v>2201</v>
      </c>
      <c r="F18" s="3213"/>
      <c r="G18" s="3213"/>
      <c r="H18" s="3213"/>
      <c r="I18" s="3214"/>
      <c r="J18" s="2244"/>
      <c r="K18" s="2403"/>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199" t="s">
        <v>2205</v>
      </c>
      <c r="C20" s="3200"/>
      <c r="D20" s="3201" t="s">
        <v>2206</v>
      </c>
      <c r="E20" s="3202"/>
      <c r="F20" s="2429" t="s">
        <v>1056</v>
      </c>
      <c r="G20" s="2441"/>
      <c r="H20" s="2441"/>
      <c r="I20" s="2441"/>
      <c r="J20" s="2244"/>
      <c r="K20" s="319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19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19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87" t="s">
        <v>2213</v>
      </c>
      <c r="B27" s="311"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87"/>
      <c r="B28" s="293"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87"/>
      <c r="B29" s="293"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88"/>
      <c r="B30" s="293" t="s">
        <v>2217</v>
      </c>
      <c r="C30" s="3189"/>
      <c r="D30" s="3190"/>
      <c r="E30" s="2441"/>
      <c r="F30" s="2441"/>
      <c r="G30" s="2441"/>
      <c r="H30" s="2441"/>
      <c r="I30" s="2441"/>
      <c r="J30" s="2244"/>
      <c r="K30" s="2401"/>
      <c r="L30" s="2398"/>
      <c r="M30" s="2398"/>
      <c r="N30" s="2244"/>
      <c r="O30" s="1669"/>
      <c r="P30" s="2244"/>
      <c r="Q30" s="2244"/>
      <c r="R30" s="2244"/>
      <c r="S30" s="2244"/>
      <c r="T30" s="2244"/>
      <c r="U30" s="2244"/>
      <c r="V30" s="2244"/>
    </row>
    <row r="31" spans="1:28">
      <c r="A31" s="3191"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19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19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2219</v>
      </c>
      <c r="B34" s="1869"/>
      <c r="C34" s="1869"/>
      <c r="D34" s="1869"/>
      <c r="E34" s="1869"/>
      <c r="F34" s="1869"/>
      <c r="G34" s="1869"/>
      <c r="H34" s="1869"/>
      <c r="I34" s="2441"/>
      <c r="J34" s="2244"/>
      <c r="K34" s="8">
        <f>COUNTIF(B34:H34,"——")</f>
        <v>0</v>
      </c>
      <c r="L34" s="314" t="s">
        <v>2220</v>
      </c>
      <c r="M34" s="314" t="s">
        <v>2221</v>
      </c>
      <c r="N34" s="314" t="s">
        <v>2222</v>
      </c>
      <c r="O34" s="314" t="s">
        <v>2223</v>
      </c>
      <c r="P34" s="314" t="s">
        <v>2224</v>
      </c>
      <c r="Q34" s="314" t="s">
        <v>2225</v>
      </c>
      <c r="R34" s="314" t="s">
        <v>2226</v>
      </c>
      <c r="S34" s="3186" t="s">
        <v>2227</v>
      </c>
      <c r="T34" s="314" t="str">
        <f>NUMBERSTRING(7-K34,1)&amp;"通"</f>
        <v>七通</v>
      </c>
      <c r="U34" s="2244"/>
      <c r="V34" s="2244"/>
    </row>
    <row r="35" spans="1:30">
      <c r="A35" s="2235"/>
      <c r="B35" s="3186" t="s">
        <v>2228</v>
      </c>
      <c r="C35" s="3186"/>
      <c r="D35" s="3186"/>
      <c r="E35" s="318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186"/>
      <c r="T35" s="137" t="str">
        <f>IF(T34="一通",L35,IF(T34="二通",M35,IF(T34="三通",N35,IF(T34="四通",O35,IF(T34="五通",P35,IF(T34="六通",Q35,R35))))))</f>
        <v>、、、、、、</v>
      </c>
      <c r="U35" s="2244"/>
      <c r="V35" s="2244"/>
    </row>
    <row r="36" spans="1:30">
      <c r="A36" s="2182"/>
      <c r="B36" s="8" t="s">
        <v>2184</v>
      </c>
      <c r="C36" s="8" t="s">
        <v>2185</v>
      </c>
      <c r="D36" s="8" t="s">
        <v>2183</v>
      </c>
      <c r="E36" s="8" t="s">
        <v>2188</v>
      </c>
      <c r="F36" s="2800" t="s">
        <v>2582</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869</v>
      </c>
      <c r="B3" s="11">
        <f>IF(C3="否",G5-AT5,G5)</f>
        <v>7099.51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7099.51</v>
      </c>
      <c r="H5" s="13">
        <f t="shared" ref="H5:AT5" si="0">SUM(H13:H656)</f>
        <v>7099.51</v>
      </c>
      <c r="I5" s="13">
        <f t="shared" si="0"/>
        <v>7099.51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7099.51</v>
      </c>
      <c r="BA5" s="15">
        <f t="shared" si="1"/>
        <v>7099.51</v>
      </c>
      <c r="BB5" s="15">
        <f t="shared" si="1"/>
        <v>7099.51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869</v>
      </c>
      <c r="F6" s="13" t="s">
        <v>0</v>
      </c>
      <c r="G6" s="13" t="s">
        <v>1</v>
      </c>
      <c r="H6" s="17">
        <f>SUMIF(I$12:AB$12,"总值",I6:AB6)</f>
        <v>869</v>
      </c>
      <c r="I6" s="13">
        <f t="shared" ref="I6:AB6" si="2">ROUND($A$3*I5/$B$3,2)</f>
        <v>869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869</v>
      </c>
      <c r="AZ6" s="13" t="s">
        <v>2</v>
      </c>
      <c r="BA6" s="13">
        <f>ROUND($AY$6*BA5/$AZ$5,2)</f>
        <v>869</v>
      </c>
      <c r="BB6" s="13">
        <f>ROUND($AY$6*BB5/$AZ$5,2)</f>
        <v>869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3387</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独立商业</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3385</v>
      </c>
      <c r="E13" s="13">
        <f>IF($C$3="是",ROUND($A$3*G13/$B$3,2),ROUND($A$3*(G13-AT13)/$B$3,2))</f>
        <v>869</v>
      </c>
      <c r="F13" s="29"/>
      <c r="G13" s="30">
        <f>H13+AC13+AT13</f>
        <v>7099.51</v>
      </c>
      <c r="H13" s="17">
        <f>SUMIF(I$12:AB$12,"总值",I13:AB13)</f>
        <v>7099.51</v>
      </c>
      <c r="I13" s="1513">
        <v>7099.51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869</v>
      </c>
      <c r="AZ13" s="13">
        <f>BA13+BL13</f>
        <v>7099.51</v>
      </c>
      <c r="BA13" s="13">
        <f>SUM(BB13:BK13)</f>
        <v>7099.51</v>
      </c>
      <c r="BB13" s="13">
        <f>IF($D13="是",I13-J13,0)</f>
        <v>7099.51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4" t="s">
        <v>1131</v>
      </c>
      <c r="B2" s="3224"/>
      <c r="C2" s="3224"/>
      <c r="D2" s="747" t="s">
        <v>1107</v>
      </c>
      <c r="E2" s="1522" t="s">
        <v>1108</v>
      </c>
      <c r="F2" s="2438"/>
      <c r="G2" s="2431"/>
      <c r="H2" s="2432"/>
      <c r="I2" s="2145" t="s">
        <v>1132</v>
      </c>
      <c r="J2" s="2438"/>
      <c r="K2" s="2438"/>
      <c r="L2" s="2438"/>
      <c r="M2" s="2438"/>
      <c r="N2" s="2439"/>
      <c r="O2" s="2438"/>
      <c r="P2" s="2438"/>
    </row>
    <row r="3" spans="1:16" ht="15.75" thickBot="1">
      <c r="A3" s="3225" t="s">
        <v>1105</v>
      </c>
      <c r="B3" s="3225"/>
      <c r="C3" s="3225"/>
      <c r="D3" s="41">
        <f>'数据-基础表'!AY6</f>
        <v>869</v>
      </c>
      <c r="E3" s="41">
        <f>'数据-基础表'!AZ5</f>
        <v>7099.51</v>
      </c>
      <c r="F3" s="2438"/>
      <c r="G3" s="42"/>
      <c r="H3" s="43" t="s">
        <v>1106</v>
      </c>
      <c r="I3" s="801">
        <f>ROUND('数据-基础表'!B3/'数据-基础表'!A3,2)</f>
        <v>8.17</v>
      </c>
      <c r="J3" s="2438"/>
      <c r="K3" s="2438"/>
      <c r="L3" s="2438"/>
      <c r="M3" s="2438"/>
      <c r="N3" s="2439"/>
      <c r="O3" s="2438"/>
      <c r="P3" s="2438"/>
    </row>
    <row r="4" spans="1:16" ht="15">
      <c r="A4" s="3226"/>
      <c r="B4" s="3227"/>
      <c r="C4" s="3228"/>
      <c r="D4" s="1523" t="s">
        <v>1107</v>
      </c>
      <c r="E4" s="1524" t="s">
        <v>1108</v>
      </c>
      <c r="F4" s="2438"/>
      <c r="G4" s="2433" t="s">
        <v>1133</v>
      </c>
      <c r="H4" s="43" t="s">
        <v>1113</v>
      </c>
      <c r="I4" s="801">
        <f>ROUND(SUMIF('数据-基础表'!I9:AS9,"地上",'数据-基础表'!I5:AS5)/'数据-基础表'!A3,2)</f>
        <v>8.17</v>
      </c>
      <c r="J4" s="2438"/>
      <c r="K4" s="2438"/>
      <c r="L4" s="2438"/>
      <c r="M4" s="2438"/>
      <c r="N4" s="2439"/>
      <c r="O4" s="2438"/>
      <c r="P4" s="2438"/>
    </row>
    <row r="5" spans="1:16">
      <c r="A5" s="42" t="s">
        <v>1109</v>
      </c>
      <c r="B5" s="3229" t="s">
        <v>1110</v>
      </c>
      <c r="C5" s="3229"/>
      <c r="D5" s="43">
        <f>ROUND($D$3*E5/$E$3,2)</f>
        <v>0</v>
      </c>
      <c r="E5" s="44">
        <f>SUMIF('数据-基础表'!$11:$11,"住宅",'数据-基础表'!$5:$5)</f>
        <v>0</v>
      </c>
      <c r="F5" s="2438"/>
      <c r="G5" s="42"/>
      <c r="H5" s="43" t="s">
        <v>1106</v>
      </c>
      <c r="I5" s="801">
        <f>ROUND(E31/D31,2)</f>
        <v>8.17</v>
      </c>
      <c r="J5" s="2438"/>
      <c r="K5" s="2438"/>
      <c r="L5" s="2438"/>
      <c r="M5" s="2438"/>
      <c r="N5" s="2438"/>
      <c r="O5" s="2438"/>
      <c r="P5" s="2438"/>
    </row>
    <row r="6" spans="1:16" ht="15" thickBot="1">
      <c r="A6" s="1526"/>
      <c r="B6" s="3229" t="s">
        <v>1111</v>
      </c>
      <c r="C6" s="3229"/>
      <c r="D6" s="43">
        <f>ROUND($D$3*E6/$E$3,2)</f>
        <v>869</v>
      </c>
      <c r="E6" s="44">
        <f>E3-E5</f>
        <v>7099.51</v>
      </c>
      <c r="F6" s="2438"/>
      <c r="G6" s="1528" t="s">
        <v>1112</v>
      </c>
      <c r="H6" s="45" t="s">
        <v>1113</v>
      </c>
      <c r="I6" s="2434">
        <f>ROUND(F31/D31,2)</f>
        <v>8.17</v>
      </c>
      <c r="J6" s="2438"/>
      <c r="K6" s="2438"/>
      <c r="L6" s="2438"/>
      <c r="M6" s="2438"/>
      <c r="N6" s="2438"/>
      <c r="O6" s="2438"/>
      <c r="P6" s="2438"/>
    </row>
    <row r="7" spans="1:16" ht="15.75" thickBot="1">
      <c r="A7" s="3221"/>
      <c r="B7" s="3222"/>
      <c r="C7" s="3223"/>
      <c r="D7" s="1523" t="s">
        <v>1107</v>
      </c>
      <c r="E7" s="1527" t="s">
        <v>1114</v>
      </c>
      <c r="F7" s="2438"/>
      <c r="G7" s="2435" t="s">
        <v>1115</v>
      </c>
      <c r="H7" s="94"/>
      <c r="I7" s="2436"/>
      <c r="J7" s="2438"/>
      <c r="K7" s="2438"/>
      <c r="L7" s="2438"/>
      <c r="M7" s="2438"/>
      <c r="N7" s="2438"/>
      <c r="O7" s="2438"/>
      <c r="P7" s="2438"/>
    </row>
    <row r="8" spans="1:16">
      <c r="A8" s="42" t="s">
        <v>1116</v>
      </c>
      <c r="B8" s="45" t="s">
        <v>1117</v>
      </c>
      <c r="C8" s="43" t="s">
        <v>1118</v>
      </c>
      <c r="D8" s="43">
        <f t="shared" ref="D8:D15" si="0">ROUND($D$3*E8/$E$3,2)</f>
        <v>869</v>
      </c>
      <c r="E8" s="46">
        <f>SUMIF('数据-基础表'!BB10:BK10,"地上",'数据-基础表'!BB5:BK5)</f>
        <v>7099.51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869</v>
      </c>
      <c r="E16" s="48">
        <f>SUM(E8:E15)</f>
        <v>7099.51</v>
      </c>
      <c r="F16" s="2438"/>
      <c r="G16" s="2438"/>
      <c r="H16" s="1530" t="s">
        <v>1135</v>
      </c>
      <c r="I16" s="1531"/>
      <c r="J16" s="1070"/>
      <c r="K16" s="3218" t="s">
        <v>1135</v>
      </c>
      <c r="L16" s="3219"/>
      <c r="M16" s="3219"/>
      <c r="N16" s="3219"/>
      <c r="O16" s="3219"/>
      <c r="P16" s="3220"/>
    </row>
    <row r="17" spans="1:19" ht="15">
      <c r="A17" s="1532" t="s">
        <v>1136</v>
      </c>
      <c r="B17" s="1533" t="s">
        <v>1137</v>
      </c>
      <c r="C17" s="1534" t="s">
        <v>1138</v>
      </c>
      <c r="D17" s="1535" t="s">
        <v>1126</v>
      </c>
      <c r="E17" s="1536" t="s">
        <v>1127</v>
      </c>
      <c r="F17" s="1537"/>
      <c r="G17" s="1538"/>
      <c r="H17" s="1539" t="s">
        <v>1139</v>
      </c>
      <c r="I17" s="1540" t="s">
        <v>1124</v>
      </c>
      <c r="J17" s="1070"/>
      <c r="K17" s="3215" t="s">
        <v>1140</v>
      </c>
      <c r="L17" s="3216"/>
      <c r="M17" s="3217"/>
      <c r="N17" s="3215" t="s">
        <v>1141</v>
      </c>
      <c r="O17" s="3216"/>
      <c r="P17" s="3217"/>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3397</v>
      </c>
      <c r="D19" s="43">
        <f>ROUND($D$3*E19/$E$3,2)</f>
        <v>108.63</v>
      </c>
      <c r="E19" s="51">
        <f t="shared" ref="E19:E26" si="1">SUM(F19:G19)</f>
        <v>887.44</v>
      </c>
      <c r="F19" s="2557">
        <f>ROUND('数据-基础表'!I13/8,2)</f>
        <v>887.44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108.63</v>
      </c>
      <c r="S19" s="51">
        <f t="shared" si="5"/>
        <v>887.44</v>
      </c>
    </row>
    <row r="20" spans="1:19">
      <c r="A20" s="1548"/>
      <c r="B20" s="45" t="s">
        <v>1153</v>
      </c>
      <c r="C20" s="3115" t="s">
        <v>3398</v>
      </c>
      <c r="D20" s="43">
        <f t="shared" ref="D20:D26" si="6">ROUND($D$3*E20/$E$3,2)</f>
        <v>108.63</v>
      </c>
      <c r="E20" s="51">
        <f t="shared" si="1"/>
        <v>887.44</v>
      </c>
      <c r="F20" s="2557">
        <f t="shared" ref="F20:F25" si="7">F19</f>
        <v>887.44</v>
      </c>
      <c r="G20" s="1242"/>
      <c r="H20" s="636">
        <f t="shared" ref="H20:H26" si="8">ROUND($D$3*I20/$E$3,2)</f>
        <v>0</v>
      </c>
      <c r="I20" s="46">
        <f t="shared" si="2"/>
        <v>0</v>
      </c>
      <c r="J20" s="1070"/>
      <c r="K20" s="636">
        <f t="shared" si="3"/>
        <v>0</v>
      </c>
      <c r="L20" s="43">
        <f t="shared" si="4"/>
        <v>0</v>
      </c>
      <c r="M20" s="46">
        <f t="shared" ref="M20:M26" si="9">K20+L20</f>
        <v>0</v>
      </c>
      <c r="N20" s="1549"/>
      <c r="O20" s="1550"/>
      <c r="P20" s="46">
        <f t="shared" ref="P20:P26" si="10">N20+O20</f>
        <v>0</v>
      </c>
      <c r="R20" s="43">
        <f t="shared" si="5"/>
        <v>108.63</v>
      </c>
      <c r="S20" s="51">
        <f t="shared" si="5"/>
        <v>887.44</v>
      </c>
    </row>
    <row r="21" spans="1:19">
      <c r="A21" s="1548"/>
      <c r="B21" s="45" t="s">
        <v>1153</v>
      </c>
      <c r="C21" s="3115" t="s">
        <v>3399</v>
      </c>
      <c r="D21" s="43">
        <f t="shared" si="6"/>
        <v>108.63</v>
      </c>
      <c r="E21" s="51">
        <f t="shared" si="1"/>
        <v>887.44</v>
      </c>
      <c r="F21" s="2557">
        <f t="shared" si="7"/>
        <v>887.44</v>
      </c>
      <c r="G21" s="1242"/>
      <c r="H21" s="636">
        <f t="shared" si="8"/>
        <v>0</v>
      </c>
      <c r="I21" s="46">
        <f t="shared" si="2"/>
        <v>0</v>
      </c>
      <c r="J21" s="1070"/>
      <c r="K21" s="636">
        <f t="shared" si="3"/>
        <v>0</v>
      </c>
      <c r="L21" s="43">
        <f t="shared" si="4"/>
        <v>0</v>
      </c>
      <c r="M21" s="46">
        <f t="shared" si="9"/>
        <v>0</v>
      </c>
      <c r="N21" s="1549"/>
      <c r="O21" s="1550"/>
      <c r="P21" s="46">
        <f t="shared" si="10"/>
        <v>0</v>
      </c>
      <c r="R21" s="43">
        <f t="shared" si="5"/>
        <v>108.63</v>
      </c>
      <c r="S21" s="51">
        <f t="shared" si="5"/>
        <v>887.44</v>
      </c>
    </row>
    <row r="22" spans="1:19">
      <c r="A22" s="1548"/>
      <c r="B22" s="45" t="s">
        <v>1153</v>
      </c>
      <c r="C22" s="3115" t="s">
        <v>3400</v>
      </c>
      <c r="D22" s="43">
        <f t="shared" si="6"/>
        <v>108.63</v>
      </c>
      <c r="E22" s="51">
        <f t="shared" si="1"/>
        <v>887.44</v>
      </c>
      <c r="F22" s="2558">
        <f t="shared" si="7"/>
        <v>887.44</v>
      </c>
      <c r="G22" s="2559"/>
      <c r="H22" s="636">
        <f t="shared" si="8"/>
        <v>0</v>
      </c>
      <c r="I22" s="46">
        <f t="shared" si="2"/>
        <v>0</v>
      </c>
      <c r="J22" s="1070"/>
      <c r="K22" s="636">
        <f t="shared" si="3"/>
        <v>0</v>
      </c>
      <c r="L22" s="43">
        <f t="shared" si="4"/>
        <v>0</v>
      </c>
      <c r="M22" s="46">
        <f t="shared" si="9"/>
        <v>0</v>
      </c>
      <c r="N22" s="1549"/>
      <c r="O22" s="1550"/>
      <c r="P22" s="46">
        <f t="shared" si="10"/>
        <v>0</v>
      </c>
      <c r="R22" s="43">
        <f t="shared" si="5"/>
        <v>108.63</v>
      </c>
      <c r="S22" s="51">
        <f t="shared" si="5"/>
        <v>887.44</v>
      </c>
    </row>
    <row r="23" spans="1:19">
      <c r="A23" s="1548"/>
      <c r="B23" s="45" t="s">
        <v>1153</v>
      </c>
      <c r="C23" s="3115" t="s">
        <v>3401</v>
      </c>
      <c r="D23" s="43">
        <f>ROUND($D$3*E23/$E$3,2)</f>
        <v>108.63</v>
      </c>
      <c r="E23" s="51">
        <f>SUM(F23:G23)</f>
        <v>887.44</v>
      </c>
      <c r="F23" s="2558">
        <f t="shared" si="7"/>
        <v>887.44</v>
      </c>
      <c r="G23" s="2559"/>
      <c r="H23" s="636">
        <f>ROUND($D$3*I23/$E$3,2)</f>
        <v>0</v>
      </c>
      <c r="I23" s="46">
        <f t="shared" si="2"/>
        <v>0</v>
      </c>
      <c r="J23" s="1070"/>
      <c r="K23" s="636">
        <f t="shared" si="3"/>
        <v>0</v>
      </c>
      <c r="L23" s="43">
        <f t="shared" si="4"/>
        <v>0</v>
      </c>
      <c r="M23" s="46">
        <f t="shared" si="9"/>
        <v>0</v>
      </c>
      <c r="N23" s="1549"/>
      <c r="O23" s="1550"/>
      <c r="P23" s="46">
        <f t="shared" si="10"/>
        <v>0</v>
      </c>
      <c r="R23" s="43">
        <f t="shared" si="5"/>
        <v>108.63</v>
      </c>
      <c r="S23" s="51">
        <f t="shared" si="5"/>
        <v>887.44</v>
      </c>
    </row>
    <row r="24" spans="1:19">
      <c r="A24" s="1548"/>
      <c r="B24" s="45" t="s">
        <v>1153</v>
      </c>
      <c r="C24" s="3115" t="s">
        <v>3402</v>
      </c>
      <c r="D24" s="43">
        <f>ROUND($D$3*E24/$E$3,2)</f>
        <v>108.63</v>
      </c>
      <c r="E24" s="51">
        <f>SUM(F24:G24)</f>
        <v>887.44</v>
      </c>
      <c r="F24" s="2558">
        <f t="shared" si="7"/>
        <v>887.44</v>
      </c>
      <c r="G24" s="2559"/>
      <c r="H24" s="636">
        <f>ROUND($D$3*I24/$E$3,2)</f>
        <v>0</v>
      </c>
      <c r="I24" s="46">
        <f t="shared" si="2"/>
        <v>0</v>
      </c>
      <c r="J24" s="1070"/>
      <c r="K24" s="636">
        <f t="shared" si="3"/>
        <v>0</v>
      </c>
      <c r="L24" s="43">
        <f t="shared" si="4"/>
        <v>0</v>
      </c>
      <c r="M24" s="46">
        <f t="shared" si="9"/>
        <v>0</v>
      </c>
      <c r="N24" s="1549"/>
      <c r="O24" s="1550"/>
      <c r="P24" s="46">
        <f t="shared" si="10"/>
        <v>0</v>
      </c>
      <c r="R24" s="43">
        <f t="shared" si="5"/>
        <v>108.63</v>
      </c>
      <c r="S24" s="51">
        <f t="shared" si="5"/>
        <v>887.44</v>
      </c>
    </row>
    <row r="25" spans="1:19">
      <c r="A25" s="1548"/>
      <c r="B25" s="45" t="s">
        <v>1153</v>
      </c>
      <c r="C25" s="3115" t="s">
        <v>3403</v>
      </c>
      <c r="D25" s="43">
        <f t="shared" si="6"/>
        <v>108.63</v>
      </c>
      <c r="E25" s="51">
        <f t="shared" si="1"/>
        <v>887.44</v>
      </c>
      <c r="F25" s="2558">
        <f t="shared" si="7"/>
        <v>887.44</v>
      </c>
      <c r="G25" s="2559"/>
      <c r="H25" s="42">
        <f t="shared" si="8"/>
        <v>0</v>
      </c>
      <c r="I25" s="46">
        <f t="shared" si="2"/>
        <v>0</v>
      </c>
      <c r="J25" s="1070"/>
      <c r="K25" s="636">
        <f t="shared" si="3"/>
        <v>0</v>
      </c>
      <c r="L25" s="43">
        <f t="shared" si="4"/>
        <v>0</v>
      </c>
      <c r="M25" s="46">
        <f t="shared" si="9"/>
        <v>0</v>
      </c>
      <c r="N25" s="1549"/>
      <c r="O25" s="1550"/>
      <c r="P25" s="46">
        <f t="shared" si="10"/>
        <v>0</v>
      </c>
      <c r="R25" s="43">
        <f t="shared" si="5"/>
        <v>108.63</v>
      </c>
      <c r="S25" s="51">
        <f t="shared" si="5"/>
        <v>887.44</v>
      </c>
    </row>
    <row r="26" spans="1:19">
      <c r="A26" s="1548"/>
      <c r="B26" s="45" t="s">
        <v>1153</v>
      </c>
      <c r="C26" s="3115" t="s">
        <v>3404</v>
      </c>
      <c r="D26" s="43">
        <f t="shared" si="6"/>
        <v>108.62</v>
      </c>
      <c r="E26" s="51">
        <f t="shared" si="1"/>
        <v>887.42999999999847</v>
      </c>
      <c r="F26" s="2558">
        <f>'数据-基础表'!I13-'数据-汇总表'!F19-'数据-汇总表'!F20-'数据-汇总表'!F21-'数据-汇总表'!F22-'数据-汇总表'!F23-'数据-汇总表'!F24-'数据-汇总表'!F25</f>
        <v>887.42999999999847</v>
      </c>
      <c r="G26" s="2559"/>
      <c r="H26" s="42">
        <f t="shared" si="8"/>
        <v>0</v>
      </c>
      <c r="I26" s="46">
        <f t="shared" si="2"/>
        <v>0</v>
      </c>
      <c r="J26" s="1070"/>
      <c r="K26" s="42">
        <f t="shared" si="3"/>
        <v>0</v>
      </c>
      <c r="L26" s="45">
        <f t="shared" si="4"/>
        <v>0</v>
      </c>
      <c r="M26" s="48">
        <f t="shared" si="9"/>
        <v>0</v>
      </c>
      <c r="N26" s="1551"/>
      <c r="O26" s="1552"/>
      <c r="P26" s="48">
        <f t="shared" si="10"/>
        <v>0</v>
      </c>
      <c r="R26" s="43">
        <f t="shared" si="5"/>
        <v>108.62</v>
      </c>
      <c r="S26" s="51">
        <f t="shared" si="5"/>
        <v>887.42999999999847</v>
      </c>
    </row>
    <row r="27" spans="1:19" ht="29.25" thickBot="1">
      <c r="A27" s="1548"/>
      <c r="B27" s="43"/>
      <c r="C27" s="1553" t="s">
        <v>1154</v>
      </c>
      <c r="D27" s="1071">
        <f>SUM(D19:D26)</f>
        <v>869.03</v>
      </c>
      <c r="E27" s="1072">
        <f>IF(SUM(E19:E26)='数据-基础表'!BA5,SUM(E19:E26),IF(F27="地上面积有误","面积有误","地下面积有误"))</f>
        <v>7099.51</v>
      </c>
      <c r="F27" s="1071">
        <f>IF(SUM(F19:F26)=E8,SUM(F19:F26),"地上面积有误")</f>
        <v>7099.51</v>
      </c>
      <c r="G27" s="1073">
        <f>SUM(G19:G26)</f>
        <v>0</v>
      </c>
      <c r="H27" s="1074">
        <f>SUM(H19:H26)</f>
        <v>0</v>
      </c>
      <c r="I27" s="1075">
        <f>SUM(I19:I26)</f>
        <v>0</v>
      </c>
      <c r="J27" s="1070"/>
      <c r="K27" s="1076">
        <f>SUM(K19:K26)</f>
        <v>0</v>
      </c>
      <c r="L27" s="784">
        <f>SUM(L19:L26)</f>
        <v>0</v>
      </c>
      <c r="M27" s="1077">
        <f>SUM(M19:M26)</f>
        <v>0</v>
      </c>
      <c r="N27" s="1076">
        <f t="shared" ref="N27:O27" si="11">SUM(N19:N26)</f>
        <v>0</v>
      </c>
      <c r="O27" s="784">
        <f t="shared" si="11"/>
        <v>0</v>
      </c>
      <c r="P27" s="93">
        <f>SUM(P19:P26)</f>
        <v>0</v>
      </c>
      <c r="R27" s="967" t="str">
        <f>IF(SUM(R19:R26)=$D$3,SUM(R19:R26),SUM(R19:R26)&amp;"误差"&amp;ROUND(SUM(R19:R26)-$D$3,2))</f>
        <v>869.03误差0.03</v>
      </c>
      <c r="S27" s="43">
        <f>IF(SUM(S19:S26)=$E$3,SUM(S19:S26),SUM(S19:S26)&amp;"误差"&amp;ROUND(SUM(S19:S26)-E3,2))</f>
        <v>7099.51</v>
      </c>
    </row>
    <row r="28" spans="1:19">
      <c r="A28" s="1548"/>
      <c r="B28" s="45" t="s">
        <v>1155</v>
      </c>
      <c r="C28" s="53" t="s">
        <v>1156</v>
      </c>
      <c r="D28" s="43">
        <f>ROUND($D$3*E28/$E$3,2)</f>
        <v>0</v>
      </c>
      <c r="E28" s="51">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5">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869.03</v>
      </c>
      <c r="E31" s="642">
        <f>E27+E30</f>
        <v>7099.51</v>
      </c>
      <c r="F31" s="643">
        <f>F27+F30</f>
        <v>7099.51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45362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商业1层</v>
      </c>
      <c r="B6" s="1586" t="str">
        <f>IF(A6=0,"","经营性")</f>
        <v>经营性</v>
      </c>
      <c r="C6" s="1587" t="s">
        <v>673</v>
      </c>
      <c r="D6" s="804">
        <f>SUMIF(项目基本情况!C$12:I$12,C6,项目基本情况!C$14:I$14)</f>
        <v>40</v>
      </c>
      <c r="E6" s="803">
        <f>IF(B6="","",SUMIF(项目基本情况!C$12:I$12,C6,项目基本情况!C$13:I$13))</f>
        <v>48816</v>
      </c>
      <c r="F6" s="60">
        <f>SUMIF(项目基本情况!C$12:I$12,C6,项目基本情况!C$15:I$15)</f>
        <v>9.4600000000000009</v>
      </c>
      <c r="G6" s="61">
        <f>IF(ISERROR(ROUND(POWER(1+H6,D6-F6)*(POWER(1+H6,F6)-1)/(POWER(1+H6,D6)-1),3)),0,ROUND(POWER(1+H6,D6-F6)*(POWER(1+H6,F6)-1)/(POWER(1+H6,D6)-1),3))</f>
        <v>0.41099999999999998</v>
      </c>
      <c r="H6" s="690">
        <v>4.4999999999999998E-2</v>
      </c>
      <c r="I6" s="690">
        <v>0.05</v>
      </c>
      <c r="J6" s="62">
        <v>5.5E-2</v>
      </c>
      <c r="K6" s="969">
        <f>SUMIF('数据-汇总表'!C$19:C$33,A6,'数据-汇总表'!E$19:E$33)</f>
        <v>887.44</v>
      </c>
      <c r="L6" s="691">
        <v>3000</v>
      </c>
      <c r="M6" s="63">
        <f t="shared" ref="M6:M14" si="0">ROUND(K6*L6/10000,0)</f>
        <v>266</v>
      </c>
      <c r="N6" s="689">
        <v>0.8</v>
      </c>
      <c r="O6" s="63" t="str">
        <f>IF($N$5="成新度","——",ROUND(M6*N6,0))</f>
        <v>——</v>
      </c>
      <c r="P6" s="64" t="str">
        <f>IF($N$5="成新度","——",M6-O6)</f>
        <v>——</v>
      </c>
      <c r="Q6" s="692">
        <v>0.2</v>
      </c>
      <c r="R6" s="65">
        <f ca="1">SUMIF('数据-汇总表'!C$19:C$33,A6,'数据-汇总表'!R$19:R$27)</f>
        <v>108.63</v>
      </c>
      <c r="S6" s="49">
        <f>IF('数据-汇总表'!$I$17="按面积比例",SUMIF('数据-汇总表'!C$19:C$33,A6,'数据-汇总表'!K$19:K$33),SUMIF('数据-汇总表'!C$19:C$33,A6,'数据-汇总表'!N$19:N$33))</f>
        <v>0</v>
      </c>
      <c r="T6" s="1091">
        <f>ROUND($L$14*S6/10000,0)</f>
        <v>0</v>
      </c>
      <c r="U6" s="3125">
        <f>'比较法-商业-租金'!C48</f>
        <v>1.8</v>
      </c>
      <c r="V6" s="66">
        <v>0.02</v>
      </c>
      <c r="W6" s="66">
        <v>0.1</v>
      </c>
      <c r="X6" s="978"/>
      <c r="Y6" s="67">
        <f>N6</f>
        <v>0.8</v>
      </c>
      <c r="Z6" s="68"/>
      <c r="AA6" s="62"/>
      <c r="AB6" s="62"/>
      <c r="AC6" s="978"/>
      <c r="AD6" s="69"/>
      <c r="AE6" s="979">
        <f ca="1">IF(AN6="",0,SUMIF(INDIRECT("'"&amp;AN6&amp;"'"&amp;"!E:E"),$AE$5,INDIRECT("'"&amp;AN6&amp;"'"&amp;"!F:F")))</f>
        <v>9.4600000000000009</v>
      </c>
      <c r="AF6" s="73"/>
      <c r="AG6" s="129">
        <f>IF(AF6="",0,AE6-AF6)</f>
        <v>0</v>
      </c>
      <c r="AH6" s="70"/>
      <c r="AI6" s="72">
        <v>365</v>
      </c>
      <c r="AJ6" s="73"/>
      <c r="AK6" s="74">
        <v>1.4999999999999999E-2</v>
      </c>
      <c r="AL6" s="75">
        <v>1.5E-3</v>
      </c>
      <c r="AM6" s="76">
        <v>0.01</v>
      </c>
      <c r="AN6" s="1588" t="s">
        <v>3409</v>
      </c>
      <c r="AO6" s="50">
        <f ca="1">SUMIF(INDIRECT("'"&amp;AN6&amp;"'"&amp;"!A:A"),"总价",INDIRECT("'"&amp;AN6&amp;"'"&amp;"!B:B"))</f>
        <v>386.3338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商业-1层</v>
      </c>
      <c r="B7" s="1586" t="str">
        <f t="shared" ref="B7:B13" si="1">IF(A7=0,"","经营性")</f>
        <v>经营性</v>
      </c>
      <c r="C7" s="1587"/>
      <c r="D7" s="804">
        <f>SUMIF(项目基本情况!C$12:I$12,C7,项目基本情况!C$14:I$14)</f>
        <v>0</v>
      </c>
      <c r="E7" s="803">
        <f>IF(B7="","",SUMIF(项目基本情况!C$12:I$12,C7,项目基本情况!C$13:I$13))</f>
        <v>0</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887.44</v>
      </c>
      <c r="L7" s="691"/>
      <c r="M7" s="63">
        <f t="shared" si="0"/>
        <v>0</v>
      </c>
      <c r="N7" s="689"/>
      <c r="O7" s="63" t="str">
        <f t="shared" ref="O7:O14" si="3">IF($N$5="成新度","——",ROUND(M7*N7,0))</f>
        <v>——</v>
      </c>
      <c r="P7" s="64" t="str">
        <f t="shared" ref="P7:P14" si="4">IF($N$5="成新度","——",M7-O7)</f>
        <v>——</v>
      </c>
      <c r="Q7" s="692"/>
      <c r="R7" s="65">
        <f ca="1">SUMIF('数据-汇总表'!C$19:C$33,A7,'数据-汇总表'!R$19:R$27)</f>
        <v>108.63</v>
      </c>
      <c r="S7" s="49">
        <f>IF('数据-汇总表'!$I$17="按面积比例",SUMIF('数据-汇总表'!C$19:C$33,A7,'数据-汇总表'!K$19:K$33),SUMIF('数据-汇总表'!C$19:C$33,A7,'数据-汇总表'!N$19:N$33))</f>
        <v>0</v>
      </c>
      <c r="T7" s="1091">
        <f t="shared" ref="T7:T13" si="5">ROUND($L$14*S7/10000,0)</f>
        <v>0</v>
      </c>
      <c r="U7" s="3125"/>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商业2层</v>
      </c>
      <c r="B8" s="1586" t="str">
        <f t="shared" si="1"/>
        <v>经营性</v>
      </c>
      <c r="C8" s="1587"/>
      <c r="D8" s="804">
        <f>SUMIF(项目基本情况!C$12:I$12,C8,项目基本情况!C$14:I$14)</f>
        <v>0</v>
      </c>
      <c r="E8" s="803">
        <f>IF(B8="","",SUMIF(项目基本情况!C$12:I$12,C8,项目基本情况!C$13:I$13))</f>
        <v>0</v>
      </c>
      <c r="F8" s="60">
        <f>SUMIF(项目基本情况!C$12:I$12,C8,项目基本情况!C$15:I$15)</f>
        <v>0</v>
      </c>
      <c r="G8" s="61">
        <f t="shared" si="2"/>
        <v>0</v>
      </c>
      <c r="H8" s="690"/>
      <c r="I8" s="690"/>
      <c r="J8" s="62"/>
      <c r="K8" s="969">
        <f>SUMIF('数据-汇总表'!C$19:C$33,A8,'数据-汇总表'!E$19:E$33)</f>
        <v>887.44</v>
      </c>
      <c r="L8" s="691"/>
      <c r="M8" s="63">
        <f>ROUND(K8*L8/10000,0)</f>
        <v>0</v>
      </c>
      <c r="N8" s="689"/>
      <c r="O8" s="63" t="str">
        <f t="shared" si="3"/>
        <v>——</v>
      </c>
      <c r="P8" s="64" t="str">
        <f t="shared" si="4"/>
        <v>——</v>
      </c>
      <c r="Q8" s="692"/>
      <c r="R8" s="65">
        <f ca="1">SUMIF('数据-汇总表'!C$19:C$33,A8,'数据-汇总表'!R$19:R$27)</f>
        <v>108.63</v>
      </c>
      <c r="S8" s="49">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t="str">
        <f>'数据-汇总表'!C22</f>
        <v>商业3层</v>
      </c>
      <c r="B9" s="1586" t="str">
        <f t="shared" si="1"/>
        <v>经营性</v>
      </c>
      <c r="C9" s="1587"/>
      <c r="D9" s="804">
        <f>SUMIF(项目基本情况!C$12:I$12,C9,项目基本情况!C$14:I$14)</f>
        <v>0</v>
      </c>
      <c r="E9" s="803">
        <f>IF(B9="","",SUMIF(项目基本情况!C$12:I$12,C9,项目基本情况!C$13:I$13))</f>
        <v>0</v>
      </c>
      <c r="F9" s="60">
        <f>SUMIF(项目基本情况!C$12:I$12,C9,项目基本情况!C$15:I$15)</f>
        <v>0</v>
      </c>
      <c r="G9" s="61">
        <f t="shared" si="2"/>
        <v>0</v>
      </c>
      <c r="H9" s="62"/>
      <c r="I9" s="62"/>
      <c r="J9" s="62"/>
      <c r="K9" s="969">
        <f>SUMIF('数据-汇总表'!C$19:C$33,A9,'数据-汇总表'!E$19:E$33)</f>
        <v>887.44</v>
      </c>
      <c r="L9" s="691"/>
      <c r="M9" s="63">
        <f t="shared" si="0"/>
        <v>0</v>
      </c>
      <c r="N9" s="689"/>
      <c r="O9" s="63" t="str">
        <f t="shared" si="3"/>
        <v>——</v>
      </c>
      <c r="P9" s="64" t="str">
        <f t="shared" si="4"/>
        <v>——</v>
      </c>
      <c r="Q9" s="77"/>
      <c r="R9" s="65">
        <f ca="1">SUMIF('数据-汇总表'!C$19:C$33,A9,'数据-汇总表'!R$19:R$27)</f>
        <v>108.63</v>
      </c>
      <c r="S9" s="49">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t="str">
        <f>'数据-汇总表'!C23</f>
        <v>商业4层</v>
      </c>
      <c r="B10" s="1586" t="str">
        <f t="shared" si="1"/>
        <v>经营性</v>
      </c>
      <c r="C10" s="1587"/>
      <c r="D10" s="804">
        <f>SUMIF(项目基本情况!C$12:I$12,C10,项目基本情况!C$14:I$14)</f>
        <v>0</v>
      </c>
      <c r="E10" s="803">
        <f>IF(B10="","",SUMIF(项目基本情况!C$12:I$12,C10,项目基本情况!C$13:I$13))</f>
        <v>0</v>
      </c>
      <c r="F10" s="60">
        <f>SUMIF(项目基本情况!C$12:I$12,C10,项目基本情况!C$15:I$15)</f>
        <v>0</v>
      </c>
      <c r="G10" s="61">
        <f t="shared" si="2"/>
        <v>0</v>
      </c>
      <c r="H10" s="62"/>
      <c r="I10" s="62"/>
      <c r="J10" s="62"/>
      <c r="K10" s="969">
        <f>SUMIF('数据-汇总表'!C$19:C$33,A10,'数据-汇总表'!E$19:E$33)</f>
        <v>887.44</v>
      </c>
      <c r="L10" s="691"/>
      <c r="M10" s="63">
        <f t="shared" si="0"/>
        <v>0</v>
      </c>
      <c r="N10" s="689"/>
      <c r="O10" s="63" t="str">
        <f t="shared" si="3"/>
        <v>——</v>
      </c>
      <c r="P10" s="64" t="str">
        <f t="shared" si="4"/>
        <v>——</v>
      </c>
      <c r="Q10" s="77"/>
      <c r="R10" s="65">
        <f ca="1">SUMIF('数据-汇总表'!C$19:C$33,A10,'数据-汇总表'!R$19:R$27)</f>
        <v>108.63</v>
      </c>
      <c r="S10" s="49">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t="str">
        <f>'数据-汇总表'!C24</f>
        <v>商业5层</v>
      </c>
      <c r="B11" s="1586" t="str">
        <f t="shared" si="1"/>
        <v>经营性</v>
      </c>
      <c r="C11" s="1587"/>
      <c r="D11" s="804">
        <f>SUMIF(项目基本情况!C$12:I$12,C11,项目基本情况!C$14:I$14)</f>
        <v>0</v>
      </c>
      <c r="E11" s="803">
        <f>IF(B11="","",SUMIF(项目基本情况!C$12:I$12,C11,项目基本情况!C$13:I$13))</f>
        <v>0</v>
      </c>
      <c r="F11" s="60">
        <f>SUMIF(项目基本情况!C$12:I$12,C11,项目基本情况!C$15:I$15)</f>
        <v>0</v>
      </c>
      <c r="G11" s="61">
        <f t="shared" si="2"/>
        <v>0</v>
      </c>
      <c r="H11" s="62"/>
      <c r="I11" s="62"/>
      <c r="J11" s="62"/>
      <c r="K11" s="969">
        <f>SUMIF('数据-汇总表'!C$19:C$33,A11,'数据-汇总表'!E$19:E$33)</f>
        <v>887.44</v>
      </c>
      <c r="L11" s="78"/>
      <c r="M11" s="63">
        <f t="shared" si="0"/>
        <v>0</v>
      </c>
      <c r="N11" s="689"/>
      <c r="O11" s="63" t="str">
        <f t="shared" si="3"/>
        <v>——</v>
      </c>
      <c r="P11" s="64" t="str">
        <f t="shared" si="4"/>
        <v>——</v>
      </c>
      <c r="Q11" s="77"/>
      <c r="R11" s="65">
        <f ca="1">SUMIF('数据-汇总表'!C$19:C$33,A11,'数据-汇总表'!R$19:R$27)</f>
        <v>108.63</v>
      </c>
      <c r="S11" s="49">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t="str">
        <f>'数据-汇总表'!C25</f>
        <v>商业6层</v>
      </c>
      <c r="B12" s="1586" t="str">
        <f t="shared" si="1"/>
        <v>经营性</v>
      </c>
      <c r="C12" s="1587"/>
      <c r="D12" s="804">
        <f>SUMIF(项目基本情况!C$12:I$12,C12,项目基本情况!C$14:I$14)</f>
        <v>0</v>
      </c>
      <c r="E12" s="803">
        <f>IF(B12="","",SUMIF(项目基本情况!C$12:I$12,C12,项目基本情况!C$13:I$13))</f>
        <v>0</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887.44</v>
      </c>
      <c r="L12" s="78"/>
      <c r="M12" s="63">
        <f>ROUND(K12*L12/10000,0)</f>
        <v>0</v>
      </c>
      <c r="N12" s="689"/>
      <c r="O12" s="63" t="str">
        <f t="shared" si="3"/>
        <v>——</v>
      </c>
      <c r="P12" s="64" t="str">
        <f t="shared" si="4"/>
        <v>——</v>
      </c>
      <c r="Q12" s="77"/>
      <c r="R12" s="65">
        <f ca="1">SUMIF('数据-汇总表'!C$19:C$33,A12,'数据-汇总表'!R$19:R$27)</f>
        <v>108.63</v>
      </c>
      <c r="S12" s="49">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t="str">
        <f>'数据-汇总表'!C26</f>
        <v>商业7层</v>
      </c>
      <c r="B13" s="1586" t="str">
        <f t="shared" si="1"/>
        <v>经营性</v>
      </c>
      <c r="C13" s="1587"/>
      <c r="D13" s="804">
        <f>SUMIF(项目基本情况!C$12:I$12,C13,项目基本情况!C$14:I$14)</f>
        <v>0</v>
      </c>
      <c r="E13" s="803">
        <f>IF(B13="","",SUMIF(项目基本情况!C$12:I$12,C13,项目基本情况!C$13:I$13))</f>
        <v>0</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887.42999999999847</v>
      </c>
      <c r="L13" s="78"/>
      <c r="M13" s="63">
        <f>ROUND(K13*L13/10000,0)</f>
        <v>0</v>
      </c>
      <c r="N13" s="79"/>
      <c r="O13" s="63" t="str">
        <f t="shared" si="3"/>
        <v>——</v>
      </c>
      <c r="P13" s="64" t="str">
        <f t="shared" si="4"/>
        <v>——</v>
      </c>
      <c r="Q13" s="77"/>
      <c r="R13" s="65">
        <f ca="1">SUMIF('数据-汇总表'!C$19:C$33,A13,'数据-汇总表'!R$19:R$27)</f>
        <v>108.62</v>
      </c>
      <c r="S13" s="49">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9"/>
      <c r="T14" s="1091"/>
      <c r="U14" s="636"/>
      <c r="V14" s="974"/>
      <c r="W14" s="974"/>
      <c r="X14" s="975"/>
      <c r="Y14" s="976"/>
      <c r="Z14" s="53"/>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9"/>
      <c r="T15" s="1091"/>
      <c r="U15" s="636"/>
      <c r="V15" s="974"/>
      <c r="W15" s="974"/>
      <c r="X15" s="975"/>
      <c r="Y15" s="976"/>
      <c r="Z15" s="53"/>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0.41099999999999998</v>
      </c>
      <c r="H16" s="83">
        <f>ROUND(SUMPRODUCT(H6:H13,K6:K13)/SUMPRODUCT((H6:H13&gt;0)*(K6:K13)),3)</f>
        <v>4.4999999999999998E-2</v>
      </c>
      <c r="I16" s="84"/>
      <c r="J16" s="84"/>
      <c r="K16" s="85">
        <f>SUM(K6:K15)</f>
        <v>7099.51</v>
      </c>
      <c r="L16" s="86">
        <f>ROUND(M16*10000/SUM(K6:K14),0)</f>
        <v>375</v>
      </c>
      <c r="M16" s="86">
        <f>SUM(M6:M14)</f>
        <v>266</v>
      </c>
      <c r="N16" s="87">
        <f>ROUND(SUMPRODUCT(M6:M14,N6:N14)/M16,3)</f>
        <v>0.8</v>
      </c>
      <c r="O16" s="86">
        <f>SUM(O6:O14)</f>
        <v>0</v>
      </c>
      <c r="P16" s="86">
        <f>SUM(P6:P14)</f>
        <v>0</v>
      </c>
      <c r="Q16" s="88">
        <f>ROUND(SUMPRODUCT(Q6:Q13,K6:K13)/SUMPRODUCT((Q6:Q13&gt;0)*(K6:K13)),2)</f>
        <v>0.2</v>
      </c>
      <c r="R16" s="973">
        <f ca="1">SUM(R6:R13)</f>
        <v>869.03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90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110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110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110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2313</v>
      </c>
      <c r="B40" s="1014">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0" t="s">
        <v>2285</v>
      </c>
      <c r="B1" s="3231"/>
      <c r="C1" s="3231"/>
      <c r="D1" s="3231"/>
      <c r="E1" s="3231"/>
      <c r="F1" s="3231"/>
      <c r="G1" s="323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0"/>
      <c r="I2" s="750"/>
      <c r="J2" s="750"/>
      <c r="K2" s="750"/>
      <c r="L2" s="750"/>
      <c r="M2" s="750"/>
      <c r="N2" s="750"/>
      <c r="O2" s="750"/>
      <c r="P2" s="750"/>
      <c r="Q2" s="750"/>
    </row>
    <row r="3" spans="1:29" ht="48">
      <c r="A3" s="2246" t="s">
        <v>2282</v>
      </c>
      <c r="B3" s="2263" t="s">
        <v>2251</v>
      </c>
      <c r="C3" s="2264" t="s">
        <v>2283</v>
      </c>
      <c r="D3" s="2265"/>
      <c r="E3" s="2247" t="s">
        <v>2282</v>
      </c>
      <c r="F3" s="2266" t="s">
        <v>2252</v>
      </c>
      <c r="G3" s="2267" t="s">
        <v>2284</v>
      </c>
      <c r="H3" s="750"/>
      <c r="I3" s="750"/>
      <c r="J3" s="750"/>
      <c r="K3" s="750"/>
      <c r="L3" s="750"/>
      <c r="M3" s="750"/>
      <c r="N3" s="750"/>
      <c r="O3" s="750"/>
      <c r="P3" s="750"/>
      <c r="Q3" s="750"/>
    </row>
    <row r="4" spans="1:29" ht="36.75">
      <c r="A4" s="2247"/>
      <c r="B4" s="314" t="s">
        <v>2253</v>
      </c>
      <c r="C4" s="2268" t="s">
        <v>2254</v>
      </c>
      <c r="D4" s="2265"/>
      <c r="E4" s="2269"/>
      <c r="F4" s="1280" t="s">
        <v>2255</v>
      </c>
      <c r="G4" s="2270" t="s">
        <v>2256</v>
      </c>
      <c r="H4" s="750"/>
      <c r="I4" s="750"/>
      <c r="J4" s="750"/>
      <c r="K4" s="750"/>
      <c r="L4" s="750"/>
      <c r="M4" s="750"/>
      <c r="N4" s="750"/>
      <c r="O4" s="750"/>
      <c r="P4" s="750"/>
      <c r="Q4" s="750"/>
    </row>
    <row r="5" spans="1:29" ht="36.75">
      <c r="A5" s="2247"/>
      <c r="B5" s="314" t="s">
        <v>2257</v>
      </c>
      <c r="C5" s="2268" t="s">
        <v>2258</v>
      </c>
      <c r="D5" s="2265"/>
      <c r="E5" s="2269"/>
      <c r="F5" s="314" t="s">
        <v>2259</v>
      </c>
      <c r="G5" s="2270" t="s">
        <v>2260</v>
      </c>
      <c r="H5" s="750"/>
      <c r="I5" s="750"/>
      <c r="J5" s="750"/>
      <c r="K5" s="750"/>
      <c r="L5" s="750"/>
      <c r="M5" s="750"/>
      <c r="N5" s="750"/>
      <c r="O5" s="750"/>
      <c r="P5" s="750"/>
      <c r="Q5" s="750"/>
    </row>
    <row r="6" spans="1:29" ht="36">
      <c r="A6" s="2247"/>
      <c r="B6" s="314" t="s">
        <v>2261</v>
      </c>
      <c r="C6" s="2270" t="s">
        <v>2256</v>
      </c>
      <c r="D6" s="2265"/>
      <c r="E6" s="2269"/>
      <c r="F6" s="314" t="s">
        <v>2262</v>
      </c>
      <c r="G6" s="2270" t="s">
        <v>2263</v>
      </c>
      <c r="H6" s="750"/>
      <c r="I6" s="750"/>
      <c r="J6" s="750"/>
      <c r="K6" s="750"/>
      <c r="L6" s="750"/>
      <c r="M6" s="750"/>
      <c r="N6" s="750"/>
      <c r="O6" s="750"/>
      <c r="P6" s="750"/>
      <c r="Q6" s="750"/>
    </row>
    <row r="7" spans="1:29" ht="24.75" thickBot="1">
      <c r="A7" s="2247"/>
      <c r="B7" s="314" t="s">
        <v>2259</v>
      </c>
      <c r="C7" s="2270" t="s">
        <v>2260</v>
      </c>
      <c r="D7" s="2244"/>
      <c r="E7" s="2271"/>
      <c r="F7" s="2272" t="s">
        <v>2264</v>
      </c>
      <c r="G7" s="2273" t="s">
        <v>2265</v>
      </c>
      <c r="H7" s="750"/>
      <c r="I7" s="750"/>
      <c r="J7" s="750"/>
      <c r="K7" s="750"/>
      <c r="L7" s="750"/>
      <c r="M7" s="750"/>
      <c r="N7" s="750"/>
      <c r="O7" s="750"/>
      <c r="P7" s="750"/>
      <c r="Q7" s="750"/>
    </row>
    <row r="8" spans="1:29">
      <c r="A8" s="2247"/>
      <c r="B8" s="314" t="s">
        <v>2262</v>
      </c>
      <c r="C8" s="2270" t="s">
        <v>2263</v>
      </c>
      <c r="D8" s="2244"/>
      <c r="E8" s="2244"/>
      <c r="F8" s="120"/>
      <c r="G8" s="120"/>
      <c r="H8" s="750"/>
      <c r="I8" s="750"/>
      <c r="J8" s="750"/>
      <c r="K8" s="750"/>
      <c r="L8" s="750"/>
      <c r="M8" s="750"/>
      <c r="N8" s="750"/>
      <c r="O8" s="750"/>
      <c r="P8" s="750"/>
      <c r="Q8" s="750"/>
    </row>
    <row r="9" spans="1:29" ht="24">
      <c r="A9" s="2247"/>
      <c r="B9" s="314" t="s">
        <v>2266</v>
      </c>
      <c r="C9" s="2268" t="s">
        <v>2267</v>
      </c>
      <c r="D9" s="2265"/>
      <c r="E9" s="2244"/>
      <c r="F9" s="120"/>
      <c r="G9" s="120"/>
      <c r="H9" s="750"/>
      <c r="I9" s="750"/>
      <c r="J9" s="750"/>
      <c r="K9" s="750"/>
      <c r="L9" s="750"/>
      <c r="M9" s="750"/>
      <c r="N9" s="750"/>
      <c r="O9" s="750"/>
      <c r="P9" s="750"/>
      <c r="Q9" s="750"/>
    </row>
    <row r="10" spans="1:29" ht="15" thickBot="1">
      <c r="A10" s="2248"/>
      <c r="B10" s="2274" t="s">
        <v>2268</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4"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4" t="s">
        <v>2262</v>
      </c>
      <c r="G20" s="2293" t="str">
        <f>G6</f>
        <v>估价对象所在区域基础设施水平</v>
      </c>
    </row>
    <row r="21" spans="1:17" ht="25.5">
      <c r="A21" s="2251"/>
      <c r="B21" s="314" t="s">
        <v>2259</v>
      </c>
      <c r="C21" s="2293" t="str">
        <f>C7</f>
        <v>估价对象所在区域公共配套设施齐备情况</v>
      </c>
      <c r="D21" s="2265"/>
      <c r="E21" s="2252"/>
      <c r="F21" s="2292" t="s">
        <v>2277</v>
      </c>
      <c r="G21" s="2295"/>
    </row>
    <row r="22" spans="1:17" ht="13.5" customHeight="1">
      <c r="A22" s="2251"/>
      <c r="B22" s="314" t="s">
        <v>2262</v>
      </c>
      <c r="C22" s="2293" t="str">
        <f>C8</f>
        <v>估价对象所在区域基础设施水平</v>
      </c>
      <c r="D22" s="2265"/>
      <c r="E22" s="2252"/>
      <c r="F22" s="2292" t="s">
        <v>2268</v>
      </c>
      <c r="G22" s="2294"/>
    </row>
    <row r="23" spans="1:17" s="750"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0"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5"/>
      <c r="F10" s="3139" t="s">
        <v>3361</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66" t="str">
        <f>项目基本情况!S2</f>
        <v>房地产</v>
      </c>
      <c r="B2" s="3267"/>
      <c r="C2" s="3267"/>
      <c r="D2" s="3267"/>
      <c r="E2" s="3267"/>
      <c r="F2" s="3267"/>
      <c r="G2" s="3267"/>
      <c r="H2" s="3267"/>
      <c r="I2" s="3268"/>
    </row>
    <row r="3" spans="1:12" ht="12.75">
      <c r="A3" s="3270" t="s">
        <v>1264</v>
      </c>
      <c r="B3" s="3271"/>
      <c r="C3" s="3271"/>
      <c r="D3" s="3271"/>
      <c r="E3" s="3271"/>
      <c r="F3" s="3271"/>
      <c r="G3" s="3271"/>
      <c r="H3" s="3271"/>
      <c r="I3" s="3271"/>
    </row>
    <row r="4" spans="1:12" ht="14.25">
      <c r="A4" s="1623" t="s">
        <v>1265</v>
      </c>
      <c r="B4" s="1624" t="s">
        <v>1266</v>
      </c>
      <c r="C4" s="1625" t="s">
        <v>3409</v>
      </c>
      <c r="D4" s="1625" t="s">
        <v>3418</v>
      </c>
      <c r="E4" s="3272" t="s">
        <v>1267</v>
      </c>
      <c r="F4" s="3273"/>
      <c r="G4" s="3273"/>
      <c r="H4" s="3273"/>
      <c r="I4" s="3274"/>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46" t="s">
        <v>1268</v>
      </c>
      <c r="B5" s="3233">
        <v>25</v>
      </c>
      <c r="C5" s="3249"/>
      <c r="D5" s="3269"/>
      <c r="E5" s="122" t="s">
        <v>1269</v>
      </c>
      <c r="F5" s="1626"/>
      <c r="G5" s="1626"/>
      <c r="H5" s="1626"/>
      <c r="I5" s="1280"/>
    </row>
    <row r="6" spans="1:12" ht="12.75">
      <c r="A6" s="3246"/>
      <c r="B6" s="3233"/>
      <c r="C6" s="3250"/>
      <c r="D6" s="3269"/>
      <c r="E6" s="122" t="s">
        <v>1270</v>
      </c>
      <c r="F6" s="1626"/>
      <c r="G6" s="1626"/>
      <c r="H6" s="1626"/>
      <c r="I6" s="1280"/>
    </row>
    <row r="7" spans="1:12" ht="12.75">
      <c r="A7" s="3246"/>
      <c r="B7" s="3233"/>
      <c r="C7" s="3251"/>
      <c r="D7" s="3269"/>
      <c r="E7" s="122" t="s">
        <v>1271</v>
      </c>
      <c r="F7" s="1626"/>
      <c r="G7" s="1626"/>
      <c r="H7" s="1626"/>
      <c r="I7" s="1280"/>
    </row>
    <row r="8" spans="1:12" ht="12.75">
      <c r="A8" s="3246" t="s">
        <v>1272</v>
      </c>
      <c r="B8" s="3233">
        <v>15</v>
      </c>
      <c r="C8" s="3249"/>
      <c r="D8" s="3269"/>
      <c r="E8" s="122" t="s">
        <v>1273</v>
      </c>
      <c r="F8" s="1626"/>
      <c r="G8" s="1626"/>
      <c r="H8" s="1626"/>
      <c r="I8" s="1280"/>
    </row>
    <row r="9" spans="1:12" ht="12.75">
      <c r="A9" s="3246"/>
      <c r="B9" s="3233"/>
      <c r="C9" s="3251"/>
      <c r="D9" s="3269"/>
      <c r="E9" s="122" t="s">
        <v>1274</v>
      </c>
      <c r="F9" s="1626"/>
      <c r="G9" s="1626"/>
      <c r="H9" s="1626"/>
      <c r="I9" s="1280"/>
    </row>
    <row r="10" spans="1:12" ht="12.75">
      <c r="A10" s="3246" t="s">
        <v>1275</v>
      </c>
      <c r="B10" s="3233">
        <v>15</v>
      </c>
      <c r="C10" s="3249"/>
      <c r="D10" s="3269"/>
      <c r="E10" s="122" t="s">
        <v>1276</v>
      </c>
      <c r="F10" s="1626"/>
      <c r="G10" s="1626"/>
      <c r="H10" s="1626"/>
      <c r="I10" s="1280"/>
    </row>
    <row r="11" spans="1:12" ht="12.75">
      <c r="A11" s="3246"/>
      <c r="B11" s="3233"/>
      <c r="C11" s="3251"/>
      <c r="D11" s="3269"/>
      <c r="E11" s="122" t="s">
        <v>1277</v>
      </c>
      <c r="F11" s="1626"/>
      <c r="G11" s="1626"/>
      <c r="H11" s="1626"/>
      <c r="I11" s="1280"/>
    </row>
    <row r="12" spans="1:12" ht="12.75">
      <c r="A12" s="3246" t="s">
        <v>1278</v>
      </c>
      <c r="B12" s="3233">
        <v>15</v>
      </c>
      <c r="C12" s="3249"/>
      <c r="D12" s="3269"/>
      <c r="E12" s="122" t="s">
        <v>1279</v>
      </c>
      <c r="F12" s="1626"/>
      <c r="G12" s="1626"/>
      <c r="H12" s="1626"/>
      <c r="I12" s="1280"/>
    </row>
    <row r="13" spans="1:12" ht="12.75">
      <c r="A13" s="3246"/>
      <c r="B13" s="3233"/>
      <c r="C13" s="3251"/>
      <c r="D13" s="3269"/>
      <c r="E13" s="122" t="s">
        <v>1280</v>
      </c>
      <c r="F13" s="1626"/>
      <c r="G13" s="1626"/>
      <c r="H13" s="1626"/>
      <c r="I13" s="1280"/>
    </row>
    <row r="14" spans="1:12" ht="12.75">
      <c r="A14" s="3246" t="s">
        <v>1281</v>
      </c>
      <c r="B14" s="3233">
        <v>30</v>
      </c>
      <c r="C14" s="3249">
        <v>3</v>
      </c>
      <c r="D14" s="3269">
        <f>10-C14</f>
        <v>7</v>
      </c>
      <c r="E14" s="122" t="s">
        <v>1282</v>
      </c>
      <c r="F14" s="1626"/>
      <c r="G14" s="1626"/>
      <c r="H14" s="1626"/>
      <c r="I14" s="1280"/>
    </row>
    <row r="15" spans="1:12" ht="12.75">
      <c r="A15" s="3246"/>
      <c r="B15" s="3233"/>
      <c r="C15" s="3250"/>
      <c r="D15" s="3269"/>
      <c r="E15" s="122" t="s">
        <v>1283</v>
      </c>
      <c r="F15" s="1626"/>
      <c r="G15" s="1626"/>
      <c r="H15" s="1626"/>
      <c r="I15" s="1280"/>
    </row>
    <row r="16" spans="1:12" ht="12.75">
      <c r="A16" s="3246"/>
      <c r="B16" s="3233"/>
      <c r="C16" s="3251"/>
      <c r="D16" s="3269"/>
      <c r="E16" s="122" t="s">
        <v>1284</v>
      </c>
      <c r="F16" s="1626"/>
      <c r="G16" s="1626"/>
      <c r="H16" s="1626"/>
      <c r="I16" s="1280"/>
    </row>
    <row r="17" spans="1:36" ht="15">
      <c r="A17" s="1627" t="s">
        <v>1285</v>
      </c>
      <c r="B17" s="53"/>
      <c r="C17" s="123">
        <f>SUM(C5:C16)</f>
        <v>3</v>
      </c>
      <c r="D17" s="123">
        <f>SUM(D5:D16)</f>
        <v>7</v>
      </c>
      <c r="E17" s="120"/>
      <c r="F17" s="120"/>
      <c r="G17" s="120"/>
      <c r="H17" s="120"/>
      <c r="I17" s="120"/>
      <c r="K17" s="293"/>
      <c r="L17" s="293" t="s">
        <v>1286</v>
      </c>
      <c r="M17" s="293" t="s">
        <v>1287</v>
      </c>
    </row>
    <row r="18" spans="1:36" ht="31.9" customHeight="1" thickBot="1">
      <c r="A18" s="1628" t="s">
        <v>1288</v>
      </c>
      <c r="B18" s="1541"/>
      <c r="C18" s="124">
        <f>ROUND(C17/SUM(C17:D17),2)</f>
        <v>0.3</v>
      </c>
      <c r="D18" s="124">
        <f>1-C18</f>
        <v>0.7</v>
      </c>
      <c r="E18" s="3256" t="s">
        <v>2130</v>
      </c>
      <c r="F18" s="3257"/>
      <c r="G18" s="3257"/>
      <c r="H18" s="3257"/>
      <c r="I18" s="3257"/>
      <c r="K18" s="293" t="s">
        <v>1289</v>
      </c>
      <c r="L18" s="293">
        <f>IF(C1="",'数据-汇总表'!E3,SUMIF(项目类型,C1,'数据-汇总表'!E17:E26)+SUMIF(项目类型,C1,'数据-汇总表'!I17:I26))</f>
        <v>7099.51</v>
      </c>
      <c r="M18" s="293">
        <f>IF(C1="",'数据-汇总表'!E3,SUMIF(项目类型,C1,'数据-汇总表'!E17:E26))</f>
        <v>7099.51</v>
      </c>
    </row>
    <row r="19" spans="1:36" ht="15">
      <c r="A19" s="1629" t="s">
        <v>1290</v>
      </c>
      <c r="B19" s="1630" t="s">
        <v>1291</v>
      </c>
      <c r="C19" s="125">
        <f ca="1">SUMIF(INDIRECT("'"&amp;C4&amp;"'"&amp;"!A:A"),结果表!B19,INDIRECT("'"&amp;C4&amp;"'"&amp;"!B:B"))</f>
        <v>386.3338</v>
      </c>
      <c r="D19" s="126">
        <f ca="1">SUMIF(INDIRECT("'"&amp;D4&amp;"'"&amp;"!A:A"),结果表!B19,INDIRECT("'"&amp;D4&amp;"'"&amp;"!B:B"))</f>
        <v>1226.8858</v>
      </c>
      <c r="E19" s="1629" t="s">
        <v>1292</v>
      </c>
      <c r="F19" s="1630" t="s">
        <v>1291</v>
      </c>
      <c r="G19" s="127">
        <f ca="1">ROUND(C19*$C$18+D19*$D$18,0)</f>
        <v>975</v>
      </c>
      <c r="H19" s="1631" t="s">
        <v>1293</v>
      </c>
      <c r="I19" s="120"/>
      <c r="K19" s="293" t="s">
        <v>1294</v>
      </c>
      <c r="L19" s="293">
        <f>IF(C1="",'数据-汇总表'!D3,SUMIF(项目类型,C1,'数据-汇总表'!D17:D26)+SUMIF(项目类型,C1,'数据-汇总表'!H17:H27))</f>
        <v>869</v>
      </c>
      <c r="M19" s="293">
        <f>IF(C1="",'数据-汇总表'!D3,SUMIF(项目类型,C1,'数据-汇总表'!D17:D26))</f>
        <v>869</v>
      </c>
    </row>
    <row r="20" spans="1:36" ht="15">
      <c r="A20" s="1632"/>
      <c r="B20" s="43" t="s">
        <v>1295</v>
      </c>
      <c r="C20" s="128">
        <f ca="1">SUMIF(INDIRECT("'"&amp;C4&amp;"'"&amp;"!A:A"),结果表!B20,INDIRECT("'"&amp;C4&amp;"'"&amp;"!B:B"))</f>
        <v>4353</v>
      </c>
      <c r="D20" s="129">
        <f ca="1">SUMIF(INDIRECT("'"&amp;D4&amp;"'"&amp;"!A:A"),结果表!B20,INDIRECT("'"&amp;D4&amp;"'"&amp;"!B:B"))</f>
        <v>13825</v>
      </c>
      <c r="E20" s="1632"/>
      <c r="F20" s="43" t="s">
        <v>1295</v>
      </c>
      <c r="G20" s="130">
        <f ca="1">ROUND(C20*$C$18+D20*$D$18,0)</f>
        <v>10983</v>
      </c>
      <c r="H20" s="759" t="s">
        <v>1296</v>
      </c>
      <c r="I20" s="120"/>
    </row>
    <row r="21" spans="1:36" ht="15" customHeight="1" thickBot="1">
      <c r="A21" s="448"/>
      <c r="B21" s="92" t="s">
        <v>1297</v>
      </c>
      <c r="C21" s="677">
        <f ca="1">ROUND(C19*10000/L19,0)</f>
        <v>4446</v>
      </c>
      <c r="D21" s="678">
        <f ca="1">ROUND(D19*10000/L19,0)</f>
        <v>14118</v>
      </c>
      <c r="E21" s="448"/>
      <c r="F21" s="92" t="s">
        <v>1297</v>
      </c>
      <c r="G21" s="131">
        <f ca="1">ROUND(G19*10000/L19,0)</f>
        <v>11220</v>
      </c>
      <c r="H21" s="1633" t="s">
        <v>1296</v>
      </c>
      <c r="I21" s="120"/>
    </row>
    <row r="22" spans="1:36" ht="15" thickBot="1">
      <c r="A22" s="1563" t="s">
        <v>1298</v>
      </c>
      <c r="B22" s="1634"/>
      <c r="C22" s="1635"/>
      <c r="D22" s="679">
        <f ca="1">IF(C19&lt;D19,D19/C19-1,C19/D19-1)</f>
        <v>2.1757143692837646</v>
      </c>
      <c r="E22" s="120"/>
      <c r="F22" s="120"/>
      <c r="G22" s="120"/>
      <c r="H22" s="120"/>
      <c r="I22" s="120"/>
    </row>
    <row r="23" spans="1:36" ht="13.5" thickBot="1">
      <c r="A23" s="645"/>
      <c r="B23" s="645"/>
      <c r="C23" s="645"/>
      <c r="D23" s="645"/>
      <c r="E23" s="120"/>
      <c r="F23" s="120"/>
      <c r="G23" s="120"/>
      <c r="H23" s="120"/>
      <c r="I23" s="120"/>
    </row>
    <row r="24" spans="1:36" ht="14.25">
      <c r="A24" s="3240" t="s">
        <v>1299</v>
      </c>
      <c r="B24" s="1630" t="s">
        <v>1291</v>
      </c>
      <c r="C24" s="127">
        <f>IF(B30=0,0,D30)</f>
        <v>0</v>
      </c>
      <c r="D24" s="1636"/>
      <c r="E24" s="120"/>
      <c r="F24" s="120"/>
      <c r="G24" s="120"/>
      <c r="H24" s="120"/>
      <c r="I24" s="120"/>
    </row>
    <row r="25" spans="1:36" ht="14.25">
      <c r="A25" s="324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10983</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260" t="s">
        <v>1312</v>
      </c>
      <c r="B36" s="1651" t="s">
        <v>1313</v>
      </c>
      <c r="C36" s="136"/>
      <c r="D36" s="1652"/>
      <c r="E36" s="1566"/>
      <c r="F36" s="1653"/>
      <c r="G36" s="120"/>
      <c r="H36" s="120"/>
      <c r="I36" s="120"/>
    </row>
    <row r="37" spans="1:15" ht="15.75" thickBot="1">
      <c r="A37" s="3261"/>
      <c r="B37" s="1554" t="s">
        <v>1314</v>
      </c>
      <c r="C37" s="138"/>
      <c r="D37" s="1070"/>
      <c r="E37" s="1070"/>
      <c r="F37" s="1653"/>
      <c r="G37" s="120"/>
      <c r="H37" s="120"/>
      <c r="I37" s="120"/>
    </row>
    <row r="38" spans="1:15" ht="15.75" thickBot="1">
      <c r="A38" s="3262"/>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37" t="s">
        <v>1326</v>
      </c>
      <c r="B45" s="3238"/>
      <c r="C45" s="3239"/>
      <c r="D45" s="146" t="e">
        <f ca="1">ROUND(H101*F45,0)</f>
        <v>#REF!</v>
      </c>
      <c r="E45" s="147" t="s">
        <v>1327</v>
      </c>
      <c r="F45" s="148">
        <v>1</v>
      </c>
      <c r="G45" s="149" t="s">
        <v>1328</v>
      </c>
      <c r="H45" s="120"/>
      <c r="I45" s="120"/>
      <c r="J45" s="3315" t="s">
        <v>1329</v>
      </c>
      <c r="K45" s="3315"/>
      <c r="L45" s="3315"/>
      <c r="M45" s="3315"/>
      <c r="N45" s="3315"/>
      <c r="O45" s="3315"/>
    </row>
    <row r="46" spans="1:15" ht="14.25" customHeight="1">
      <c r="A46" s="3234" t="s">
        <v>1330</v>
      </c>
      <c r="B46" s="3235"/>
      <c r="C46" s="3235"/>
      <c r="D46" s="3235"/>
      <c r="E46" s="3235"/>
      <c r="F46" s="3235"/>
      <c r="G46" s="3236"/>
      <c r="H46" s="1667"/>
      <c r="I46" s="150"/>
      <c r="J46" s="2309">
        <v>1</v>
      </c>
      <c r="K46" s="3296" t="s">
        <v>1331</v>
      </c>
      <c r="L46" s="3296"/>
      <c r="M46" s="3316"/>
      <c r="N46" s="3316"/>
      <c r="O46" s="3316"/>
    </row>
    <row r="47" spans="1:15" ht="12" customHeight="1">
      <c r="A47" s="151" t="s">
        <v>1332</v>
      </c>
      <c r="B47" s="152"/>
      <c r="C47" s="153"/>
      <c r="D47" s="1023" t="s">
        <v>1333</v>
      </c>
      <c r="E47" s="293" t="s">
        <v>1334</v>
      </c>
      <c r="F47" s="154" t="s">
        <v>1335</v>
      </c>
      <c r="G47" s="2332" t="s">
        <v>1336</v>
      </c>
      <c r="H47" s="2333"/>
      <c r="I47" s="150"/>
      <c r="J47" s="2309">
        <v>2</v>
      </c>
      <c r="K47" s="3296" t="s">
        <v>1337</v>
      </c>
      <c r="L47" s="3296"/>
      <c r="M47" s="3317">
        <f>'数据-取费表'!B2</f>
        <v>45362</v>
      </c>
      <c r="N47" s="3317"/>
      <c r="O47" s="3317"/>
    </row>
    <row r="48" spans="1:15" ht="25.5">
      <c r="A48" s="3265" t="s">
        <v>1338</v>
      </c>
      <c r="B48" s="3248"/>
      <c r="C48" s="324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96" t="s">
        <v>1340</v>
      </c>
      <c r="L48" s="3296"/>
      <c r="M48" s="3318" t="e">
        <f ca="1">H101</f>
        <v>#REF!</v>
      </c>
      <c r="N48" s="3318"/>
      <c r="O48" s="3318"/>
    </row>
    <row r="49" spans="1:35" ht="25.5" customHeight="1">
      <c r="A49" s="2151" t="s">
        <v>1341</v>
      </c>
      <c r="B49" s="3232" t="s">
        <v>1342</v>
      </c>
      <c r="C49" s="3232"/>
      <c r="D49" s="1477">
        <v>0</v>
      </c>
      <c r="E49" s="315" t="s">
        <v>1343</v>
      </c>
      <c r="F49" s="2232" t="s">
        <v>28</v>
      </c>
      <c r="G49" s="3302"/>
      <c r="H49" s="2133" t="s">
        <v>2133</v>
      </c>
      <c r="I49" s="2134"/>
      <c r="J49" s="2309">
        <v>4</v>
      </c>
      <c r="K49" s="3296" t="str">
        <f>IF(项目基本情况!E8="房地产抵押价值","房地产抵押价值","抵押担保权已注销时的房地产抵押价值")</f>
        <v>抵押担保权已注销时的房地产抵押价值</v>
      </c>
      <c r="L49" s="3296"/>
      <c r="M49" s="3318" t="str">
        <f>IF(项目基本情况!E8="房地产抵押价值",H107,H109)</f>
        <v>——</v>
      </c>
      <c r="N49" s="3318"/>
      <c r="O49" s="3318"/>
    </row>
    <row r="50" spans="1:35" ht="25.5" customHeight="1">
      <c r="A50" s="2337"/>
      <c r="B50" s="3232" t="s">
        <v>1344</v>
      </c>
      <c r="C50" s="3232"/>
      <c r="D50" s="2188"/>
      <c r="E50" s="322"/>
      <c r="F50" s="2232"/>
      <c r="G50" s="3303"/>
      <c r="H50" s="2135" t="s">
        <v>2134</v>
      </c>
      <c r="I50" s="2134"/>
      <c r="J50" s="3315" t="s">
        <v>1345</v>
      </c>
      <c r="K50" s="3315"/>
      <c r="L50" s="3315"/>
      <c r="M50" s="3315"/>
      <c r="N50" s="3315"/>
      <c r="O50" s="3315"/>
    </row>
    <row r="51" spans="1:35" ht="20.45" customHeight="1">
      <c r="A51" s="2338"/>
      <c r="B51" s="3232" t="s">
        <v>1346</v>
      </c>
      <c r="C51" s="3232"/>
      <c r="D51" s="1023"/>
      <c r="E51" s="318"/>
      <c r="F51" s="2232"/>
      <c r="G51" s="3304"/>
      <c r="H51" s="2135" t="s">
        <v>2135</v>
      </c>
      <c r="I51" s="2134"/>
      <c r="J51" s="2310" t="s">
        <v>1347</v>
      </c>
      <c r="K51" s="3296" t="s">
        <v>1348</v>
      </c>
      <c r="L51" s="3296"/>
      <c r="M51" s="2310" t="s">
        <v>1349</v>
      </c>
      <c r="N51" s="2310" t="s">
        <v>1350</v>
      </c>
      <c r="O51" s="2310" t="s">
        <v>1351</v>
      </c>
    </row>
    <row r="52" spans="1:35" ht="24" customHeight="1">
      <c r="A52" s="2152" t="s">
        <v>1352</v>
      </c>
      <c r="B52" s="3232" t="s">
        <v>1353</v>
      </c>
      <c r="C52" s="3232"/>
      <c r="D52" s="1023" t="e">
        <f ca="1">ROUND(D45*'数据-取费表'!B41/(1+'数据-取费表'!C42),0)</f>
        <v>#REF!</v>
      </c>
      <c r="E52" s="1255" t="s">
        <v>1354</v>
      </c>
      <c r="F52" s="2339">
        <f>'数据-取费表'!B41</f>
        <v>5.6000000000000001E-2</v>
      </c>
      <c r="G52" s="2340"/>
      <c r="H52" s="2330"/>
      <c r="I52" s="1668"/>
      <c r="J52" s="2309">
        <v>1</v>
      </c>
      <c r="K52" s="3297" t="s">
        <v>1355</v>
      </c>
      <c r="L52" s="3297"/>
      <c r="M52" s="2311" t="b">
        <f>D48</f>
        <v>0</v>
      </c>
      <c r="N52" s="2309" t="str">
        <f>E48</f>
        <v>销售额×税（费）率</v>
      </c>
      <c r="O52" s="2312">
        <f>F48</f>
        <v>5.6000000000000001E-2</v>
      </c>
    </row>
    <row r="53" spans="1:35" ht="12" customHeight="1">
      <c r="A53" s="2152" t="s">
        <v>1356</v>
      </c>
      <c r="B53" s="3258" t="s">
        <v>2290</v>
      </c>
      <c r="C53" s="3259"/>
      <c r="D53" s="1023" t="e">
        <f ca="1">ROUND(D45*'数据-取费表'!B41/(1+'数据-取费表'!C42),0)</f>
        <v>#REF!</v>
      </c>
      <c r="E53" s="1255" t="s">
        <v>1354</v>
      </c>
      <c r="F53" s="2339">
        <f>'数据-取费表'!B41</f>
        <v>5.6000000000000001E-2</v>
      </c>
      <c r="G53" s="2340"/>
      <c r="H53" s="2330"/>
      <c r="I53" s="1668"/>
      <c r="J53" s="2309">
        <v>2</v>
      </c>
      <c r="K53" s="3297" t="s">
        <v>1357</v>
      </c>
      <c r="L53" s="3297"/>
      <c r="M53" s="2311" t="e">
        <f t="shared" ref="M53:O54" ca="1" si="0">D55</f>
        <v>#REF!</v>
      </c>
      <c r="N53" s="2309" t="str">
        <f t="shared" si="0"/>
        <v>销售额×税（费）率</v>
      </c>
      <c r="O53" s="2312" t="str">
        <f t="shared" si="0"/>
        <v>免征</v>
      </c>
    </row>
    <row r="54" spans="1:35" ht="12" customHeight="1">
      <c r="A54" s="2152" t="s">
        <v>1358</v>
      </c>
      <c r="B54" s="3258" t="s">
        <v>2291</v>
      </c>
      <c r="C54" s="3259"/>
      <c r="D54" s="1023" t="e">
        <f ca="1">C68</f>
        <v>#REF!</v>
      </c>
      <c r="E54" s="318" t="s">
        <v>1359</v>
      </c>
      <c r="F54" s="2339">
        <f>'数据-取费表'!B41</f>
        <v>5.6000000000000001E-2</v>
      </c>
      <c r="G54" s="2340"/>
      <c r="H54" s="2341"/>
      <c r="I54" s="1668"/>
      <c r="J54" s="2309">
        <v>3</v>
      </c>
      <c r="K54" s="3297" t="s">
        <v>1360</v>
      </c>
      <c r="L54" s="3297"/>
      <c r="M54" s="2311" t="e">
        <f t="shared" ca="1" si="0"/>
        <v>#REF!</v>
      </c>
      <c r="N54" s="2309" t="str">
        <f t="shared" si="0"/>
        <v>增值额×税（费）率</v>
      </c>
      <c r="O54" s="2313" t="str">
        <f t="shared" si="0"/>
        <v>免征</v>
      </c>
    </row>
    <row r="55" spans="1:35" ht="24" customHeight="1">
      <c r="A55" s="3247" t="s">
        <v>1361</v>
      </c>
      <c r="B55" s="3248"/>
      <c r="C55" s="3248"/>
      <c r="D55" s="12" t="e">
        <f ca="1">IF(H55="个人住宅",0,ROUND(D45*I55,0))</f>
        <v>#REF!</v>
      </c>
      <c r="E55" s="1255" t="s">
        <v>1362</v>
      </c>
      <c r="F55" s="2339" t="str">
        <f>IF(H55="正常",I55,"免征")</f>
        <v>免征</v>
      </c>
      <c r="G55" s="2340"/>
      <c r="H55" s="2336"/>
      <c r="I55" s="156">
        <f>'数据-取费表'!B49</f>
        <v>5.0000000000000001E-4</v>
      </c>
      <c r="J55" s="2309">
        <f>IF(H59="非个人房产","",4)</f>
        <v>4</v>
      </c>
      <c r="K55" s="3297" t="str">
        <f>IF(H59="非个人房产","——","个人所得税")</f>
        <v>个人所得税</v>
      </c>
      <c r="L55" s="3297"/>
      <c r="M55" s="2314" t="e">
        <f ca="1">D59</f>
        <v>#REF!</v>
      </c>
      <c r="N55" s="1882" t="str">
        <f>E59</f>
        <v>差额计税</v>
      </c>
      <c r="O55" s="2315">
        <f>F59</f>
        <v>0.01</v>
      </c>
    </row>
    <row r="56" spans="1:35" ht="24.75">
      <c r="A56" s="3247" t="s">
        <v>1363</v>
      </c>
      <c r="B56" s="3248"/>
      <c r="C56" s="3248"/>
      <c r="D56" s="12" t="e">
        <f ca="1">IF(H56="个人住宅",D57,D58)</f>
        <v>#REF!</v>
      </c>
      <c r="E56" s="1255" t="s">
        <v>1364</v>
      </c>
      <c r="F56" s="2339" t="str">
        <f>IF(H56="正常",F58,"免征")</f>
        <v>免征</v>
      </c>
      <c r="G56" s="2342" t="s">
        <v>1365</v>
      </c>
      <c r="H56" s="2343"/>
      <c r="I56" s="1669"/>
      <c r="J56" s="2309" t="str">
        <f>IF(项目基本情况!K6="上海银行",IF(J55="",4,J55+1),"")</f>
        <v/>
      </c>
      <c r="K56" s="3320" t="str">
        <f>IF(项目基本情况!K6="上海银行","其他处置费用","")</f>
        <v/>
      </c>
      <c r="L56" s="3321"/>
      <c r="M56" s="2311" t="str">
        <f>IF(项目基本情况!K6="上海银行",M69,"")</f>
        <v/>
      </c>
      <c r="N56" s="3320" t="str">
        <f>IF(项目基本情况!K6="上海银行","包含处置中涉及的律师、诉讼、拍卖、评估等费用","")</f>
        <v/>
      </c>
      <c r="O56" s="3323"/>
    </row>
    <row r="57" spans="1:35" ht="12.75">
      <c r="A57" s="2152" t="s">
        <v>1341</v>
      </c>
      <c r="B57" s="3258" t="s">
        <v>1366</v>
      </c>
      <c r="C57" s="3259"/>
      <c r="D57" s="1477">
        <v>0</v>
      </c>
      <c r="E57" s="315" t="s">
        <v>1343</v>
      </c>
      <c r="F57" s="293"/>
      <c r="G57" s="2340"/>
      <c r="H57" s="2344"/>
      <c r="I57" s="1669"/>
      <c r="J57" s="3297">
        <f>IF(AND(J55="",J56=""),4,IF(项目基本情况!K6="上海银行",结果表!J56+1,结果表!J55+1))</f>
        <v>5</v>
      </c>
      <c r="K57" s="3297" t="s">
        <v>1367</v>
      </c>
      <c r="L57" s="2316" t="s">
        <v>1368</v>
      </c>
      <c r="M57" s="2317"/>
      <c r="N57" s="2318">
        <f ca="1">SUMIF(M52:M56,"&lt;9e307")</f>
        <v>0</v>
      </c>
      <c r="O57" s="2319"/>
      <c r="P57" s="2464" t="e">
        <f ca="1">N57/M49</f>
        <v>#VALUE!</v>
      </c>
    </row>
    <row r="58" spans="1:35" ht="24.75">
      <c r="A58" s="2152" t="s">
        <v>1352</v>
      </c>
      <c r="B58" s="3258" t="s">
        <v>1369</v>
      </c>
      <c r="C58" s="3232"/>
      <c r="D58" s="12" t="e">
        <f ca="1">IF(H58="转让取得",C81,C97)</f>
        <v>#REF!</v>
      </c>
      <c r="E58" s="1255" t="s">
        <v>1364</v>
      </c>
      <c r="F58" s="293" t="s">
        <v>28</v>
      </c>
      <c r="G58" s="2340"/>
      <c r="H58" s="2343"/>
      <c r="I58" s="1669"/>
      <c r="J58" s="3297"/>
      <c r="K58" s="3297"/>
      <c r="L58" s="2316" t="s">
        <v>1370</v>
      </c>
      <c r="M58" s="2320"/>
      <c r="N58" s="2321" t="str">
        <f ca="1">NUMBERSTRING(INT(N57*10000),2)&amp;"元整"</f>
        <v>零元整</v>
      </c>
      <c r="O58" s="2322"/>
    </row>
    <row r="59" spans="1:35" ht="24.75" thickBot="1">
      <c r="A59" s="3300" t="s">
        <v>1371</v>
      </c>
      <c r="B59" s="3301"/>
      <c r="C59" s="330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98">
        <f>J57+1</f>
        <v>6</v>
      </c>
      <c r="K59" s="3297" t="s">
        <v>1372</v>
      </c>
      <c r="L59" s="2309" t="s">
        <v>1368</v>
      </c>
      <c r="M59" s="2323"/>
      <c r="N59" s="2324" t="e">
        <f ca="1">M49-N57</f>
        <v>#VALUE!</v>
      </c>
      <c r="O59" s="2325"/>
    </row>
    <row r="60" spans="1:35" ht="12" customHeight="1">
      <c r="A60" s="1670"/>
      <c r="B60" s="645"/>
      <c r="C60" s="645"/>
      <c r="D60" s="645"/>
      <c r="E60" s="1465"/>
      <c r="F60" s="1669"/>
      <c r="G60" s="1669"/>
      <c r="H60" s="150"/>
      <c r="I60" s="120"/>
      <c r="J60" s="3299"/>
      <c r="K60" s="3297"/>
      <c r="L60" s="2316" t="s">
        <v>1370</v>
      </c>
      <c r="M60" s="2320"/>
      <c r="N60" s="2321" t="e">
        <f ca="1">NUMBERSTRING(INT(N59*10000),2)&amp;"元整"</f>
        <v>#VALUE!</v>
      </c>
      <c r="O60" s="2322"/>
    </row>
    <row r="61" spans="1:35" ht="13.5" thickBot="1">
      <c r="A61" s="3245" t="s">
        <v>1373</v>
      </c>
      <c r="B61" s="3245"/>
      <c r="C61" s="3245"/>
      <c r="D61" s="3245"/>
      <c r="E61" s="3245"/>
      <c r="F61" s="1669"/>
      <c r="G61" s="1669"/>
      <c r="H61" s="150"/>
      <c r="I61" s="120"/>
      <c r="J61" s="2309">
        <f>J59+1</f>
        <v>7</v>
      </c>
      <c r="K61" s="3297" t="s">
        <v>1374</v>
      </c>
      <c r="L61" s="3297"/>
      <c r="M61" s="2326"/>
      <c r="N61" s="2327" t="e">
        <f ca="1">ROUND(N59*10000/'数据-汇总表'!E3,0)</f>
        <v>#VALUE!</v>
      </c>
      <c r="O61" s="2328"/>
    </row>
    <row r="62" spans="1:35" ht="12.75">
      <c r="A62" s="3263" t="s">
        <v>1375</v>
      </c>
      <c r="B62" s="3264"/>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322"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32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322"/>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322"/>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32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322"/>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322"/>
      <c r="K69" s="1244" t="s">
        <v>1393</v>
      </c>
      <c r="L69" s="1244"/>
      <c r="M69" s="293" t="e">
        <f>ROUND(SUM(M63:M68),0)</f>
        <v>#VALUE!</v>
      </c>
      <c r="N69" s="2331" t="e">
        <f>M69/M49</f>
        <v>#VALUE!</v>
      </c>
      <c r="Z69" s="1622"/>
      <c r="AI69" s="1560"/>
    </row>
    <row r="70" spans="1:35" s="641" customFormat="1" ht="15" thickBot="1">
      <c r="A70" s="3284" t="s">
        <v>1394</v>
      </c>
      <c r="B70" s="3285"/>
      <c r="C70" s="3285"/>
      <c r="D70" s="3285"/>
      <c r="E70" s="3285"/>
      <c r="F70" s="3285"/>
      <c r="G70" s="3285"/>
      <c r="H70" s="328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63" t="s">
        <v>1375</v>
      </c>
      <c r="B71" s="326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58" t="s">
        <v>1402</v>
      </c>
      <c r="F76" s="3232"/>
      <c r="G76" s="3232"/>
      <c r="H76" s="328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42" t="s">
        <v>1406</v>
      </c>
      <c r="F78" s="3243"/>
      <c r="G78" s="3243"/>
      <c r="H78" s="325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84" t="s">
        <v>1410</v>
      </c>
      <c r="B83" s="3285"/>
      <c r="C83" s="3285"/>
      <c r="D83" s="3285"/>
      <c r="E83" s="3285"/>
      <c r="F83" s="3285"/>
      <c r="G83" s="3285"/>
      <c r="H83" s="328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63" t="s">
        <v>1375</v>
      </c>
      <c r="B84" s="326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24" t="s">
        <v>2128</v>
      </c>
      <c r="H90" s="3325"/>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42" t="s">
        <v>1419</v>
      </c>
      <c r="F91" s="3243"/>
      <c r="G91" s="324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42" t="s">
        <v>1422</v>
      </c>
      <c r="F92" s="3243"/>
      <c r="G92" s="3243"/>
      <c r="H92" s="3252"/>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42" t="s">
        <v>1406</v>
      </c>
      <c r="F93" s="3243"/>
      <c r="G93" s="3243"/>
      <c r="H93" s="325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53" t="s">
        <v>1426</v>
      </c>
      <c r="F94" s="3254"/>
      <c r="G94" s="3254"/>
      <c r="H94" s="325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26" t="s">
        <v>1428</v>
      </c>
      <c r="B100" s="3227"/>
      <c r="C100" s="3227"/>
      <c r="D100" s="3244"/>
      <c r="E100" s="3227" t="s">
        <v>1429</v>
      </c>
      <c r="F100" s="3227"/>
      <c r="G100" s="3227"/>
      <c r="H100" s="3244"/>
      <c r="I100" s="120"/>
    </row>
    <row r="101" spans="1:35" ht="18.75" customHeight="1">
      <c r="A101" s="3305" t="s">
        <v>1430</v>
      </c>
      <c r="B101" s="3306"/>
      <c r="C101" s="2370" t="str">
        <f>C4</f>
        <v>收益法 (元)</v>
      </c>
      <c r="D101" s="2371" t="str">
        <f>D4</f>
        <v>比较法-商业-售价</v>
      </c>
      <c r="E101" s="3319" t="s">
        <v>1431</v>
      </c>
      <c r="F101" s="3276"/>
      <c r="G101" s="1686" t="s">
        <v>1432</v>
      </c>
      <c r="H101" s="2380" t="e">
        <f ca="1">H118</f>
        <v>#REF!</v>
      </c>
      <c r="I101" s="120"/>
    </row>
    <row r="102" spans="1:35" ht="18.75" customHeight="1">
      <c r="A102" s="3278" t="s">
        <v>1433</v>
      </c>
      <c r="B102" s="2369" t="s">
        <v>1432</v>
      </c>
      <c r="C102" s="2370">
        <f ca="1">IF(D32="楼面单价",ROUND(C19,0),C19)</f>
        <v>386.3338</v>
      </c>
      <c r="D102" s="2371">
        <f ca="1">IF(D32="楼面单价",ROUND(D19,0),D19)</f>
        <v>1226.8858</v>
      </c>
      <c r="E102" s="3319"/>
      <c r="F102" s="3276"/>
      <c r="G102" s="1686" t="s">
        <v>1434</v>
      </c>
      <c r="H102" s="2340" t="e">
        <f ca="1">I118</f>
        <v>#REF!</v>
      </c>
      <c r="I102" s="120"/>
    </row>
    <row r="103" spans="1:35" ht="42.75" customHeight="1">
      <c r="A103" s="3278"/>
      <c r="B103" s="2369" t="s">
        <v>1434</v>
      </c>
      <c r="C103" s="2372">
        <f ca="1">C20</f>
        <v>4353</v>
      </c>
      <c r="D103" s="2373">
        <f ca="1">D20</f>
        <v>13825</v>
      </c>
      <c r="E103" s="3313" t="s">
        <v>1435</v>
      </c>
      <c r="F103" s="3314"/>
      <c r="G103" s="1687" t="s">
        <v>1436</v>
      </c>
      <c r="H103" s="2380">
        <f>IF(D36="正常操作",H104+H105+H106,H105+H106)</f>
        <v>0</v>
      </c>
      <c r="I103" s="120"/>
    </row>
    <row r="104" spans="1:35" ht="18.75" customHeight="1">
      <c r="A104" s="3278"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279"/>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75" t="str">
        <f>IF(项目基本情况!E8="已注销","——","3.房地产抵押价值")</f>
        <v>3.房地产抵押价值</v>
      </c>
      <c r="F107" s="3276"/>
      <c r="G107" s="1686" t="s">
        <v>1432</v>
      </c>
      <c r="H107" s="2380" t="e">
        <f ca="1">IF(E107="——","——",H101-H103)</f>
        <v>#REF!</v>
      </c>
      <c r="I107" s="120"/>
    </row>
    <row r="108" spans="1:35" ht="18.75" customHeight="1">
      <c r="A108" s="120"/>
      <c r="B108" s="120"/>
      <c r="C108" s="120"/>
      <c r="D108" s="120"/>
      <c r="E108" s="3275"/>
      <c r="F108" s="3276"/>
      <c r="G108" s="1686" t="s">
        <v>1434</v>
      </c>
      <c r="H108" s="2340">
        <f ca="1">IF(H107=H101,H102,ROUND(H107*10000/'数据-汇总表'!E3,0))</f>
        <v>0</v>
      </c>
      <c r="I108" s="120"/>
    </row>
    <row r="109" spans="1:35" ht="18.75" customHeight="1">
      <c r="A109" s="120"/>
      <c r="B109" s="120"/>
      <c r="C109" s="120"/>
      <c r="D109" s="120"/>
      <c r="E109" s="3275" t="str">
        <f>IF(项目基本情况!E8="已注销及未注销","4.抵押担保权已注销时的房地产抵押价值",IF(项目基本情况!E8="已注销","3.抵押担保权已注销时的房地产抵押价值","——"))</f>
        <v>——</v>
      </c>
      <c r="F109" s="3276"/>
      <c r="G109" s="1686" t="s">
        <v>1432</v>
      </c>
      <c r="H109" s="2383" t="str">
        <f>IF(E109="——","——",H101-H105-H106)</f>
        <v>——</v>
      </c>
      <c r="I109" s="120"/>
    </row>
    <row r="110" spans="1:35" ht="18.75" customHeight="1">
      <c r="A110" s="120"/>
      <c r="B110" s="120"/>
      <c r="C110" s="120"/>
      <c r="D110" s="120"/>
      <c r="E110" s="3275"/>
      <c r="F110" s="3276"/>
      <c r="G110" s="1686" t="s">
        <v>1434</v>
      </c>
      <c r="H110" s="2340" t="str">
        <f>IF(H109="——","——",ROUND(H109*10000/'数据-汇总表'!E3,0))</f>
        <v>——</v>
      </c>
      <c r="I110" s="120"/>
    </row>
    <row r="111" spans="1:35" ht="18.75" customHeight="1">
      <c r="A111" s="120"/>
      <c r="B111" s="120"/>
      <c r="C111" s="120"/>
      <c r="D111" s="120"/>
      <c r="E111" s="3307" t="str">
        <f>IF(项目基本情况!E9="抵押净值",IF(OR(项目基本情况!E8="已注销",项目基本情况!E8="房地产抵押价值"),"4.抵押净值","5.抵押净值"),"——")</f>
        <v>——</v>
      </c>
      <c r="F111" s="3277"/>
      <c r="G111" s="1686" t="s">
        <v>1432</v>
      </c>
      <c r="H111" s="2380" t="str">
        <f>IF(E111="——","——",N59)</f>
        <v>——</v>
      </c>
      <c r="I111" s="120"/>
    </row>
    <row r="112" spans="1:35" ht="18.75" customHeight="1" thickBot="1">
      <c r="A112" s="120"/>
      <c r="B112" s="120"/>
      <c r="C112" s="120"/>
      <c r="D112" s="120"/>
      <c r="E112" s="3308"/>
      <c r="F112" s="3309"/>
      <c r="G112" s="1689" t="s">
        <v>1434</v>
      </c>
      <c r="H112" s="2384" t="str">
        <f>IF(E111="——","——",N61)</f>
        <v>——</v>
      </c>
      <c r="I112" s="120"/>
    </row>
    <row r="113" spans="1:27" ht="18.75" customHeight="1">
      <c r="A113" s="120"/>
      <c r="B113" s="120"/>
      <c r="C113" s="120"/>
      <c r="D113" s="120"/>
      <c r="E113" s="3280" t="s">
        <v>1440</v>
      </c>
      <c r="F113" s="3280"/>
      <c r="G113" s="3280"/>
      <c r="H113" s="3280"/>
      <c r="I113" s="120"/>
    </row>
    <row r="114" spans="1:27" ht="3.75" customHeight="1">
      <c r="A114" s="645"/>
      <c r="B114" s="645"/>
      <c r="C114" s="645"/>
      <c r="D114" s="645"/>
      <c r="E114" s="1670"/>
      <c r="F114" s="1670"/>
      <c r="G114" s="1670"/>
      <c r="H114" s="1670"/>
      <c r="I114" s="645"/>
    </row>
    <row r="115" spans="1:27" ht="18.75" customHeight="1">
      <c r="A115" s="3290" t="s">
        <v>1442</v>
      </c>
      <c r="B115" s="3291"/>
      <c r="C115" s="3291"/>
      <c r="D115" s="3291"/>
      <c r="E115" s="3291"/>
      <c r="F115" s="3291"/>
      <c r="G115" s="3291"/>
      <c r="H115" s="3291"/>
      <c r="I115" s="3292"/>
    </row>
    <row r="116" spans="1:27" ht="27" customHeight="1">
      <c r="A116" s="3246" t="s">
        <v>1443</v>
      </c>
      <c r="B116" s="3281" t="s">
        <v>1444</v>
      </c>
      <c r="C116" s="3281" t="s">
        <v>1445</v>
      </c>
      <c r="D116" s="3294" t="s">
        <v>1446</v>
      </c>
      <c r="E116" s="3295"/>
      <c r="F116" s="3289" t="s">
        <v>1447</v>
      </c>
      <c r="G116" s="3289"/>
      <c r="H116" s="3246" t="s">
        <v>1448</v>
      </c>
      <c r="I116" s="3246"/>
    </row>
    <row r="117" spans="1:27" ht="18.75" customHeight="1">
      <c r="A117" s="3246"/>
      <c r="B117" s="3282"/>
      <c r="C117" s="3282"/>
      <c r="D117" s="2149" t="s">
        <v>1449</v>
      </c>
      <c r="E117" s="2149" t="s">
        <v>1450</v>
      </c>
      <c r="F117" s="2149" t="s">
        <v>1449</v>
      </c>
      <c r="G117" s="2149" t="s">
        <v>1451</v>
      </c>
      <c r="H117" s="2149" t="s">
        <v>1449</v>
      </c>
      <c r="I117" s="2149" t="s">
        <v>1451</v>
      </c>
    </row>
    <row r="118" spans="1:27" ht="24.75" customHeight="1">
      <c r="A118" s="2385" t="str">
        <f>项目基本情况!S2</f>
        <v>房地产</v>
      </c>
      <c r="B118" s="2149">
        <f>M18</f>
        <v>7099.51</v>
      </c>
      <c r="C118" s="2149">
        <f>M19</f>
        <v>869</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46" t="s">
        <v>1452</v>
      </c>
      <c r="B119" s="3246"/>
      <c r="C119" s="3246"/>
      <c r="D119" s="3286" t="e">
        <f ca="1">NUMBERSTRING(INT(D118*10000),2)&amp;"元整"</f>
        <v>#REF!</v>
      </c>
      <c r="E119" s="3288"/>
      <c r="F119" s="3286" t="e">
        <f ca="1">NUMBERSTRING(INT(F118*10000),2)&amp;"元整"</f>
        <v>#REF!</v>
      </c>
      <c r="G119" s="3288"/>
      <c r="H119" s="3286" t="e">
        <f ca="1">NUMBERSTRING(INT(H118*10000),2)&amp;"元整"</f>
        <v>#REF!</v>
      </c>
      <c r="I119" s="3288"/>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7"/>
      <c r="C121" s="3288"/>
      <c r="D121" s="3286" t="str">
        <f>IF(D120=0,"零元整",NUMBERSTRING(INT(D120*10000),2)&amp;"元整")</f>
        <v>零元整</v>
      </c>
      <c r="E121" s="3287"/>
      <c r="F121" s="3287"/>
      <c r="G121" s="3287"/>
      <c r="H121" s="3287"/>
      <c r="I121" s="3288"/>
      <c r="AA121" s="683"/>
    </row>
    <row r="122" spans="1:27" ht="18.75" customHeight="1">
      <c r="A122" s="3277" t="str">
        <f>IF(项目基本情况!B9="房地产市场价值","",MID(E107,3,LEN(E107)-2))</f>
        <v>房地产抵押价值</v>
      </c>
      <c r="B122" s="3277"/>
      <c r="C122" s="3277"/>
      <c r="D122" s="3310" t="e">
        <f ca="1">H107</f>
        <v>#REF!</v>
      </c>
      <c r="E122" s="3311"/>
      <c r="F122" s="3311"/>
      <c r="G122" s="3311"/>
      <c r="H122" s="3311"/>
      <c r="I122" s="3312"/>
      <c r="AA122" s="683"/>
    </row>
    <row r="123" spans="1:27" ht="18.75" customHeight="1">
      <c r="A123" s="3246" t="s">
        <v>1452</v>
      </c>
      <c r="B123" s="3246"/>
      <c r="C123" s="3246"/>
      <c r="D123" s="3286" t="e">
        <f ca="1">NUMBERSTRING(INT(D122*10000),2)&amp;"元整"</f>
        <v>#REF!</v>
      </c>
      <c r="E123" s="3287"/>
      <c r="F123" s="3287"/>
      <c r="G123" s="3287"/>
      <c r="H123" s="3287"/>
      <c r="I123" s="3288"/>
      <c r="AA123" s="683"/>
    </row>
    <row r="124" spans="1:27" ht="18.75" customHeight="1">
      <c r="A124" s="3277" t="str">
        <f>IF(项目基本情况!B9="房地产市场价值","",MID(E109,3,LEN(E109)-2))</f>
        <v/>
      </c>
      <c r="B124" s="3277"/>
      <c r="C124" s="3277"/>
      <c r="D124" s="3310" t="str">
        <f>H109</f>
        <v>——</v>
      </c>
      <c r="E124" s="3311"/>
      <c r="F124" s="3311"/>
      <c r="G124" s="3311"/>
      <c r="H124" s="3311"/>
      <c r="I124" s="3312"/>
      <c r="AA124" s="683"/>
    </row>
    <row r="125" spans="1:27" ht="18.75" customHeight="1">
      <c r="A125" s="3246" t="s">
        <v>1452</v>
      </c>
      <c r="B125" s="3246"/>
      <c r="C125" s="3246"/>
      <c r="D125" s="3286" t="e">
        <f>NUMBERSTRING(INT(D124*10000),2)&amp;"元整"</f>
        <v>#VALUE!</v>
      </c>
      <c r="E125" s="3287"/>
      <c r="F125" s="3287"/>
      <c r="G125" s="3287"/>
      <c r="H125" s="3287"/>
      <c r="I125" s="3288"/>
      <c r="AA125" s="683"/>
    </row>
    <row r="126" spans="1:27" ht="18.75" customHeight="1">
      <c r="A126" s="3277" t="str">
        <f>IF(项目基本情况!B9="房地产市场价值","",MID(E111,3,LEN(E111)-2))</f>
        <v/>
      </c>
      <c r="B126" s="3277"/>
      <c r="C126" s="3277"/>
      <c r="D126" s="3310" t="str">
        <f>H111</f>
        <v>——</v>
      </c>
      <c r="E126" s="3311"/>
      <c r="F126" s="3311"/>
      <c r="G126" s="3311"/>
      <c r="H126" s="3311"/>
      <c r="I126" s="3312"/>
      <c r="AA126" s="683"/>
    </row>
    <row r="127" spans="1:27" ht="18.75" customHeight="1">
      <c r="A127" s="3246" t="s">
        <v>1452</v>
      </c>
      <c r="B127" s="3246"/>
      <c r="C127" s="3246"/>
      <c r="D127" s="3286" t="e">
        <f>NUMBERSTRING(INT(D126*10000),2)&amp;"元整"</f>
        <v>#VALUE!</v>
      </c>
      <c r="E127" s="3287"/>
      <c r="F127" s="3287"/>
      <c r="G127" s="3287"/>
      <c r="H127" s="3287"/>
      <c r="I127" s="3288"/>
      <c r="AA127" s="683"/>
    </row>
    <row r="128" spans="1:27" ht="21.75" customHeight="1">
      <c r="A128" s="3293" t="s">
        <v>1453</v>
      </c>
      <c r="B128" s="3293"/>
      <c r="C128" s="3293"/>
      <c r="D128" s="3293"/>
      <c r="E128" s="3293"/>
      <c r="F128" s="3293"/>
      <c r="G128" s="3293"/>
      <c r="H128" s="3293"/>
      <c r="I128" s="329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t="e">
        <f>MATCH(B1,'数据-取费表'!A6:A16,0)+5</f>
        <v>#N/A</v>
      </c>
    </row>
    <row r="2" spans="1:9" s="191" customFormat="1" ht="18" customHeight="1">
      <c r="A2" s="192" t="s">
        <v>1462</v>
      </c>
      <c r="B2" s="193">
        <f ca="1">IF(D2="——",C52,C52-E2)</f>
        <v>568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800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90</v>
      </c>
      <c r="F9" s="212"/>
      <c r="G9" s="1714"/>
      <c r="H9" s="1069"/>
      <c r="I9" s="1715" t="s">
        <v>1479</v>
      </c>
    </row>
    <row r="10" spans="1:9" s="205" customFormat="1" ht="13.5" customHeight="1">
      <c r="A10" s="732" t="s">
        <v>356</v>
      </c>
      <c r="B10" s="215" t="s">
        <v>1480</v>
      </c>
      <c r="C10" s="216">
        <f ca="1">ROUND(D10*E10/10000,0)</f>
        <v>78</v>
      </c>
      <c r="D10" s="794">
        <f ca="1">IF(B1="",'数据-汇总表'!E6,IF(INDIRECT("'数据-取费表'!c"&amp;$G$1)="住宅",INDIRECT("'数据-取费表'!s"&amp;$G$1),INDIRECT("'数据-取费表'!k"&amp;$G$1)+INDIRECT("'数据-取费表'!s"&amp;$G$1)))</f>
        <v>7099.51</v>
      </c>
      <c r="E10" s="216">
        <f>'数据-取费表'!B28</f>
        <v>110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78</v>
      </c>
      <c r="D19" s="203">
        <f ca="1">D9+D10</f>
        <v>7099.51</v>
      </c>
      <c r="E19" s="202">
        <f>'数据-取费表'!B31</f>
        <v>110</v>
      </c>
      <c r="F19" s="222"/>
      <c r="G19" s="1713"/>
    </row>
    <row r="20" spans="1:7" s="205" customFormat="1" ht="13.5" customHeight="1">
      <c r="A20" s="246" t="s">
        <v>1493</v>
      </c>
      <c r="B20" s="201" t="s">
        <v>1494</v>
      </c>
      <c r="C20" s="223">
        <f ca="1">ROUND((C5+C19)*F20,0)</f>
        <v>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5</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5</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266</v>
      </c>
      <c r="D34" s="208"/>
      <c r="E34" s="211"/>
      <c r="F34" s="248">
        <f ca="1">IF('数据-取费表'!B24=0,1,IF(B1="",'数据-取费表'!N16,INDIRECT("'数据-取费表'!n"&amp;$G$1)))</f>
        <v>1</v>
      </c>
      <c r="G34" s="210" t="s">
        <v>1526</v>
      </c>
    </row>
    <row r="35" spans="1:7" ht="13.5" customHeight="1">
      <c r="A35" s="733" t="s">
        <v>351</v>
      </c>
      <c r="B35" s="206" t="s">
        <v>1527</v>
      </c>
      <c r="C35" s="211">
        <f ca="1">ROUND(C34*F35,0)</f>
        <v>8</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1530</v>
      </c>
    </row>
    <row r="37" spans="1:7" s="249" customFormat="1" ht="13.5" customHeight="1">
      <c r="A37" s="733" t="s">
        <v>353</v>
      </c>
      <c r="B37" s="206" t="s">
        <v>1531</v>
      </c>
      <c r="C37" s="240">
        <f ca="1">ROUND(E37*D37*F34/10000,0)</f>
        <v>142</v>
      </c>
      <c r="D37" s="208">
        <f ca="1">D19</f>
        <v>7099.51</v>
      </c>
      <c r="E37" s="240">
        <f>'数据-取费表'!B35</f>
        <v>200</v>
      </c>
      <c r="F37" s="250"/>
      <c r="G37" s="252" t="s">
        <v>1532</v>
      </c>
    </row>
    <row r="38" spans="1:7" ht="13.5" customHeight="1">
      <c r="A38" s="733" t="s">
        <v>354</v>
      </c>
      <c r="B38" s="206" t="s">
        <v>1533</v>
      </c>
      <c r="C38" s="211">
        <f ca="1">ROUND(C34*F38,0)</f>
        <v>4</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v>
      </c>
      <c r="D42" s="229"/>
      <c r="E42" s="229"/>
      <c r="F42" s="230"/>
      <c r="G42" s="3326" t="s">
        <v>1544</v>
      </c>
    </row>
    <row r="43" spans="1:7" ht="13.5" customHeight="1">
      <c r="A43" s="733" t="s">
        <v>347</v>
      </c>
      <c r="B43" s="206" t="s">
        <v>1545</v>
      </c>
      <c r="C43" s="229">
        <f ca="1">ROUND(IF('数据-取费表'!B22&lt;=1,C39*F22*'数据-取费表'!B21/2,C39*(POWER((1+F22),'数据-取费表'!B21/2)-1)),0)</f>
        <v>0</v>
      </c>
      <c r="D43" s="229"/>
      <c r="E43" s="229"/>
      <c r="F43" s="230"/>
      <c r="G43" s="3327"/>
    </row>
    <row r="44" spans="1:7" ht="13.5" customHeight="1">
      <c r="A44" s="733" t="s">
        <v>348</v>
      </c>
      <c r="B44" s="206" t="s">
        <v>1546</v>
      </c>
      <c r="C44" s="229">
        <f ca="1">ROUND(IF('数据-取费表'!B22&lt;=1,C40*F22*'数据-取费表'!B21/2,C40*(POWER((1+F22),'数据-取费表'!B21/2)-1)),4)</f>
        <v>6.9999999999999999E-4</v>
      </c>
      <c r="D44" s="229"/>
      <c r="E44" s="229"/>
      <c r="F44" s="230"/>
      <c r="G44" s="3328"/>
    </row>
    <row r="45" spans="1:7" s="205" customFormat="1" ht="13.5" customHeight="1">
      <c r="A45" s="246" t="s">
        <v>1547</v>
      </c>
      <c r="B45" s="235" t="s">
        <v>1513</v>
      </c>
      <c r="C45" s="236">
        <f ca="1">C46</f>
        <v>86</v>
      </c>
      <c r="D45" s="226">
        <f ca="1">C47</f>
        <v>4.0000000000000001E-3</v>
      </c>
      <c r="E45" s="227" t="s">
        <v>1539</v>
      </c>
      <c r="F45" s="237">
        <f ca="1">F27</f>
        <v>0.2</v>
      </c>
      <c r="G45" s="238" t="s">
        <v>1548</v>
      </c>
    </row>
    <row r="46" spans="1:7" s="205" customFormat="1" ht="13.5" customHeight="1">
      <c r="A46" s="733" t="s">
        <v>346</v>
      </c>
      <c r="B46" s="239" t="s">
        <v>1549</v>
      </c>
      <c r="C46" s="240">
        <f ca="1">ROUND((C33+C39)*F27,0)</f>
        <v>86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573</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458</v>
      </c>
      <c r="D51" s="223"/>
      <c r="E51" s="223"/>
      <c r="F51" s="255"/>
      <c r="G51" s="225" t="s">
        <v>1560</v>
      </c>
    </row>
    <row r="52" spans="1:7" s="199" customFormat="1" ht="16.5" thickBot="1">
      <c r="A52" s="256" t="s">
        <v>1561</v>
      </c>
      <c r="B52" s="257"/>
      <c r="C52" s="258">
        <f ca="1">C31+C51</f>
        <v>568</v>
      </c>
      <c r="D52" s="257"/>
      <c r="E52" s="257"/>
      <c r="F52" s="257"/>
      <c r="G52" s="259"/>
    </row>
    <row r="55" spans="1:7" ht="15">
      <c r="B55" s="261" t="s">
        <v>1562</v>
      </c>
      <c r="C55" s="262"/>
    </row>
    <row r="56" spans="1:7">
      <c r="B56" s="264" t="s">
        <v>802</v>
      </c>
      <c r="C56" s="266">
        <f ca="1">1-C57</f>
        <v>0.19399999999999995</v>
      </c>
    </row>
    <row r="57" spans="1:7">
      <c r="B57" s="264" t="s">
        <v>803</v>
      </c>
      <c r="C57" s="265">
        <f ca="1">ROUND(C51/C52,3)</f>
        <v>0.80600000000000005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4" t="str">
        <f>项目基本情况!B1</f>
        <v>预评估</v>
      </c>
      <c r="C37" s="3144"/>
      <c r="D37" s="3144"/>
      <c r="E37" s="3144"/>
      <c r="F37" s="3144"/>
      <c r="G37" s="3144"/>
      <c r="H37" s="3144"/>
      <c r="I37" s="314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t="e">
        <f>MATCH(B1,'数据-取费表'!A6:A16,0)+5</f>
        <v>#N/A</v>
      </c>
      <c r="H1" s="997" t="str">
        <f>IF(ISERROR(FIND("住宅",B1)),"非住宅","住宅")</f>
        <v>非住宅</v>
      </c>
    </row>
    <row r="2" spans="1:8" s="191" customFormat="1" ht="18" customHeight="1">
      <c r="A2" s="192" t="s">
        <v>1462</v>
      </c>
      <c r="B2" s="3121">
        <f ca="1">ROUND(IF(D2="——",C52/10000,C52/10000-E2),4)</f>
        <v>678.45820000000003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956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780946</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780946</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90</v>
      </c>
      <c r="F9" s="212"/>
      <c r="G9" s="217"/>
    </row>
    <row r="10" spans="1:8" s="205" customFormat="1" ht="13.5" customHeight="1">
      <c r="A10" s="732" t="s">
        <v>356</v>
      </c>
      <c r="B10" s="215" t="s">
        <v>1480</v>
      </c>
      <c r="C10" s="216">
        <f ca="1">ROUND(D10*E10,0)</f>
        <v>780946</v>
      </c>
      <c r="D10" s="794">
        <f ca="1">IF(B1="",'数据-汇总表'!E6,IF(INDIRECT("'数据-取费表'!c"&amp;$G$1)="住宅",INDIRECT("'数据-取费表'!s"&amp;$G$1),INDIRECT("'数据-取费表'!k"&amp;$G$1)+INDIRECT("'数据-取费表'!s"&amp;$G$1)))</f>
        <v>7099.51</v>
      </c>
      <c r="E10" s="216">
        <f>'数据-取费表'!B28</f>
        <v>110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780946</v>
      </c>
      <c r="D19" s="203">
        <f ca="1">D9+D10</f>
        <v>7099.51</v>
      </c>
      <c r="E19" s="202">
        <f>'数据-取费表'!B31</f>
        <v>110</v>
      </c>
      <c r="F19" s="222"/>
      <c r="G19" s="1713"/>
    </row>
    <row r="20" spans="1:7" s="205" customFormat="1" ht="13.5" customHeight="1">
      <c r="A20" s="246" t="s">
        <v>1574</v>
      </c>
      <c r="B20" s="201" t="s">
        <v>1575</v>
      </c>
      <c r="C20" s="223">
        <f ca="1">ROUND((C5+C19)*F20,0)</f>
        <v>31238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110708</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54815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54815</v>
      </c>
      <c r="D24" s="229"/>
      <c r="E24" s="229"/>
      <c r="F24" s="230"/>
      <c r="G24" s="231" t="s">
        <v>1586</v>
      </c>
    </row>
    <row r="25" spans="1:7" s="205" customFormat="1" ht="24">
      <c r="A25" s="733" t="s">
        <v>1476</v>
      </c>
      <c r="B25" s="206" t="s">
        <v>1587</v>
      </c>
      <c r="C25" s="229">
        <f ca="1">ROUND(IF('数据-取费表'!B22&lt;=1,C20*F22*'数据-取费表'!B22/2,C20*(POWER((1+F22),'数据-取费表'!B22/2)-1)),0)</f>
        <v>1078</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318626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318626</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2193562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4202027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2662320</v>
      </c>
      <c r="D34" s="208"/>
      <c r="E34" s="211"/>
      <c r="F34" s="248"/>
      <c r="G34" s="210"/>
    </row>
    <row r="35" spans="1:7" ht="13.5" customHeight="1">
      <c r="A35" s="733" t="s">
        <v>351</v>
      </c>
      <c r="B35" s="206" t="s">
        <v>1527</v>
      </c>
      <c r="C35" s="211">
        <f ca="1">ROUND(C34*F35,0)</f>
        <v>79870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0.05</v>
      </c>
      <c r="G36" s="251" t="s">
        <v>1530</v>
      </c>
    </row>
    <row r="37" spans="1:7" s="249" customFormat="1" ht="13.5" customHeight="1">
      <c r="A37" s="733" t="s">
        <v>353</v>
      </c>
      <c r="B37" s="206" t="s">
        <v>1531</v>
      </c>
      <c r="C37" s="240">
        <f ca="1">ROUND(E37*D37,0)</f>
        <v>1419902</v>
      </c>
      <c r="D37" s="208">
        <f ca="1">D19</f>
        <v>7099.51</v>
      </c>
      <c r="E37" s="240">
        <f>'数据-取费表'!B35</f>
        <v>200</v>
      </c>
      <c r="F37" s="250"/>
      <c r="G37" s="252"/>
    </row>
    <row r="38" spans="1:7" ht="13.5" customHeight="1">
      <c r="A38" s="733" t="s">
        <v>354</v>
      </c>
      <c r="B38" s="206" t="s">
        <v>1533</v>
      </c>
      <c r="C38" s="211">
        <f ca="1">ROUND(C34*F38,0)</f>
        <v>39935</v>
      </c>
      <c r="D38" s="211"/>
      <c r="E38" s="211"/>
      <c r="F38" s="250">
        <f>'数据-取费表'!B36</f>
        <v>1.4999999999999999E-2</v>
      </c>
      <c r="G38" s="210" t="s">
        <v>1528</v>
      </c>
    </row>
    <row r="39" spans="1:7" s="205" customFormat="1" ht="13.5" customHeight="1">
      <c r="A39" s="246" t="s">
        <v>1534</v>
      </c>
      <c r="B39" s="201" t="s">
        <v>1535</v>
      </c>
      <c r="C39" s="223">
        <f ca="1">ROUND(C33*F20,0)</f>
        <v>84041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147869</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144970</v>
      </c>
      <c r="D42" s="229"/>
      <c r="E42" s="229"/>
      <c r="F42" s="230"/>
      <c r="G42" s="3326" t="s">
        <v>1591</v>
      </c>
    </row>
    <row r="43" spans="1:7" ht="13.5" customHeight="1">
      <c r="A43" s="733" t="s">
        <v>347</v>
      </c>
      <c r="B43" s="206" t="s">
        <v>1545</v>
      </c>
      <c r="C43" s="229">
        <f ca="1">ROUND(IF('数据-取费表'!B22&lt;=1,C39*F22*'数据-取费表'!B20/2,C39*(POWER((1+F22),'数据-取费表'!B20/2)-1)),0)</f>
        <v>2899</v>
      </c>
      <c r="D43" s="229"/>
      <c r="E43" s="229"/>
      <c r="F43" s="230"/>
      <c r="G43" s="3327"/>
    </row>
    <row r="44" spans="1:7" ht="13.5" customHeight="1">
      <c r="A44" s="733" t="s">
        <v>348</v>
      </c>
      <c r="B44" s="206" t="s">
        <v>1546</v>
      </c>
      <c r="C44" s="229">
        <f ca="1">ROUND(IF('数据-取费表'!B22&lt;=1,C40*F22*'数据-取费表'!B20/2,C40*(POWER((1+F22),'数据-取费表'!B20/2)-1)),4)</f>
        <v>6.9999999999999999E-4</v>
      </c>
      <c r="D44" s="229"/>
      <c r="E44" s="229"/>
      <c r="F44" s="230"/>
      <c r="G44" s="3328"/>
    </row>
    <row r="45" spans="1:7" s="205" customFormat="1" ht="13.5" customHeight="1">
      <c r="A45" s="246" t="s">
        <v>1547</v>
      </c>
      <c r="B45" s="235" t="s">
        <v>1513</v>
      </c>
      <c r="C45" s="236">
        <f ca="1">C46</f>
        <v>857214</v>
      </c>
      <c r="D45" s="226">
        <f ca="1">C47</f>
        <v>4.0000000000000001E-3</v>
      </c>
      <c r="E45" s="227" t="s">
        <v>1539</v>
      </c>
      <c r="F45" s="237">
        <f ca="1">F27</f>
        <v>0.2</v>
      </c>
      <c r="G45" s="238" t="s">
        <v>1548</v>
      </c>
    </row>
    <row r="46" spans="1:7" s="205" customFormat="1" ht="13.5" customHeight="1">
      <c r="A46" s="733" t="s">
        <v>346</v>
      </c>
      <c r="B46" s="239" t="s">
        <v>1549</v>
      </c>
      <c r="C46" s="240">
        <f ca="1">ROUND((C33+C39)*F27,0)</f>
        <v>857214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5738775</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4591020</v>
      </c>
      <c r="D51" s="223"/>
      <c r="E51" s="223"/>
      <c r="F51" s="255"/>
      <c r="G51" s="225" t="s">
        <v>1560</v>
      </c>
    </row>
    <row r="52" spans="1:7" s="199" customFormat="1" ht="16.5" thickBot="1">
      <c r="A52" s="256" t="s">
        <v>1561</v>
      </c>
      <c r="B52" s="257"/>
      <c r="C52" s="258">
        <f ca="1">C31+C51</f>
        <v>6784582</v>
      </c>
      <c r="D52" s="257"/>
      <c r="E52" s="257"/>
      <c r="F52" s="257"/>
      <c r="G52" s="259"/>
    </row>
    <row r="55" spans="1:7" ht="15">
      <c r="B55" s="261" t="s">
        <v>1562</v>
      </c>
      <c r="C55" s="262"/>
    </row>
    <row r="56" spans="1:7">
      <c r="B56" s="264" t="s">
        <v>802</v>
      </c>
      <c r="C56" s="266">
        <f ca="1">1-C57</f>
        <v>0.32299999999999995</v>
      </c>
    </row>
    <row r="57" spans="1:7">
      <c r="B57" s="264" t="s">
        <v>803</v>
      </c>
      <c r="C57" s="265">
        <f ca="1">ROUND(C51/C52,3)</f>
        <v>0.67700000000000005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6236-9A4C-45F8-8990-87ADE91AF5E7}">
  <sheetPr>
    <tabColor rgb="FF92D050"/>
  </sheetPr>
  <dimension ref="B2:S39"/>
  <sheetViews>
    <sheetView topLeftCell="A18" workbookViewId="0">
      <selection activeCell="J38" sqref="J38"/>
    </sheetView>
  </sheetViews>
  <sheetFormatPr defaultRowHeight="13.5"/>
  <cols>
    <col min="2" max="2" width="15.375" customWidth="1"/>
  </cols>
  <sheetData>
    <row r="2" spans="2:18">
      <c r="B2" s="1404" t="s">
        <v>3392</v>
      </c>
      <c r="C2">
        <v>74</v>
      </c>
      <c r="D2">
        <v>1.87</v>
      </c>
      <c r="R2" s="3143" t="s">
        <v>3388</v>
      </c>
    </row>
    <row r="3" spans="2:18">
      <c r="B3" s="1404" t="s">
        <v>3393</v>
      </c>
      <c r="C3">
        <v>100</v>
      </c>
      <c r="D3">
        <v>1.67</v>
      </c>
    </row>
    <row r="4" spans="2:18">
      <c r="B4" s="1404" t="s">
        <v>3394</v>
      </c>
      <c r="C4">
        <v>80</v>
      </c>
      <c r="D4">
        <v>2.08</v>
      </c>
    </row>
    <row r="5" spans="2:18">
      <c r="B5" s="1404" t="s">
        <v>3395</v>
      </c>
      <c r="C5">
        <v>175</v>
      </c>
      <c r="D5">
        <v>2.06</v>
      </c>
    </row>
    <row r="19" spans="8:18">
      <c r="R19" s="3143" t="s">
        <v>3389</v>
      </c>
    </row>
    <row r="29" spans="8:18">
      <c r="R29" s="3143" t="s">
        <v>3390</v>
      </c>
    </row>
    <row r="30" spans="8:18">
      <c r="H30" s="1404" t="s">
        <v>3414</v>
      </c>
      <c r="I30">
        <v>17900</v>
      </c>
      <c r="J30">
        <v>92</v>
      </c>
    </row>
    <row r="31" spans="8:18">
      <c r="H31" s="1404" t="s">
        <v>3415</v>
      </c>
      <c r="I31">
        <v>13600</v>
      </c>
      <c r="J31">
        <v>55</v>
      </c>
    </row>
    <row r="32" spans="8:18">
      <c r="H32" s="1404" t="s">
        <v>3414</v>
      </c>
      <c r="I32">
        <v>14500</v>
      </c>
      <c r="J32">
        <v>68.97</v>
      </c>
    </row>
    <row r="33" spans="8:19">
      <c r="H33" s="1404" t="s">
        <v>3416</v>
      </c>
      <c r="I33">
        <v>18100</v>
      </c>
      <c r="J33">
        <v>88.54</v>
      </c>
    </row>
    <row r="39" spans="8:19">
      <c r="S39" s="3143" t="s">
        <v>3391</v>
      </c>
    </row>
  </sheetData>
  <phoneticPr fontId="134" type="noConversion"/>
  <hyperlinks>
    <hyperlink ref="R2" r:id="rId1" display="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xr:uid="{5C4921E3-145A-4077-9BB7-B16F0A65A90C}"/>
    <hyperlink ref="R19" r:id="rId2" display="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xr:uid="{F5B33553-2B6C-40C1-8736-91F296CC3C84}"/>
    <hyperlink ref="R29" r:id="rId3" display="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xr:uid="{88B44992-52BF-4ED9-87B4-9730780236F3}"/>
    <hyperlink ref="S39" r:id="rId4" display="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xr:uid="{22B2D394-187D-42E7-9312-74461FA4E236}"/>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61AD-6E8B-461C-B802-9046E1FA7906}">
  <sheetPr>
    <tabColor rgb="FF92D050"/>
  </sheetPr>
  <dimension ref="A1"/>
  <sheetViews>
    <sheetView workbookViewId="0">
      <selection activeCell="C38" sqref="C38"/>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22" sqref="M22"/>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t="e">
        <f>MATCH(C1,'数据-取费表'!A6:A16,0)+5</f>
        <v>#N/A</v>
      </c>
    </row>
    <row r="2" spans="1:33" ht="18" customHeight="1">
      <c r="A2" s="192" t="s">
        <v>1462</v>
      </c>
      <c r="B2" s="195">
        <f ca="1">C32</f>
        <v>-93</v>
      </c>
      <c r="C2" s="267" t="s">
        <v>1595</v>
      </c>
      <c r="D2" s="267"/>
      <c r="E2" s="2567"/>
      <c r="F2" s="2567"/>
      <c r="G2" s="2567"/>
      <c r="H2" s="2567"/>
      <c r="I2" s="2567"/>
      <c r="J2" s="2567"/>
      <c r="K2" s="2567"/>
    </row>
    <row r="3" spans="1:33" ht="18" customHeight="1" thickBot="1">
      <c r="A3" s="194" t="s">
        <v>1464</v>
      </c>
      <c r="B3" s="195">
        <f ca="1">ROUND(B2*10000/IF(C1="",'数据-汇总表'!E3,INDIRECT("'数据-取费表'!K"&amp;$K$1)),0)</f>
        <v>-131</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7099.51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7099.51</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90</v>
      </c>
      <c r="F19" s="755"/>
      <c r="G19" s="12"/>
      <c r="H19" s="1107"/>
      <c r="I19" s="760"/>
      <c r="J19" s="760"/>
      <c r="K19" s="761"/>
    </row>
    <row r="20" spans="1:33" s="754" customFormat="1" ht="13.5" customHeight="1">
      <c r="A20" s="751" t="s">
        <v>361</v>
      </c>
      <c r="B20" s="752" t="s">
        <v>1627</v>
      </c>
      <c r="C20" s="21">
        <f ca="1">ROUND(D20*E20/10000,0)</f>
        <v>78</v>
      </c>
      <c r="D20" s="795">
        <f ca="1">IF(C1="",'数据-汇总表'!E6,IF(INDIRECT("'数据-取费表'!c"&amp;$K$1)="住宅",INDIRECT("'数据-取费表'!s"&amp;$K$1),INDIRECT("'数据-取费表'!k"&amp;$K$1)+INDIRECT("'数据-取费表'!s"&amp;$K$1)))</f>
        <v>7099.51</v>
      </c>
      <c r="E20" s="21">
        <f>'数据-取费表'!B28</f>
        <v>110</v>
      </c>
      <c r="F20" s="755"/>
      <c r="G20" s="12"/>
      <c r="H20" s="760"/>
      <c r="I20" s="760"/>
      <c r="J20" s="760"/>
      <c r="K20" s="761"/>
    </row>
    <row r="21" spans="1:33" s="754" customFormat="1" ht="13.5" customHeight="1">
      <c r="A21" s="743" t="s">
        <v>357</v>
      </c>
      <c r="B21" s="764" t="s">
        <v>1628</v>
      </c>
      <c r="C21" s="765">
        <f ca="1">C16+C17+C18</f>
        <v>78</v>
      </c>
      <c r="D21" s="766"/>
      <c r="E21" s="272"/>
      <c r="F21" s="272"/>
      <c r="G21" s="122" t="s">
        <v>1629</v>
      </c>
      <c r="H21" s="758"/>
      <c r="I21" s="758"/>
      <c r="J21" s="758"/>
      <c r="K21" s="759"/>
    </row>
    <row r="22" spans="1:33" s="754" customFormat="1" ht="13.5" customHeight="1">
      <c r="A22" s="743" t="s">
        <v>1601</v>
      </c>
      <c r="B22" s="764" t="s">
        <v>1630</v>
      </c>
      <c r="C22" s="765">
        <f ca="1">ROUND(C21*F22,0)</f>
        <v>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16</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t="e">
        <f ca="1">J53</f>
        <v>#N/A</v>
      </c>
      <c r="G1" s="1285" t="e">
        <f>MATCH(C1,'数据-取费表'!A6:A16,0)+5</f>
        <v>#N/A</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331" t="s">
        <v>694</v>
      </c>
      <c r="C6" s="1010" t="e">
        <f ca="1">ROUND(F6*F8*F7*(1-F9)/10000,0)</f>
        <v>#N/A</v>
      </c>
      <c r="D6" s="146" t="s">
        <v>2108</v>
      </c>
      <c r="E6" s="293" t="s">
        <v>696</v>
      </c>
      <c r="F6" s="294" t="e">
        <f ca="1">INDIRECT("'数据-取费表'!u"&amp;$G$1)</f>
        <v>#N/A</v>
      </c>
      <c r="G6" s="1291"/>
      <c r="H6" s="1005" t="s">
        <v>398</v>
      </c>
      <c r="I6" s="3331" t="s">
        <v>694</v>
      </c>
      <c r="J6" s="292" t="e">
        <f ca="1">ROUND(M6*M8*M7*(1-M9)/10000,0)</f>
        <v>#N/A</v>
      </c>
      <c r="K6" s="146" t="s">
        <v>2107</v>
      </c>
      <c r="L6" s="293" t="s">
        <v>696</v>
      </c>
      <c r="M6" s="294" t="e">
        <f ca="1">INDIRECT("'数据-取费表'!z"&amp;$G$1)</f>
        <v>#N/A</v>
      </c>
    </row>
    <row r="7" spans="1:37" ht="18" customHeight="1">
      <c r="A7" s="1009"/>
      <c r="B7" s="3332"/>
      <c r="C7" s="1011"/>
      <c r="D7" s="298"/>
      <c r="E7" s="1012" t="s">
        <v>697</v>
      </c>
      <c r="F7" s="294" t="e">
        <f ca="1">IF(INDIRECT("'数据-取费表'!ah"&amp;$G$1)="",INDIRECT("'数据-取费表'!k"&amp;$G$1),INDIRECT("'数据-取费表'!ah"&amp;$G$1))</f>
        <v>#N/A</v>
      </c>
      <c r="G7" s="1291"/>
      <c r="H7" s="295"/>
      <c r="I7" s="3332"/>
      <c r="J7" s="297"/>
      <c r="K7" s="298"/>
      <c r="L7" s="293" t="s">
        <v>697</v>
      </c>
      <c r="M7" s="294" t="e">
        <f ca="1">F7</f>
        <v>#N/A</v>
      </c>
    </row>
    <row r="8" spans="1:37" ht="18" customHeight="1">
      <c r="A8" s="295"/>
      <c r="B8" s="3332"/>
      <c r="C8" s="297"/>
      <c r="D8" s="298"/>
      <c r="E8" s="293" t="s">
        <v>698</v>
      </c>
      <c r="F8" s="294" t="e">
        <f ca="1">INDIRECT("'数据-取费表'!ai"&amp;$G$1)</f>
        <v>#N/A</v>
      </c>
      <c r="G8" s="1291"/>
      <c r="H8" s="295"/>
      <c r="I8" s="3332"/>
      <c r="J8" s="297"/>
      <c r="K8" s="298"/>
      <c r="L8" s="293" t="s">
        <v>698</v>
      </c>
      <c r="M8" s="294" t="e">
        <f ca="1">INDIRECT("'数据-取费表'!ai"&amp;$G$1)</f>
        <v>#N/A</v>
      </c>
    </row>
    <row r="9" spans="1:37" ht="18" customHeight="1">
      <c r="A9" s="295"/>
      <c r="B9" s="3333"/>
      <c r="C9" s="297"/>
      <c r="D9" s="298"/>
      <c r="E9" s="293" t="s">
        <v>699</v>
      </c>
      <c r="F9" s="303" t="e">
        <f ca="1">INDIRECT("'数据-取费表'!w"&amp;$G$1)</f>
        <v>#N/A</v>
      </c>
      <c r="G9" s="1291"/>
      <c r="H9" s="295"/>
      <c r="I9" s="3333"/>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3339</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70"/>
      <c r="I30" s="1304"/>
      <c r="J30" s="1305"/>
      <c r="K30" s="120"/>
      <c r="L30" s="2471"/>
      <c r="M30" s="2472"/>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t="e">
        <f ca="1">IF(项目基本情况!B11="自然人","——",ROUND(C6*F32/(1+'数据-取费表'!C42),2))</f>
        <v>#N/A</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t="e">
        <f ca="1">IF(项目基本情况!B11="自然人","——",ROUND(F34*F35/10000,2))</f>
        <v>#N/A</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t="e">
        <f ca="1">INDIRECT("'数据-取费表'!r"&amp;$G$1)</f>
        <v>#N/A</v>
      </c>
      <c r="G35" s="1291"/>
      <c r="H35" s="2470"/>
      <c r="I35" s="1304"/>
      <c r="J35" s="1305"/>
      <c r="K35" s="2474"/>
      <c r="L35" s="2473"/>
      <c r="M35" s="2473"/>
    </row>
    <row r="36" spans="1:18" ht="18" customHeight="1">
      <c r="A36" s="1038" t="s">
        <v>402</v>
      </c>
      <c r="B36" s="293" t="s">
        <v>738</v>
      </c>
      <c r="C36" s="21" t="e">
        <f ca="1">ROUND(C29*F36,2)</f>
        <v>#N/A</v>
      </c>
      <c r="D36" s="1255" t="s">
        <v>771</v>
      </c>
      <c r="E36" s="293" t="s">
        <v>712</v>
      </c>
      <c r="F36" s="319" t="e">
        <f ca="1">INDIRECT("'数据-取费表'!Ak"&amp;$G$1)</f>
        <v>#N/A</v>
      </c>
      <c r="G36" s="1291"/>
      <c r="H36" s="2473"/>
      <c r="I36" s="1304"/>
      <c r="J36" s="1305"/>
      <c r="K36" s="2330"/>
      <c r="L36" s="2473"/>
      <c r="M36" s="2473"/>
    </row>
    <row r="37" spans="1:18" ht="18" customHeight="1">
      <c r="A37" s="927" t="s">
        <v>437</v>
      </c>
      <c r="B37" s="293" t="s">
        <v>742</v>
      </c>
      <c r="C37" s="21" t="e">
        <f ca="1">ROUND(C13*F37,2)</f>
        <v>#N/A</v>
      </c>
      <c r="D37" s="1255" t="s">
        <v>743</v>
      </c>
      <c r="E37" s="293" t="s">
        <v>744</v>
      </c>
      <c r="F37" s="320" t="e">
        <f ca="1">INDIRECT("'数据-取费表'!Al"&amp;$G$1)</f>
        <v>#N/A</v>
      </c>
      <c r="G37" s="1291"/>
      <c r="H37" s="2473"/>
      <c r="I37" s="1304"/>
      <c r="J37" s="1305"/>
      <c r="K37" s="2330"/>
      <c r="L37" s="2473"/>
      <c r="M37" s="2473"/>
    </row>
    <row r="38" spans="1:18" ht="18" customHeight="1" thickBot="1">
      <c r="A38" s="1025" t="s">
        <v>684</v>
      </c>
      <c r="B38" s="1026" t="s">
        <v>728</v>
      </c>
      <c r="C38" s="1027" t="e">
        <f ca="1">ROUND(C5*F38,2)</f>
        <v>#N/A</v>
      </c>
      <c r="D38" s="1028" t="s">
        <v>748</v>
      </c>
      <c r="E38" s="1026" t="s">
        <v>744</v>
      </c>
      <c r="F38" s="1022" t="e">
        <f ca="1">INDIRECT("'数据-取费表'!Am"&amp;$G$1)</f>
        <v>#N/A</v>
      </c>
      <c r="G38" s="1291"/>
      <c r="H38" s="2473"/>
      <c r="I38" s="1304"/>
      <c r="J38" s="1305"/>
      <c r="K38" s="2471"/>
      <c r="L38" s="2473"/>
      <c r="M38" s="2473"/>
    </row>
    <row r="39" spans="1:18" ht="24.6" customHeight="1" thickTop="1">
      <c r="A39" s="1015" t="s">
        <v>394</v>
      </c>
      <c r="B39" s="1030" t="s">
        <v>772</v>
      </c>
      <c r="C39" s="301" t="e">
        <f ca="1">C5-C30</f>
        <v>#N/A</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71"/>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30"/>
      <c r="L41" s="120"/>
      <c r="M41" s="120"/>
    </row>
    <row r="42" spans="1:18" ht="18" customHeight="1">
      <c r="A42" s="299"/>
      <c r="B42" s="300"/>
      <c r="C42" s="301"/>
      <c r="D42" s="318"/>
      <c r="E42" s="293" t="s">
        <v>766</v>
      </c>
      <c r="F42" s="303" t="e">
        <f ca="1">INDIRECT("'数据-取费表'!v"&amp;$G$1)</f>
        <v>#N/A</v>
      </c>
      <c r="G42" s="1291"/>
      <c r="H42" s="120"/>
      <c r="I42" s="1304"/>
      <c r="J42" s="1305"/>
      <c r="K42" s="2330"/>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2109</v>
      </c>
      <c r="E49" s="1279" t="s">
        <v>780</v>
      </c>
      <c r="F49" s="996"/>
      <c r="H49" s="681"/>
      <c r="I49" s="1327" t="s">
        <v>823</v>
      </c>
      <c r="J49" s="1331"/>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0</v>
      </c>
      <c r="K51" s="1338" t="s">
        <v>830</v>
      </c>
      <c r="L51" s="1339" t="e">
        <f ca="1">ROUND(-PV(INDIRECT("'数据-取费表'!h"&amp;$G$1),J51,(C39-C13*C76),0),0)</f>
        <v>#N/A</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t="e">
        <f ca="1">IF(M47="住宅",IF(D1="——",MAX(J51,L48),MAX(J51,L48-'数据-取费表'!B24)),IF(D1="——",MIN(J51,L48),MIN(J51,L48-'数据-取费表'!B24)))</f>
        <v>#N/A</v>
      </c>
      <c r="K53" s="3329" t="s">
        <v>837</v>
      </c>
      <c r="L53" s="3330"/>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3339</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90" zoomScaleNormal="70" zoomScaleSheetLayoutView="90" workbookViewId="0">
      <selection activeCell="D8" sqref="D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3396</v>
      </c>
      <c r="D1" s="1270" t="s">
        <v>43</v>
      </c>
      <c r="E1" s="1271" t="s">
        <v>678</v>
      </c>
      <c r="F1" s="998">
        <f ca="1">J53</f>
        <v>9.4600000000000009</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386.3338</v>
      </c>
      <c r="C2" s="1288" t="s">
        <v>879</v>
      </c>
      <c r="D2" s="1374">
        <f ca="1">C40+J29+L46</f>
        <v>3863338</v>
      </c>
      <c r="E2" s="1294" t="s">
        <v>880</v>
      </c>
      <c r="F2" s="1295"/>
      <c r="G2" s="2478"/>
      <c r="H2" s="2468"/>
      <c r="I2" s="2468"/>
      <c r="J2" s="2468"/>
      <c r="K2" s="2469"/>
      <c r="L2" s="2468"/>
      <c r="M2" s="2468"/>
    </row>
    <row r="3" spans="1:37" ht="18" customHeight="1" thickBot="1">
      <c r="A3" s="1296" t="s">
        <v>881</v>
      </c>
      <c r="B3" s="1297">
        <f ca="1">IF(ISERROR(D2/F43),0,ROUND(D2/F43,0))</f>
        <v>4353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525399</v>
      </c>
      <c r="D5" s="1272" t="s">
        <v>889</v>
      </c>
      <c r="E5" s="1007"/>
      <c r="F5" s="1008"/>
      <c r="G5" s="1291"/>
      <c r="H5" s="290">
        <v>1</v>
      </c>
      <c r="I5" s="291" t="s">
        <v>888</v>
      </c>
      <c r="J5" s="1006">
        <f ca="1">J6+J10+J12</f>
        <v>0</v>
      </c>
      <c r="K5" s="1272" t="s">
        <v>889</v>
      </c>
      <c r="L5" s="1007"/>
      <c r="M5" s="1008"/>
    </row>
    <row r="6" spans="1:37" ht="18" customHeight="1">
      <c r="A6" s="1005" t="s">
        <v>398</v>
      </c>
      <c r="B6" s="3331" t="s">
        <v>694</v>
      </c>
      <c r="C6" s="1010">
        <f ca="1">ROUND(F6*F8*F7*(1-F9),0)</f>
        <v>524743</v>
      </c>
      <c r="D6" s="146" t="s">
        <v>2105</v>
      </c>
      <c r="E6" s="293" t="s">
        <v>696</v>
      </c>
      <c r="F6" s="294">
        <f ca="1">INDIRECT("'数据-取费表'!u"&amp;$G$1)</f>
        <v>1.8</v>
      </c>
      <c r="G6" s="1291"/>
      <c r="H6" s="1005" t="s">
        <v>398</v>
      </c>
      <c r="I6" s="3331" t="s">
        <v>694</v>
      </c>
      <c r="J6" s="292">
        <f ca="1">ROUND(M6*M8*M7*(1-M9),0)</f>
        <v>0</v>
      </c>
      <c r="K6" s="1283" t="s">
        <v>2106</v>
      </c>
      <c r="L6" s="293" t="s">
        <v>696</v>
      </c>
      <c r="M6" s="294">
        <f ca="1">INDIRECT("'数据-取费表'!z"&amp;$G$1)</f>
        <v>0</v>
      </c>
    </row>
    <row r="7" spans="1:37" ht="18" customHeight="1">
      <c r="A7" s="1009"/>
      <c r="B7" s="3332"/>
      <c r="C7" s="1011"/>
      <c r="D7" s="298"/>
      <c r="E7" s="1012" t="s">
        <v>697</v>
      </c>
      <c r="F7" s="294">
        <f ca="1">IF(INDIRECT("'数据-取费表'!ah"&amp;$G$1)="",INDIRECT("'数据-取费表'!k"&amp;$G$1),INDIRECT("'数据-取费表'!ah"&amp;$G$1))</f>
        <v>887.44</v>
      </c>
      <c r="G7" s="1291"/>
      <c r="H7" s="295"/>
      <c r="I7" s="3332"/>
      <c r="J7" s="297"/>
      <c r="K7" s="298"/>
      <c r="L7" s="293" t="s">
        <v>697</v>
      </c>
      <c r="M7" s="294">
        <f ca="1">F7</f>
        <v>887.44</v>
      </c>
    </row>
    <row r="8" spans="1:37" ht="18" customHeight="1">
      <c r="A8" s="295"/>
      <c r="B8" s="3332"/>
      <c r="C8" s="297"/>
      <c r="D8" s="298"/>
      <c r="E8" s="293" t="s">
        <v>698</v>
      </c>
      <c r="F8" s="294">
        <f ca="1">INDIRECT("'数据-取费表'!ai"&amp;$G$1)</f>
        <v>365</v>
      </c>
      <c r="G8" s="1291"/>
      <c r="H8" s="295"/>
      <c r="I8" s="3332"/>
      <c r="J8" s="297"/>
      <c r="K8" s="298"/>
      <c r="L8" s="293" t="s">
        <v>698</v>
      </c>
      <c r="M8" s="294">
        <f ca="1">INDIRECT("'数据-取费表'!ai"&amp;$G$1)</f>
        <v>365</v>
      </c>
    </row>
    <row r="9" spans="1:37" ht="18" customHeight="1">
      <c r="A9" s="295"/>
      <c r="B9" s="3333"/>
      <c r="C9" s="297"/>
      <c r="D9" s="298"/>
      <c r="E9" s="293" t="s">
        <v>699</v>
      </c>
      <c r="F9" s="303">
        <f ca="1">INDIRECT("'数据-取费表'!w"&amp;$G$1)</f>
        <v>0.1</v>
      </c>
      <c r="G9" s="1291"/>
      <c r="H9" s="295"/>
      <c r="I9" s="3333"/>
      <c r="J9" s="297"/>
      <c r="K9" s="298"/>
      <c r="L9" s="304" t="s">
        <v>699</v>
      </c>
      <c r="M9" s="305">
        <f ca="1">INDIRECT("'数据-取费表'!ab"&amp;$G$1)</f>
        <v>0</v>
      </c>
    </row>
    <row r="10" spans="1:37" ht="18" customHeight="1">
      <c r="A10" s="1005" t="s">
        <v>402</v>
      </c>
      <c r="B10" s="1273" t="s">
        <v>700</v>
      </c>
      <c r="C10" s="307">
        <f ca="1">ROUND(IF(F10="押一",C6/12*F11,IF(F10="押二",C6/12*2*F11,IF(F10="押三",C6/12*3*F11,C11*F11))),0)</f>
        <v>656</v>
      </c>
      <c r="D10" s="149" t="s">
        <v>2115</v>
      </c>
      <c r="E10" s="304" t="s">
        <v>701</v>
      </c>
      <c r="F10" s="1052" t="s">
        <v>3410</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3233592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2662320</v>
      </c>
      <c r="D14" s="1256" t="s">
        <v>708</v>
      </c>
      <c r="E14" s="1254"/>
      <c r="F14" s="310"/>
      <c r="G14" s="1291"/>
      <c r="H14" s="927" t="s">
        <v>398</v>
      </c>
      <c r="I14" s="293" t="s">
        <v>709</v>
      </c>
      <c r="J14" s="21">
        <f ca="1">C29</f>
        <v>4041990</v>
      </c>
      <c r="K14" s="12"/>
      <c r="L14" s="758"/>
      <c r="M14" s="759"/>
    </row>
    <row r="15" spans="1:37" s="1303" customFormat="1" ht="18" customHeight="1" thickBot="1">
      <c r="A15" s="927" t="s">
        <v>399</v>
      </c>
      <c r="B15" s="293" t="s">
        <v>710</v>
      </c>
      <c r="C15" s="21">
        <f ca="1">ROUND(C14*F15,0)</f>
        <v>79870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60630</v>
      </c>
      <c r="K16" s="1023" t="s">
        <v>715</v>
      </c>
      <c r="L16" s="1024"/>
      <c r="M16" s="1008"/>
    </row>
    <row r="17" spans="1:37" s="1303" customFormat="1" ht="18" customHeight="1">
      <c r="A17" s="927" t="s">
        <v>681</v>
      </c>
      <c r="B17" s="293" t="s">
        <v>716</v>
      </c>
      <c r="C17" s="21">
        <f ca="1">ROUND(F17*(F43+INDIRECT("'数据-取费表'!S"&amp;$G$1)),0)</f>
        <v>177488</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39935</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2959613</v>
      </c>
      <c r="D19" s="122" t="s">
        <v>726</v>
      </c>
      <c r="E19" s="1268"/>
      <c r="F19" s="23"/>
      <c r="G19" s="1291"/>
      <c r="H19" s="927" t="s">
        <v>399</v>
      </c>
      <c r="I19" s="293" t="s">
        <v>727</v>
      </c>
      <c r="J19" s="21">
        <f ca="1">IF(K19="按租金收入计税",ROUND(J6*M19/(1+'数据-取费表'!C42),0),ROUND(C29*M19*0.7,0))</f>
        <v>0</v>
      </c>
      <c r="K19" s="1277" t="s">
        <v>3339</v>
      </c>
      <c r="L19" s="293" t="s">
        <v>712</v>
      </c>
      <c r="M19" s="313">
        <f>IF(K19="按租金收入计税",'数据-取费表'!B51,'数据-取费表'!B50)</f>
        <v>0.12</v>
      </c>
    </row>
    <row r="20" spans="1:37" s="1303" customFormat="1" ht="18" customHeight="1">
      <c r="A20" s="927" t="s">
        <v>402</v>
      </c>
      <c r="B20" s="293" t="s">
        <v>728</v>
      </c>
      <c r="C20" s="21">
        <f ca="1">ROUND(C19*F20,0)</f>
        <v>59192</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108.63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60630</v>
      </c>
      <c r="K22" s="1255" t="s">
        <v>739</v>
      </c>
      <c r="L22" s="293" t="s">
        <v>712</v>
      </c>
      <c r="M22" s="319">
        <f ca="1">INDIRECT("'数据-取费表'!Ak"&amp;$G$1)</f>
        <v>1.4999999999999999E-2</v>
      </c>
    </row>
    <row r="23" spans="1:37" s="1303" customFormat="1" ht="18" customHeight="1">
      <c r="A23" s="927" t="s">
        <v>397</v>
      </c>
      <c r="B23" s="293" t="s">
        <v>740</v>
      </c>
      <c r="C23" s="21">
        <f ca="1">IF('数据-取费表'!B22&lt;=1,ROUND(C19*F24*F23/2,0)+ROUND(C20*F24*F23/2,0),ROUND(C19*(POWER((1+F24),F23/2)-1),0)+ROUND(C20*(POWER((1+F24),F23/2)-1),0))</f>
        <v>104149</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-60630</v>
      </c>
      <c r="K25" s="1031" t="s">
        <v>753</v>
      </c>
      <c r="L25" s="1032"/>
      <c r="M25" s="1033"/>
    </row>
    <row r="26" spans="1:37" ht="18" customHeight="1">
      <c r="A26" s="927" t="s">
        <v>397</v>
      </c>
      <c r="B26" s="293" t="s">
        <v>754</v>
      </c>
      <c r="C26" s="21">
        <f ca="1">ROUND((C19+C20)*F26,0)</f>
        <v>603761</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4041990</v>
      </c>
      <c r="D29" s="1028"/>
      <c r="E29" s="1026"/>
      <c r="F29" s="1029"/>
      <c r="G29" s="1302"/>
      <c r="H29" s="324" t="s">
        <v>396</v>
      </c>
      <c r="I29" s="325" t="s">
        <v>768</v>
      </c>
      <c r="J29" s="326">
        <f ca="1">ROUND(J26/(1+F40)^F41,0)</f>
        <v>0</v>
      </c>
      <c r="K29" s="327" t="s">
        <v>769</v>
      </c>
      <c r="L29" s="328"/>
      <c r="M29" s="329">
        <f ca="1">INDIRECT("'数据-取费表'!k"&amp;$G$1)</f>
        <v>887.44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158691</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87957</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f ca="1">IF(项目基本情况!B11="自然人","——",ROUND(C6*F32/(1+'数据-取费表'!C42),0))</f>
        <v>27986</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59971</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108.63</v>
      </c>
      <c r="G35" s="1291"/>
      <c r="H35" s="2470"/>
      <c r="I35" s="1304"/>
      <c r="J35" s="1305"/>
      <c r="K35" s="2474"/>
      <c r="L35" s="2473"/>
      <c r="M35" s="2473"/>
    </row>
    <row r="36" spans="1:18" ht="18" customHeight="1">
      <c r="A36" s="1038" t="s">
        <v>402</v>
      </c>
      <c r="B36" s="293" t="s">
        <v>738</v>
      </c>
      <c r="C36" s="21">
        <f ca="1">ROUND(C29*F36,0)</f>
        <v>60630</v>
      </c>
      <c r="D36" s="1255" t="s">
        <v>771</v>
      </c>
      <c r="E36" s="293" t="s">
        <v>712</v>
      </c>
      <c r="F36" s="319">
        <f ca="1">INDIRECT("'数据-取费表'!Ak"&amp;$G$1)</f>
        <v>1.4999999999999999E-2</v>
      </c>
      <c r="G36" s="1291"/>
      <c r="H36" s="2473"/>
      <c r="I36" s="1304"/>
      <c r="J36" s="1305"/>
      <c r="K36" s="2330"/>
      <c r="L36" s="2473"/>
      <c r="M36" s="2473"/>
    </row>
    <row r="37" spans="1:18" ht="18" customHeight="1">
      <c r="A37" s="927" t="s">
        <v>437</v>
      </c>
      <c r="B37" s="293" t="s">
        <v>742</v>
      </c>
      <c r="C37" s="21">
        <f ca="1">ROUND(C13*F37,0)</f>
        <v>4850</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ROUND(C5*F38,0)</f>
        <v>5254</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366708</v>
      </c>
      <c r="D39" s="1031" t="s">
        <v>773</v>
      </c>
      <c r="E39" s="1032"/>
      <c r="F39" s="1033"/>
      <c r="G39" s="1291"/>
      <c r="H39" s="2473"/>
      <c r="I39" s="1304"/>
      <c r="J39" s="1305"/>
      <c r="K39" s="2471"/>
      <c r="L39" s="2473"/>
      <c r="M39" s="2473"/>
    </row>
    <row r="40" spans="1:18" ht="18" customHeight="1">
      <c r="A40" s="290" t="s">
        <v>395</v>
      </c>
      <c r="B40" s="291" t="s">
        <v>774</v>
      </c>
      <c r="C40" s="292">
        <f ca="1">ROUND(C39*(1-((1+F42)/(1+F40))^F41)/(F40-F42),0)</f>
        <v>2931669</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9.4600000000000009</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ROUND(C40/F43,0)</f>
        <v>3304</v>
      </c>
      <c r="D43" s="327" t="s">
        <v>777</v>
      </c>
      <c r="E43" s="328" t="s">
        <v>778</v>
      </c>
      <c r="F43" s="329">
        <f ca="1">INDIRECT("'数据-取费表'!k"&amp;$G$1)</f>
        <v>887.44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-341.58240000000001</v>
      </c>
      <c r="D45" s="3129" t="s">
        <v>3356</v>
      </c>
      <c r="E45" s="1306"/>
      <c r="F45" s="1306"/>
      <c r="O45" s="1309" t="s">
        <v>808</v>
      </c>
      <c r="P45" s="1365"/>
      <c r="Q45" s="1365"/>
      <c r="R45" s="1365"/>
    </row>
    <row r="46" spans="1:18" s="1291" customFormat="1" ht="13.5" thickBot="1">
      <c r="A46" s="1310" t="s">
        <v>809</v>
      </c>
      <c r="C46" s="1311">
        <f ca="1">ROUND(C45,0)</f>
        <v>-342</v>
      </c>
      <c r="D46" s="1312" t="str">
        <f>C2</f>
        <v>万元</v>
      </c>
      <c r="I46" s="1313" t="s">
        <v>810</v>
      </c>
      <c r="J46" s="1314"/>
      <c r="K46" s="1315"/>
      <c r="L46" s="1316">
        <f ca="1">IF(M47="住宅",0,IF(L48&gt;J51,L60,J60))</f>
        <v>931669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3411</v>
      </c>
      <c r="K47" s="1322" t="s">
        <v>816</v>
      </c>
      <c r="L47" s="1323">
        <f ca="1">INDIRECT("'数据-取费表'!d"&amp;$G$1)</f>
        <v>40</v>
      </c>
      <c r="M47" s="1287" t="str">
        <f>IF(ISNUMBER(FIND("住宅",C1)),"住宅","非住宅")</f>
        <v>非住宅</v>
      </c>
      <c r="O47" s="1324" t="s">
        <v>403</v>
      </c>
      <c r="P47" s="1325" t="s">
        <v>817</v>
      </c>
      <c r="Q47" s="1326">
        <f ca="1">C40+J29</f>
        <v>2931669</v>
      </c>
      <c r="R47" s="1326" t="s">
        <v>818</v>
      </c>
    </row>
    <row r="48" spans="1:18" s="1291" customFormat="1" ht="28.5" thickBot="1">
      <c r="A48" s="1046" t="s">
        <v>438</v>
      </c>
      <c r="B48" s="291" t="s">
        <v>692</v>
      </c>
      <c r="C48" s="1267">
        <f ca="1">C49+C53+C55</f>
        <v>0</v>
      </c>
      <c r="D48" s="1048"/>
      <c r="E48" s="1049"/>
      <c r="F48" s="907"/>
      <c r="G48" s="680"/>
      <c r="H48" s="681"/>
      <c r="I48" s="1327" t="s">
        <v>819</v>
      </c>
      <c r="J48" s="1328" t="s">
        <v>3412</v>
      </c>
      <c r="K48" s="1329" t="s">
        <v>820</v>
      </c>
      <c r="L48" s="1330">
        <f ca="1">INDIRECT("'数据-取费表'!f"&amp;$G$1)</f>
        <v>9.4600000000000009</v>
      </c>
      <c r="O48" s="1324" t="s">
        <v>404</v>
      </c>
      <c r="P48" s="1325" t="s">
        <v>821</v>
      </c>
      <c r="Q48" s="1326">
        <f ca="1">J60</f>
        <v>931669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1995</v>
      </c>
      <c r="K49" s="1329" t="s">
        <v>824</v>
      </c>
      <c r="L49" s="1332"/>
      <c r="O49" s="1333" t="s">
        <v>405</v>
      </c>
      <c r="P49" s="1325" t="s">
        <v>825</v>
      </c>
      <c r="Q49" s="1326">
        <f ca="1">C29</f>
        <v>4041990</v>
      </c>
      <c r="R49" s="1326" t="s">
        <v>818</v>
      </c>
    </row>
    <row r="50" spans="1:18" s="1291" customFormat="1" ht="13.5" thickBot="1">
      <c r="A50" s="921"/>
      <c r="B50" s="924"/>
      <c r="C50" s="925"/>
      <c r="D50" s="898"/>
      <c r="E50" s="992" t="s">
        <v>697</v>
      </c>
      <c r="F50" s="993">
        <f ca="1">F7</f>
        <v>887.44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31</v>
      </c>
      <c r="K51" s="1338" t="s">
        <v>830</v>
      </c>
      <c r="L51" s="1339">
        <f ca="1">ROUND(-PV(INDIRECT("'数据-取费表'!h"&amp;$G$1),J51,(C39-C13*C76),0),0)</f>
        <v>3124581</v>
      </c>
      <c r="M51" s="1340"/>
      <c r="O51" s="1333" t="s">
        <v>407</v>
      </c>
      <c r="P51" s="1325" t="s">
        <v>831</v>
      </c>
      <c r="Q51" s="1336">
        <f>J52</f>
        <v>0.06</v>
      </c>
      <c r="R51" s="1326"/>
    </row>
    <row r="52" spans="1:18" s="1291" customFormat="1" ht="13.5" thickBot="1">
      <c r="A52" s="922"/>
      <c r="B52" s="924"/>
      <c r="C52" s="925"/>
      <c r="D52" s="898"/>
      <c r="E52" s="926" t="s">
        <v>699</v>
      </c>
      <c r="F52" s="990"/>
      <c r="I52" s="1341" t="s">
        <v>832</v>
      </c>
      <c r="J52" s="1342">
        <v>0.06</v>
      </c>
      <c r="K52" s="1341" t="s">
        <v>833</v>
      </c>
      <c r="L52" s="1342"/>
      <c r="O52" s="1333" t="s">
        <v>408</v>
      </c>
      <c r="P52" s="1325" t="s">
        <v>834</v>
      </c>
      <c r="Q52" s="1326">
        <f ca="1">J53</f>
        <v>9.4600000000000009</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9.4600000000000009</v>
      </c>
      <c r="K53" s="3329" t="s">
        <v>837</v>
      </c>
      <c r="L53" s="3330"/>
      <c r="O53" s="1324" t="s">
        <v>409</v>
      </c>
      <c r="P53" s="1325" t="s">
        <v>838</v>
      </c>
      <c r="Q53" s="1326">
        <f ca="1">Q47+Q48</f>
        <v>3863338</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0.35899999999999999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3233592</v>
      </c>
      <c r="D56" s="1351"/>
      <c r="E56" s="1352"/>
      <c r="F56" s="1344"/>
      <c r="I56" s="1353" t="s">
        <v>842</v>
      </c>
      <c r="J56" s="1354" t="s">
        <v>3413</v>
      </c>
      <c r="K56" s="1327" t="s">
        <v>843</v>
      </c>
      <c r="L56" s="1330" t="str">
        <f ca="1">IF(L48&lt;J51,"——",L48-J51)</f>
        <v>——</v>
      </c>
      <c r="O56" s="1324" t="s">
        <v>403</v>
      </c>
      <c r="P56" s="1325" t="s">
        <v>817</v>
      </c>
      <c r="Q56" s="1326">
        <f ca="1">C40+J29</f>
        <v>2931669</v>
      </c>
      <c r="R56" s="1326" t="s">
        <v>818</v>
      </c>
    </row>
    <row r="57" spans="1:18" s="1291" customFormat="1" ht="24.75" thickBot="1">
      <c r="A57" s="1355"/>
      <c r="B57" s="895" t="s">
        <v>767</v>
      </c>
      <c r="C57" s="229">
        <f ca="1">C29</f>
        <v>4041990</v>
      </c>
      <c r="D57" s="1356"/>
      <c r="E57" s="1357"/>
      <c r="F57" s="1358"/>
      <c r="I57" s="1359" t="s">
        <v>844</v>
      </c>
      <c r="J57" s="1360">
        <f ca="1">IF(OR(M47="住宅",J51&lt;L48,J56="是"),"——",J51-L48)</f>
        <v>21.54</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65480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1616796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931669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2931669</v>
      </c>
      <c r="R62" s="1326" t="s">
        <v>410</v>
      </c>
    </row>
    <row r="63" spans="1:18" s="1291" customFormat="1" ht="13.5" thickBot="1">
      <c r="A63" s="317"/>
      <c r="B63" s="901"/>
      <c r="C63" s="26"/>
      <c r="D63" s="911"/>
      <c r="E63" s="895" t="s">
        <v>788</v>
      </c>
      <c r="F63" s="294">
        <f t="shared" ca="1" si="0"/>
        <v>108.63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60630</v>
      </c>
      <c r="D64" s="909" t="s">
        <v>791</v>
      </c>
      <c r="E64" s="895" t="s">
        <v>783</v>
      </c>
      <c r="F64" s="319">
        <f t="shared" ca="1" si="0"/>
        <v>1.4999999999999999E-2</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4850</v>
      </c>
      <c r="D65" s="909" t="s">
        <v>743</v>
      </c>
      <c r="E65" s="895" t="s">
        <v>744</v>
      </c>
      <c r="F65" s="320">
        <f t="shared" ca="1" si="0"/>
        <v>1.5E-3</v>
      </c>
      <c r="I65" s="1366" t="s">
        <v>867</v>
      </c>
      <c r="J65" s="609">
        <v>40</v>
      </c>
      <c r="K65" s="609">
        <v>30</v>
      </c>
      <c r="L65" s="609">
        <v>50</v>
      </c>
      <c r="M65" s="1368">
        <v>0.02</v>
      </c>
      <c r="O65" s="1324" t="s">
        <v>403</v>
      </c>
      <c r="P65" s="1325" t="s">
        <v>868</v>
      </c>
      <c r="Q65" s="1326">
        <f ca="1">C40+J29</f>
        <v>2931669</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-65480</v>
      </c>
      <c r="D67" s="908" t="s">
        <v>753</v>
      </c>
      <c r="E67" s="913"/>
      <c r="F67" s="914"/>
      <c r="O67" s="1333" t="s">
        <v>405</v>
      </c>
      <c r="P67" s="1325" t="s">
        <v>850</v>
      </c>
      <c r="Q67" s="1369">
        <f ca="1">L51</f>
        <v>3124581</v>
      </c>
      <c r="R67" s="1326" t="s">
        <v>870</v>
      </c>
    </row>
    <row r="68" spans="1:18" s="1291" customFormat="1" ht="16.5" thickBot="1">
      <c r="A68" s="892" t="s">
        <v>395</v>
      </c>
      <c r="B68" s="893" t="s">
        <v>774</v>
      </c>
      <c r="C68" s="292">
        <f ca="1">ROUND(C67*(1-((1+F70)/(1+F68))^F69)/(F68-F70),0)</f>
        <v>-484155</v>
      </c>
      <c r="D68" s="910" t="s">
        <v>758</v>
      </c>
      <c r="E68" s="895" t="s">
        <v>759</v>
      </c>
      <c r="F68" s="303">
        <f ca="1">F40</f>
        <v>0.05</v>
      </c>
      <c r="O68" s="1333" t="s">
        <v>406</v>
      </c>
      <c r="P68" s="1370" t="s">
        <v>871</v>
      </c>
      <c r="Q68" s="1326">
        <f ca="1">ROUND(Q69-Q70*Q71,0)</f>
        <v>188860</v>
      </c>
      <c r="R68" s="1326" t="s">
        <v>414</v>
      </c>
    </row>
    <row r="69" spans="1:18" s="1291" customFormat="1" ht="13.5" thickBot="1">
      <c r="A69" s="896"/>
      <c r="B69" s="897"/>
      <c r="C69" s="297"/>
      <c r="D69" s="915" t="s">
        <v>762</v>
      </c>
      <c r="E69" s="895" t="s">
        <v>763</v>
      </c>
      <c r="F69" s="323">
        <f ca="1">F41</f>
        <v>9.4600000000000009</v>
      </c>
      <c r="O69" s="1333" t="s">
        <v>411</v>
      </c>
      <c r="P69" s="1370" t="s">
        <v>872</v>
      </c>
      <c r="Q69" s="1326">
        <f ca="1">C39</f>
        <v>366708</v>
      </c>
      <c r="R69" s="1326" t="s">
        <v>818</v>
      </c>
    </row>
    <row r="70" spans="1:18" s="1291" customFormat="1" ht="13.5" thickBot="1">
      <c r="A70" s="899"/>
      <c r="B70" s="900"/>
      <c r="C70" s="301"/>
      <c r="D70" s="911"/>
      <c r="E70" s="895" t="s">
        <v>766</v>
      </c>
      <c r="F70" s="990"/>
      <c r="O70" s="1333" t="s">
        <v>412</v>
      </c>
      <c r="P70" s="1370" t="s">
        <v>873</v>
      </c>
      <c r="Q70" s="1326">
        <f ca="1">C13</f>
        <v>3233592</v>
      </c>
      <c r="R70" s="1326" t="s">
        <v>818</v>
      </c>
    </row>
    <row r="71" spans="1:18" s="1291" customFormat="1" ht="13.5" thickBot="1">
      <c r="A71" s="916" t="s">
        <v>396</v>
      </c>
      <c r="B71" s="917" t="s">
        <v>776</v>
      </c>
      <c r="C71" s="326">
        <f ca="1">ROUND(C68/F71,0)</f>
        <v>-546</v>
      </c>
      <c r="D71" s="918" t="s">
        <v>777</v>
      </c>
      <c r="E71" s="919" t="s">
        <v>778</v>
      </c>
      <c r="F71" s="329">
        <f ca="1">F43</f>
        <v>887.44</v>
      </c>
      <c r="O71" s="1333" t="s">
        <v>413</v>
      </c>
      <c r="P71" s="1370" t="s">
        <v>874</v>
      </c>
      <c r="Q71" s="1336">
        <f ca="1">C76</f>
        <v>5.5E-2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177848</v>
      </c>
      <c r="D75" s="1291"/>
      <c r="E75" s="1291"/>
      <c r="F75" s="1291"/>
      <c r="K75" s="1308"/>
      <c r="L75" s="1291"/>
      <c r="O75" s="1324" t="s">
        <v>409</v>
      </c>
      <c r="P75" s="1325" t="s">
        <v>838</v>
      </c>
      <c r="Q75" s="1326">
        <f ca="1">Q65+Q66</f>
        <v>2931669</v>
      </c>
      <c r="R75" s="1326" t="s">
        <v>410</v>
      </c>
    </row>
    <row r="76" spans="1:18">
      <c r="B76" s="332" t="s">
        <v>796</v>
      </c>
      <c r="C76" s="333">
        <f ca="1">INDIRECT("'数据-取费表'!j"&amp;$G$1)</f>
        <v>5.5E-2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0.51500000000000001</v>
      </c>
    </row>
    <row r="80" spans="1:18">
      <c r="B80" s="330" t="s">
        <v>800</v>
      </c>
      <c r="C80" s="265">
        <f ca="1">ROUND(C75/C39,3)</f>
        <v>0.48499999999999999</v>
      </c>
    </row>
    <row r="81" spans="2:3">
      <c r="B81" s="261" t="s">
        <v>801</v>
      </c>
      <c r="C81" s="229"/>
    </row>
    <row r="82" spans="2:3">
      <c r="B82" s="264" t="s">
        <v>802</v>
      </c>
      <c r="C82" s="266">
        <f ca="1">1-C83</f>
        <v>-0.10299999999999998</v>
      </c>
    </row>
    <row r="83" spans="2:3">
      <c r="B83" s="264" t="s">
        <v>803</v>
      </c>
      <c r="C83" s="265">
        <f ca="1">ROUND(C13/C40,3)</f>
        <v>1.103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7" t="s">
        <v>3362</v>
      </c>
      <c r="E2" s="3138"/>
      <c r="F2" s="2597"/>
      <c r="G2" s="2598"/>
      <c r="H2" s="2599"/>
      <c r="I2" s="2600"/>
      <c r="J2" s="3340" t="s">
        <v>2320</v>
      </c>
      <c r="K2" s="3341"/>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42" t="s">
        <v>2330</v>
      </c>
      <c r="K3" s="3343"/>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42" t="s">
        <v>2332</v>
      </c>
      <c r="K4" s="3343"/>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48" t="s">
        <v>2336</v>
      </c>
      <c r="B6" s="3349"/>
      <c r="C6" s="3350"/>
      <c r="D6" s="2621"/>
      <c r="E6" s="2622"/>
      <c r="F6" s="2623"/>
      <c r="G6" s="2624"/>
      <c r="H6" s="2599"/>
      <c r="I6" s="2600"/>
      <c r="J6" s="3334">
        <v>1</v>
      </c>
      <c r="K6" s="333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34"/>
      <c r="K7" s="333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1" t="s">
        <v>2350</v>
      </c>
      <c r="C8" s="3352"/>
      <c r="D8" s="2640" t="s">
        <v>2351</v>
      </c>
      <c r="E8" s="2641" t="s">
        <v>2352</v>
      </c>
      <c r="F8" s="2642" t="s">
        <v>2353</v>
      </c>
      <c r="G8" s="2643"/>
      <c r="H8" s="2599"/>
      <c r="I8" s="2600"/>
      <c r="J8" s="3334"/>
      <c r="K8" s="333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1" t="s">
        <v>2356</v>
      </c>
      <c r="C9" s="3352"/>
      <c r="D9" s="2640">
        <f>ROUND(D6*E9,0)</f>
        <v>0</v>
      </c>
      <c r="E9" s="2644"/>
      <c r="F9" s="2645" t="s">
        <v>2357</v>
      </c>
      <c r="G9" s="2624"/>
      <c r="H9" s="2599"/>
      <c r="I9" s="2600"/>
      <c r="J9" s="3334"/>
      <c r="K9" s="3336"/>
      <c r="L9" s="2634" t="s">
        <v>2358</v>
      </c>
      <c r="M9" s="2635"/>
      <c r="N9" s="2611"/>
      <c r="O9" s="2636"/>
      <c r="P9" s="2636"/>
      <c r="Q9" s="2637">
        <v>365</v>
      </c>
      <c r="R9" s="2638">
        <f t="shared" si="0"/>
        <v>0</v>
      </c>
      <c r="S9" s="2592"/>
      <c r="T9" s="2592"/>
      <c r="U9" s="2592"/>
      <c r="V9" s="2600"/>
    </row>
    <row r="10" spans="1:22" s="2604" customFormat="1" ht="13.15" customHeight="1">
      <c r="A10" s="2639">
        <v>2</v>
      </c>
      <c r="B10" s="3351" t="s">
        <v>2359</v>
      </c>
      <c r="C10" s="3352"/>
      <c r="D10" s="2640">
        <f>ROUND(D6*E10,0)</f>
        <v>0</v>
      </c>
      <c r="E10" s="2644"/>
      <c r="F10" s="2645" t="s">
        <v>2360</v>
      </c>
      <c r="G10" s="2624"/>
      <c r="H10" s="2599"/>
      <c r="I10" s="2600"/>
      <c r="J10" s="3334"/>
      <c r="K10" s="3336"/>
      <c r="L10" s="2634" t="s">
        <v>2361</v>
      </c>
      <c r="M10" s="2635"/>
      <c r="N10" s="2611"/>
      <c r="O10" s="2636"/>
      <c r="P10" s="2636"/>
      <c r="Q10" s="2637">
        <v>365</v>
      </c>
      <c r="R10" s="2638">
        <f t="shared" si="0"/>
        <v>0</v>
      </c>
      <c r="S10" s="2592"/>
      <c r="T10" s="2592"/>
      <c r="U10" s="2592"/>
      <c r="V10" s="2600"/>
    </row>
    <row r="11" spans="1:22" s="2604" customFormat="1" ht="13.15" customHeight="1">
      <c r="A11" s="2639">
        <v>3</v>
      </c>
      <c r="B11" s="3351" t="s">
        <v>2362</v>
      </c>
      <c r="C11" s="3352"/>
      <c r="D11" s="2640">
        <f>D12+D14+D15+D16</f>
        <v>0</v>
      </c>
      <c r="E11" s="2646" t="e">
        <f>D11/D6</f>
        <v>#DIV/0!</v>
      </c>
      <c r="F11" s="2642"/>
      <c r="G11" s="2643"/>
      <c r="H11" s="2599"/>
      <c r="I11" s="2600"/>
      <c r="J11" s="3334"/>
      <c r="K11" s="333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44" t="s">
        <v>2365</v>
      </c>
      <c r="C12" s="3345"/>
      <c r="D12" s="2648">
        <f>ROUND(D13*1.2%*(1-30%),0)</f>
        <v>0</v>
      </c>
      <c r="E12" s="2649">
        <v>1.2E-2</v>
      </c>
      <c r="F12" s="2642" t="s">
        <v>2366</v>
      </c>
      <c r="G12" s="2643"/>
      <c r="H12" s="2599"/>
      <c r="I12" s="2600"/>
      <c r="J12" s="3334"/>
      <c r="K12" s="333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34"/>
      <c r="K13" s="333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44" t="s">
        <v>2371</v>
      </c>
      <c r="C14" s="3345"/>
      <c r="D14" s="2648">
        <f>ROUND(E14*B5/10000,0)</f>
        <v>0</v>
      </c>
      <c r="E14" s="2637"/>
      <c r="F14" s="2642" t="s">
        <v>2372</v>
      </c>
      <c r="G14" s="2643"/>
      <c r="H14" s="2599"/>
      <c r="I14" s="2600"/>
      <c r="J14" s="3334"/>
      <c r="K14" s="333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44" t="s">
        <v>2375</v>
      </c>
      <c r="C15" s="3345"/>
      <c r="D15" s="2648">
        <f>ROUND(D6*E15,0)</f>
        <v>0</v>
      </c>
      <c r="E15" s="2649">
        <v>5.5E-2</v>
      </c>
      <c r="F15" s="2642" t="s">
        <v>2376</v>
      </c>
      <c r="G15" s="2624"/>
      <c r="H15" s="2599"/>
      <c r="I15" s="2600"/>
      <c r="J15" s="3334">
        <v>2</v>
      </c>
      <c r="K15" s="333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44" t="s">
        <v>2384</v>
      </c>
      <c r="C16" s="3345"/>
      <c r="D16" s="2659">
        <f>D6*E16</f>
        <v>0</v>
      </c>
      <c r="E16" s="2660"/>
      <c r="F16" s="2645" t="s">
        <v>2385</v>
      </c>
      <c r="G16" s="2624"/>
      <c r="H16" s="2599"/>
      <c r="I16" s="2600"/>
      <c r="J16" s="3334"/>
      <c r="K16" s="333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46" t="s">
        <v>2387</v>
      </c>
      <c r="C17" s="3347"/>
      <c r="D17" s="2662">
        <f>ROUND(D6*E17,0)</f>
        <v>0</v>
      </c>
      <c r="E17" s="2663"/>
      <c r="F17" s="2664" t="s">
        <v>2388</v>
      </c>
      <c r="G17" s="2624"/>
      <c r="H17" s="2599"/>
      <c r="I17" s="2600"/>
      <c r="J17" s="3334"/>
      <c r="K17" s="333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34"/>
      <c r="K18" s="333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34"/>
      <c r="K19" s="333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34">
        <v>3</v>
      </c>
      <c r="K20" s="333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34"/>
      <c r="K21" s="333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34"/>
      <c r="K22" s="333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34"/>
      <c r="K23" s="333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34"/>
      <c r="K24" s="333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38">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3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0" t="s">
        <v>2320</v>
      </c>
      <c r="K32" s="3341"/>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42" t="s">
        <v>2330</v>
      </c>
      <c r="K33" s="3343"/>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42" t="s">
        <v>2332</v>
      </c>
      <c r="K34" s="334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34">
        <v>1</v>
      </c>
      <c r="K36" s="333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34"/>
      <c r="K37" s="333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34"/>
      <c r="K38" s="333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34"/>
      <c r="K39" s="333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34"/>
      <c r="K40" s="333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38">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3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386.3338</v>
      </c>
      <c r="C2" s="1728" t="s">
        <v>1651</v>
      </c>
      <c r="D2" s="1729" t="s">
        <v>1652</v>
      </c>
      <c r="E2" s="2392">
        <f>SUM(E6:E13)</f>
        <v>887.44</v>
      </c>
      <c r="F2" s="2479"/>
      <c r="G2" s="458"/>
      <c r="H2" s="458"/>
      <c r="I2" s="458"/>
      <c r="J2" s="458"/>
      <c r="K2" s="458"/>
      <c r="L2" s="458"/>
      <c r="M2" s="458"/>
      <c r="N2" s="458"/>
      <c r="O2" s="458"/>
      <c r="P2" s="458"/>
      <c r="Q2" s="458"/>
      <c r="R2" s="458"/>
      <c r="S2" s="458"/>
    </row>
    <row r="3" spans="1:22" ht="15.75">
      <c r="A3" s="1727" t="s">
        <v>686</v>
      </c>
      <c r="B3" s="2386">
        <f ca="1">ROUND(B2*10000/E2,0)</f>
        <v>4353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53" t="s">
        <v>1654</v>
      </c>
      <c r="C5" s="335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386.3338</v>
      </c>
      <c r="C6" s="1728" t="s">
        <v>1651</v>
      </c>
      <c r="D6" s="2479"/>
      <c r="E6" s="2391">
        <f>IF(OR(A6=0,F6="否"),0,'数据-取费表'!K6+'数据-取费表'!S6)</f>
        <v>887.44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7099.51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73" t="s">
        <v>1667</v>
      </c>
      <c r="D4" s="3374"/>
      <c r="E4" s="3375" t="s">
        <v>1668</v>
      </c>
      <c r="F4" s="3376"/>
      <c r="G4" s="3373" t="s">
        <v>1669</v>
      </c>
      <c r="H4" s="3374"/>
      <c r="I4" s="3373" t="s">
        <v>1670</v>
      </c>
      <c r="J4" s="3374"/>
      <c r="K4" s="1743" t="s">
        <v>1671</v>
      </c>
      <c r="L4" s="2486"/>
      <c r="M4" s="2487"/>
      <c r="N4" s="2487"/>
      <c r="O4" s="2487"/>
      <c r="P4" s="3377" t="s">
        <v>1672</v>
      </c>
      <c r="Q4" s="3378"/>
      <c r="R4" s="3383" t="s">
        <v>1668</v>
      </c>
      <c r="S4" s="3384"/>
      <c r="T4" s="3383" t="s">
        <v>1669</v>
      </c>
      <c r="U4" s="3384"/>
      <c r="V4" s="3359" t="s">
        <v>1670</v>
      </c>
      <c r="W4" s="3359"/>
      <c r="X4" s="1264"/>
      <c r="Y4" s="3383" t="s">
        <v>1672</v>
      </c>
      <c r="Z4" s="3384"/>
      <c r="AA4" s="3370" t="s">
        <v>1668</v>
      </c>
      <c r="AB4" s="3370" t="s">
        <v>1669</v>
      </c>
      <c r="AC4" s="3370" t="s">
        <v>1670</v>
      </c>
    </row>
    <row r="5" spans="1:29" ht="15">
      <c r="A5" s="347"/>
      <c r="B5" s="348"/>
      <c r="C5" s="3391" t="s">
        <v>1673</v>
      </c>
      <c r="D5" s="3392"/>
      <c r="E5" s="3398" t="s">
        <v>1674</v>
      </c>
      <c r="F5" s="3399"/>
      <c r="G5" s="3391" t="s">
        <v>1675</v>
      </c>
      <c r="H5" s="3392"/>
      <c r="I5" s="3391" t="s">
        <v>1676</v>
      </c>
      <c r="J5" s="3392"/>
      <c r="K5" s="1744"/>
      <c r="L5" s="2486"/>
      <c r="M5" s="2487"/>
      <c r="N5" s="2487"/>
      <c r="O5" s="2487"/>
      <c r="P5" s="3379"/>
      <c r="Q5" s="3380"/>
      <c r="R5" s="3385"/>
      <c r="S5" s="3386"/>
      <c r="T5" s="3385"/>
      <c r="U5" s="3386"/>
      <c r="V5" s="3359"/>
      <c r="W5" s="3359"/>
      <c r="X5" s="1264"/>
      <c r="Y5" s="3385"/>
      <c r="Z5" s="3386"/>
      <c r="AA5" s="3371"/>
      <c r="AB5" s="3371"/>
      <c r="AC5" s="3371"/>
    </row>
    <row r="6" spans="1:29" ht="15.75" thickBot="1">
      <c r="A6" s="349"/>
      <c r="B6" s="350"/>
      <c r="C6" s="3389" t="s">
        <v>1677</v>
      </c>
      <c r="D6" s="3390"/>
      <c r="E6" s="3396" t="s">
        <v>1677</v>
      </c>
      <c r="F6" s="3397"/>
      <c r="G6" s="3389" t="s">
        <v>1677</v>
      </c>
      <c r="H6" s="3390"/>
      <c r="I6" s="3389" t="s">
        <v>1677</v>
      </c>
      <c r="J6" s="3390"/>
      <c r="K6" s="1744" t="s">
        <v>1678</v>
      </c>
      <c r="L6" s="2486"/>
      <c r="M6" s="2487"/>
      <c r="N6" s="2487"/>
      <c r="O6" s="2487"/>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93" t="s">
        <v>1680</v>
      </c>
      <c r="Q7" s="3395"/>
      <c r="R7" s="663" t="s">
        <v>20</v>
      </c>
      <c r="S7" s="664">
        <f t="shared" ref="S7:S15" si="0">F7</f>
        <v>0</v>
      </c>
      <c r="T7" s="663" t="s">
        <v>20</v>
      </c>
      <c r="U7" s="664">
        <f t="shared" ref="U7:U15" si="1">H7</f>
        <v>0</v>
      </c>
      <c r="V7" s="663" t="s">
        <v>20</v>
      </c>
      <c r="W7" s="664">
        <f t="shared" ref="W7:W15" si="2">J7</f>
        <v>0</v>
      </c>
      <c r="X7" s="665"/>
      <c r="Y7" s="3393" t="s">
        <v>1680</v>
      </c>
      <c r="Z7" s="3394"/>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93" t="s">
        <v>1683</v>
      </c>
      <c r="Q8" s="3394"/>
      <c r="R8" s="663" t="s">
        <v>20</v>
      </c>
      <c r="S8" s="664">
        <f t="shared" si="0"/>
        <v>100</v>
      </c>
      <c r="T8" s="663" t="s">
        <v>20</v>
      </c>
      <c r="U8" s="664">
        <f t="shared" si="1"/>
        <v>100</v>
      </c>
      <c r="V8" s="663" t="s">
        <v>20</v>
      </c>
      <c r="W8" s="664">
        <f t="shared" si="2"/>
        <v>100</v>
      </c>
      <c r="X8" s="665"/>
      <c r="Y8" s="3393" t="s">
        <v>1683</v>
      </c>
      <c r="Z8" s="3394"/>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69"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9"/>
      <c r="M10" s="2490"/>
      <c r="N10" s="2490"/>
      <c r="O10" s="2490"/>
      <c r="P10" s="3369"/>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69"/>
      <c r="Q11" s="529" t="str">
        <f t="shared" si="6"/>
        <v>容积率</v>
      </c>
      <c r="R11" s="663" t="s">
        <v>18</v>
      </c>
      <c r="S11" s="664" t="e">
        <f t="shared" si="0"/>
        <v>#N/A</v>
      </c>
      <c r="T11" s="663" t="s">
        <v>18</v>
      </c>
      <c r="U11" s="664" t="e">
        <f t="shared" si="1"/>
        <v>#N/A</v>
      </c>
      <c r="V11" s="663" t="s">
        <v>18</v>
      </c>
      <c r="W11" s="664" t="e">
        <f t="shared" si="2"/>
        <v>#N/A</v>
      </c>
      <c r="X11" s="665"/>
      <c r="Y11" s="323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69"/>
      <c r="Q12" s="529">
        <f t="shared" si="6"/>
        <v>111</v>
      </c>
      <c r="R12" s="663" t="s">
        <v>18</v>
      </c>
      <c r="S12" s="664">
        <f t="shared" si="0"/>
        <v>100</v>
      </c>
      <c r="T12" s="663" t="s">
        <v>18</v>
      </c>
      <c r="U12" s="664">
        <f t="shared" si="1"/>
        <v>100</v>
      </c>
      <c r="V12" s="663" t="s">
        <v>18</v>
      </c>
      <c r="W12" s="664">
        <f t="shared" si="2"/>
        <v>100</v>
      </c>
      <c r="X12" s="665"/>
      <c r="Y12" s="323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69"/>
      <c r="Q13" s="529">
        <f t="shared" si="6"/>
        <v>111</v>
      </c>
      <c r="R13" s="663" t="s">
        <v>18</v>
      </c>
      <c r="S13" s="664">
        <f t="shared" si="0"/>
        <v>100</v>
      </c>
      <c r="T13" s="663" t="s">
        <v>18</v>
      </c>
      <c r="U13" s="664">
        <f t="shared" si="1"/>
        <v>100</v>
      </c>
      <c r="V13" s="663" t="s">
        <v>18</v>
      </c>
      <c r="W13" s="664">
        <f t="shared" si="2"/>
        <v>100</v>
      </c>
      <c r="X13" s="665"/>
      <c r="Y13" s="323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69"/>
      <c r="Q14" s="529">
        <f t="shared" si="6"/>
        <v>111</v>
      </c>
      <c r="R14" s="663" t="s">
        <v>18</v>
      </c>
      <c r="S14" s="664">
        <f t="shared" si="0"/>
        <v>100</v>
      </c>
      <c r="T14" s="663" t="s">
        <v>18</v>
      </c>
      <c r="U14" s="664">
        <f t="shared" si="1"/>
        <v>100</v>
      </c>
      <c r="V14" s="663" t="s">
        <v>18</v>
      </c>
      <c r="W14" s="664">
        <f t="shared" si="2"/>
        <v>100</v>
      </c>
      <c r="X14" s="665"/>
      <c r="Y14" s="3233"/>
      <c r="Z14" s="50">
        <f t="shared" si="7"/>
        <v>111</v>
      </c>
      <c r="AA14" s="50">
        <f t="shared" si="3"/>
        <v>1</v>
      </c>
      <c r="AB14" s="50">
        <f t="shared" si="4"/>
        <v>1</v>
      </c>
      <c r="AC14" s="50">
        <f t="shared" si="5"/>
        <v>1</v>
      </c>
    </row>
    <row r="15" spans="1:29" ht="85.5">
      <c r="A15" s="378" t="s">
        <v>1690</v>
      </c>
      <c r="B15" s="57"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67" t="s">
        <v>1691</v>
      </c>
      <c r="Q15" s="1262" t="str">
        <f t="shared" si="6"/>
        <v>居住社区成熟度</v>
      </c>
      <c r="R15" s="666" t="s">
        <v>18</v>
      </c>
      <c r="S15" s="667">
        <f t="shared" si="0"/>
        <v>100</v>
      </c>
      <c r="T15" s="666" t="s">
        <v>18</v>
      </c>
      <c r="U15" s="667">
        <f t="shared" si="1"/>
        <v>100</v>
      </c>
      <c r="V15" s="666" t="s">
        <v>18</v>
      </c>
      <c r="W15" s="667">
        <f t="shared" si="2"/>
        <v>100</v>
      </c>
      <c r="X15" s="1264"/>
      <c r="Y15" s="336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68"/>
      <c r="Q16" s="1262"/>
      <c r="R16" s="666"/>
      <c r="S16" s="667"/>
      <c r="T16" s="666"/>
      <c r="U16" s="667"/>
      <c r="V16" s="666"/>
      <c r="W16" s="667"/>
      <c r="X16" s="1264"/>
      <c r="Y16" s="3361"/>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68"/>
      <c r="Q17" s="1262" t="str">
        <f>B17</f>
        <v>交通便捷度</v>
      </c>
      <c r="R17" s="666" t="s">
        <v>18</v>
      </c>
      <c r="S17" s="667">
        <f>F17</f>
        <v>100</v>
      </c>
      <c r="T17" s="666" t="s">
        <v>18</v>
      </c>
      <c r="U17" s="667">
        <f>H17</f>
        <v>100</v>
      </c>
      <c r="V17" s="666" t="s">
        <v>18</v>
      </c>
      <c r="W17" s="667">
        <f>J17</f>
        <v>100</v>
      </c>
      <c r="X17" s="1264"/>
      <c r="Y17" s="336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68"/>
      <c r="Q18" s="1262"/>
      <c r="R18" s="666"/>
      <c r="S18" s="667"/>
      <c r="T18" s="666"/>
      <c r="U18" s="667"/>
      <c r="V18" s="666"/>
      <c r="W18" s="667"/>
      <c r="X18" s="1264"/>
      <c r="Y18" s="3361"/>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68"/>
      <c r="Q19" s="1262" t="str">
        <f>B19</f>
        <v>公共配套设施</v>
      </c>
      <c r="R19" s="666" t="s">
        <v>18</v>
      </c>
      <c r="S19" s="667">
        <f>F19</f>
        <v>100</v>
      </c>
      <c r="T19" s="666" t="s">
        <v>18</v>
      </c>
      <c r="U19" s="667">
        <f>H19</f>
        <v>100</v>
      </c>
      <c r="V19" s="666" t="s">
        <v>18</v>
      </c>
      <c r="W19" s="667">
        <f>J19</f>
        <v>100</v>
      </c>
      <c r="X19" s="1264"/>
      <c r="Y19" s="336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68"/>
      <c r="Q20" s="1262"/>
      <c r="R20" s="666"/>
      <c r="S20" s="667"/>
      <c r="T20" s="666"/>
      <c r="U20" s="667"/>
      <c r="V20" s="666"/>
      <c r="W20" s="667"/>
      <c r="X20" s="1264"/>
      <c r="Y20" s="3361"/>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68"/>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68"/>
      <c r="Q22" s="1262"/>
      <c r="R22" s="666"/>
      <c r="S22" s="667"/>
      <c r="T22" s="666"/>
      <c r="U22" s="667"/>
      <c r="V22" s="666"/>
      <c r="W22" s="667"/>
      <c r="X22" s="1264"/>
      <c r="Y22" s="3361"/>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68"/>
      <c r="Q23" s="1262" t="str">
        <f>B23</f>
        <v>自然及人文环境</v>
      </c>
      <c r="R23" s="666" t="s">
        <v>18</v>
      </c>
      <c r="S23" s="667">
        <f>F23</f>
        <v>100</v>
      </c>
      <c r="T23" s="666" t="s">
        <v>18</v>
      </c>
      <c r="U23" s="667">
        <f>H23</f>
        <v>100</v>
      </c>
      <c r="V23" s="666" t="s">
        <v>18</v>
      </c>
      <c r="W23" s="667">
        <f>J23</f>
        <v>100</v>
      </c>
      <c r="X23" s="1264"/>
      <c r="Y23" s="336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68"/>
      <c r="Q24" s="1262"/>
      <c r="R24" s="666"/>
      <c r="S24" s="667"/>
      <c r="T24" s="666"/>
      <c r="U24" s="667"/>
      <c r="V24" s="666"/>
      <c r="W24" s="667"/>
      <c r="X24" s="1264"/>
      <c r="Y24" s="336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6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68"/>
      <c r="Q26" s="1262" t="str">
        <f t="shared" si="11"/>
        <v>朝向</v>
      </c>
      <c r="R26" s="666" t="s">
        <v>18</v>
      </c>
      <c r="S26" s="667">
        <f t="shared" si="12"/>
        <v>100</v>
      </c>
      <c r="T26" s="666" t="s">
        <v>18</v>
      </c>
      <c r="U26" s="667">
        <f t="shared" si="13"/>
        <v>100</v>
      </c>
      <c r="V26" s="666" t="s">
        <v>18</v>
      </c>
      <c r="W26" s="667">
        <f t="shared" si="14"/>
        <v>100</v>
      </c>
      <c r="X26" s="1264"/>
      <c r="Y26" s="336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68"/>
      <c r="Q27" s="529">
        <f t="shared" si="11"/>
        <v>111</v>
      </c>
      <c r="R27" s="663" t="s">
        <v>18</v>
      </c>
      <c r="S27" s="664">
        <f t="shared" si="12"/>
        <v>100</v>
      </c>
      <c r="T27" s="663" t="s">
        <v>18</v>
      </c>
      <c r="U27" s="664">
        <f t="shared" si="13"/>
        <v>100</v>
      </c>
      <c r="V27" s="663" t="s">
        <v>18</v>
      </c>
      <c r="W27" s="664">
        <f t="shared" si="14"/>
        <v>100</v>
      </c>
      <c r="X27" s="665"/>
      <c r="Y27" s="336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68"/>
      <c r="Q28" s="1262">
        <f t="shared" si="11"/>
        <v>111</v>
      </c>
      <c r="R28" s="666" t="s">
        <v>18</v>
      </c>
      <c r="S28" s="667">
        <f t="shared" si="12"/>
        <v>100</v>
      </c>
      <c r="T28" s="666" t="s">
        <v>18</v>
      </c>
      <c r="U28" s="667">
        <f t="shared" si="13"/>
        <v>100</v>
      </c>
      <c r="V28" s="666" t="s">
        <v>18</v>
      </c>
      <c r="W28" s="667">
        <f t="shared" si="14"/>
        <v>100</v>
      </c>
      <c r="X28" s="1264"/>
      <c r="Y28" s="336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68"/>
      <c r="Q29" s="1262">
        <f t="shared" si="11"/>
        <v>111</v>
      </c>
      <c r="R29" s="666" t="s">
        <v>18</v>
      </c>
      <c r="S29" s="667">
        <f t="shared" si="12"/>
        <v>100</v>
      </c>
      <c r="T29" s="666" t="s">
        <v>18</v>
      </c>
      <c r="U29" s="667">
        <f t="shared" si="13"/>
        <v>100</v>
      </c>
      <c r="V29" s="666" t="s">
        <v>18</v>
      </c>
      <c r="W29" s="667">
        <f t="shared" si="14"/>
        <v>100</v>
      </c>
      <c r="X29" s="1264"/>
      <c r="Y29" s="336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68"/>
      <c r="Q30" s="1262">
        <f t="shared" si="11"/>
        <v>111</v>
      </c>
      <c r="R30" s="666" t="s">
        <v>18</v>
      </c>
      <c r="S30" s="667">
        <f t="shared" si="12"/>
        <v>100</v>
      </c>
      <c r="T30" s="666" t="s">
        <v>18</v>
      </c>
      <c r="U30" s="667">
        <f t="shared" si="13"/>
        <v>100</v>
      </c>
      <c r="V30" s="666" t="s">
        <v>18</v>
      </c>
      <c r="W30" s="667">
        <f t="shared" si="14"/>
        <v>100</v>
      </c>
      <c r="X30" s="1264"/>
      <c r="Y30" s="336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68"/>
      <c r="Q31" s="1262">
        <f t="shared" si="11"/>
        <v>111</v>
      </c>
      <c r="R31" s="666" t="s">
        <v>18</v>
      </c>
      <c r="S31" s="667">
        <f t="shared" si="12"/>
        <v>100</v>
      </c>
      <c r="T31" s="666" t="s">
        <v>18</v>
      </c>
      <c r="U31" s="667">
        <f t="shared" si="13"/>
        <v>100</v>
      </c>
      <c r="V31" s="666" t="s">
        <v>18</v>
      </c>
      <c r="W31" s="667">
        <f t="shared" si="14"/>
        <v>100</v>
      </c>
      <c r="X31" s="1264"/>
      <c r="Y31" s="3361"/>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62" t="s">
        <v>1696</v>
      </c>
      <c r="Q32" s="1262" t="str">
        <f t="shared" si="11"/>
        <v>建筑类型</v>
      </c>
      <c r="R32" s="666" t="s">
        <v>18</v>
      </c>
      <c r="S32" s="667">
        <f t="shared" si="12"/>
        <v>100</v>
      </c>
      <c r="T32" s="666" t="s">
        <v>18</v>
      </c>
      <c r="U32" s="667">
        <f t="shared" si="13"/>
        <v>100</v>
      </c>
      <c r="V32" s="666" t="s">
        <v>18</v>
      </c>
      <c r="W32" s="667">
        <f t="shared" si="14"/>
        <v>100</v>
      </c>
      <c r="X32" s="1264"/>
      <c r="Y32" s="336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63"/>
      <c r="Q33" s="530" t="str">
        <f t="shared" si="11"/>
        <v>项目建筑规模</v>
      </c>
      <c r="R33" s="668" t="s">
        <v>18</v>
      </c>
      <c r="S33" s="669" t="e">
        <f t="shared" si="12"/>
        <v>#N/A</v>
      </c>
      <c r="T33" s="668" t="s">
        <v>18</v>
      </c>
      <c r="U33" s="669" t="e">
        <f t="shared" si="13"/>
        <v>#N/A</v>
      </c>
      <c r="V33" s="668" t="s">
        <v>18</v>
      </c>
      <c r="W33" s="669" t="e">
        <f t="shared" si="14"/>
        <v>#N/A</v>
      </c>
      <c r="X33" s="670"/>
      <c r="Y33" s="336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63"/>
      <c r="Q34" s="1262" t="str">
        <f t="shared" si="11"/>
        <v>建筑结构</v>
      </c>
      <c r="R34" s="666" t="s">
        <v>18</v>
      </c>
      <c r="S34" s="667">
        <f t="shared" si="12"/>
        <v>100</v>
      </c>
      <c r="T34" s="666" t="s">
        <v>18</v>
      </c>
      <c r="U34" s="667">
        <f t="shared" si="13"/>
        <v>100</v>
      </c>
      <c r="V34" s="666" t="s">
        <v>18</v>
      </c>
      <c r="W34" s="667">
        <f t="shared" si="14"/>
        <v>100</v>
      </c>
      <c r="X34" s="1264"/>
      <c r="Y34" s="336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63"/>
      <c r="Q35" s="1262" t="str">
        <f t="shared" si="11"/>
        <v>建筑品质</v>
      </c>
      <c r="R35" s="666" t="s">
        <v>18</v>
      </c>
      <c r="S35" s="667">
        <f t="shared" si="12"/>
        <v>100</v>
      </c>
      <c r="T35" s="666" t="s">
        <v>18</v>
      </c>
      <c r="U35" s="667">
        <f t="shared" si="13"/>
        <v>100</v>
      </c>
      <c r="V35" s="666" t="s">
        <v>18</v>
      </c>
      <c r="W35" s="667">
        <f t="shared" si="14"/>
        <v>100</v>
      </c>
      <c r="X35" s="1264"/>
      <c r="Y35" s="336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63"/>
      <c r="Q36" s="1262" t="str">
        <f t="shared" si="11"/>
        <v>公共部分装修</v>
      </c>
      <c r="R36" s="666" t="s">
        <v>18</v>
      </c>
      <c r="S36" s="667">
        <f t="shared" si="12"/>
        <v>100</v>
      </c>
      <c r="T36" s="666" t="s">
        <v>18</v>
      </c>
      <c r="U36" s="667">
        <f t="shared" si="13"/>
        <v>100</v>
      </c>
      <c r="V36" s="666" t="s">
        <v>18</v>
      </c>
      <c r="W36" s="667">
        <f t="shared" si="14"/>
        <v>100</v>
      </c>
      <c r="X36" s="1264"/>
      <c r="Y36" s="336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63"/>
      <c r="Q37" s="529" t="str">
        <f t="shared" si="11"/>
        <v>成新度</v>
      </c>
      <c r="R37" s="663" t="s">
        <v>18</v>
      </c>
      <c r="S37" s="664" t="e">
        <f t="shared" si="12"/>
        <v>#N/A</v>
      </c>
      <c r="T37" s="663" t="s">
        <v>18</v>
      </c>
      <c r="U37" s="664" t="e">
        <f t="shared" si="13"/>
        <v>#N/A</v>
      </c>
      <c r="V37" s="663" t="s">
        <v>18</v>
      </c>
      <c r="W37" s="664" t="e">
        <f t="shared" si="14"/>
        <v>#N/A</v>
      </c>
      <c r="X37" s="665"/>
      <c r="Y37" s="336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63" t="s">
        <v>1696</v>
      </c>
      <c r="Q38" s="1262" t="str">
        <f t="shared" si="11"/>
        <v>物业管理</v>
      </c>
      <c r="R38" s="666" t="s">
        <v>18</v>
      </c>
      <c r="S38" s="667">
        <f t="shared" si="12"/>
        <v>100</v>
      </c>
      <c r="T38" s="666" t="s">
        <v>18</v>
      </c>
      <c r="U38" s="667">
        <f t="shared" si="13"/>
        <v>100</v>
      </c>
      <c r="V38" s="666" t="s">
        <v>18</v>
      </c>
      <c r="W38" s="667">
        <f t="shared" si="14"/>
        <v>100</v>
      </c>
      <c r="X38" s="1264"/>
      <c r="Y38" s="336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63"/>
      <c r="Q39" s="1262" t="str">
        <f t="shared" si="11"/>
        <v>市政基础设施</v>
      </c>
      <c r="R39" s="666" t="s">
        <v>18</v>
      </c>
      <c r="S39" s="667">
        <f t="shared" si="12"/>
        <v>100</v>
      </c>
      <c r="T39" s="666" t="s">
        <v>18</v>
      </c>
      <c r="U39" s="667">
        <f t="shared" si="13"/>
        <v>100</v>
      </c>
      <c r="V39" s="666" t="s">
        <v>18</v>
      </c>
      <c r="W39" s="667">
        <f t="shared" si="14"/>
        <v>100</v>
      </c>
      <c r="X39" s="1264"/>
      <c r="Y39" s="336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63"/>
      <c r="Q40" s="1262" t="str">
        <f t="shared" si="11"/>
        <v>房型</v>
      </c>
      <c r="R40" s="666" t="s">
        <v>18</v>
      </c>
      <c r="S40" s="667">
        <f t="shared" si="12"/>
        <v>100</v>
      </c>
      <c r="T40" s="666" t="s">
        <v>18</v>
      </c>
      <c r="U40" s="667">
        <f t="shared" si="13"/>
        <v>100</v>
      </c>
      <c r="V40" s="666" t="s">
        <v>18</v>
      </c>
      <c r="W40" s="667">
        <f t="shared" si="14"/>
        <v>100</v>
      </c>
      <c r="X40" s="1264"/>
      <c r="Y40" s="336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63"/>
      <c r="Q41" s="530" t="str">
        <f t="shared" si="11"/>
        <v>单套/主力户型建筑面积</v>
      </c>
      <c r="R41" s="668" t="s">
        <v>18</v>
      </c>
      <c r="S41" s="669">
        <f t="shared" si="12"/>
        <v>100</v>
      </c>
      <c r="T41" s="668" t="s">
        <v>18</v>
      </c>
      <c r="U41" s="669">
        <f t="shared" si="13"/>
        <v>100</v>
      </c>
      <c r="V41" s="668" t="s">
        <v>18</v>
      </c>
      <c r="W41" s="669">
        <f t="shared" si="14"/>
        <v>100</v>
      </c>
      <c r="X41" s="670"/>
      <c r="Y41" s="336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63"/>
      <c r="Q42" s="1262" t="str">
        <f t="shared" si="11"/>
        <v>内部装修</v>
      </c>
      <c r="R42" s="666" t="s">
        <v>18</v>
      </c>
      <c r="S42" s="667">
        <f t="shared" si="12"/>
        <v>100</v>
      </c>
      <c r="T42" s="666" t="s">
        <v>18</v>
      </c>
      <c r="U42" s="667">
        <f t="shared" si="13"/>
        <v>100</v>
      </c>
      <c r="V42" s="666" t="s">
        <v>18</v>
      </c>
      <c r="W42" s="667">
        <f t="shared" si="14"/>
        <v>100</v>
      </c>
      <c r="X42" s="1264"/>
      <c r="Y42" s="336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63"/>
      <c r="Q43" s="1262" t="str">
        <f t="shared" si="11"/>
        <v>内部装修维护情况</v>
      </c>
      <c r="R43" s="666" t="s">
        <v>18</v>
      </c>
      <c r="S43" s="667">
        <f t="shared" si="12"/>
        <v>100</v>
      </c>
      <c r="T43" s="666" t="s">
        <v>18</v>
      </c>
      <c r="U43" s="667">
        <f t="shared" si="13"/>
        <v>100</v>
      </c>
      <c r="V43" s="666" t="s">
        <v>18</v>
      </c>
      <c r="W43" s="667">
        <f t="shared" si="14"/>
        <v>100</v>
      </c>
      <c r="X43" s="1264"/>
      <c r="Y43" s="336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63"/>
      <c r="Q44" s="529">
        <f t="shared" si="11"/>
        <v>111</v>
      </c>
      <c r="R44" s="663" t="s">
        <v>18</v>
      </c>
      <c r="S44" s="664">
        <f t="shared" si="12"/>
        <v>100</v>
      </c>
      <c r="T44" s="663" t="s">
        <v>18</v>
      </c>
      <c r="U44" s="664">
        <f t="shared" si="13"/>
        <v>100</v>
      </c>
      <c r="V44" s="663" t="s">
        <v>18</v>
      </c>
      <c r="W44" s="664">
        <f t="shared" si="14"/>
        <v>100</v>
      </c>
      <c r="X44" s="665"/>
      <c r="Y44" s="336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63"/>
      <c r="Q45" s="1262">
        <f t="shared" si="11"/>
        <v>111</v>
      </c>
      <c r="R45" s="666" t="s">
        <v>18</v>
      </c>
      <c r="S45" s="667">
        <f t="shared" si="12"/>
        <v>100</v>
      </c>
      <c r="T45" s="666" t="s">
        <v>18</v>
      </c>
      <c r="U45" s="667">
        <f t="shared" si="13"/>
        <v>100</v>
      </c>
      <c r="V45" s="666" t="s">
        <v>18</v>
      </c>
      <c r="W45" s="667">
        <f t="shared" si="14"/>
        <v>100</v>
      </c>
      <c r="X45" s="1264"/>
      <c r="Y45" s="336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64"/>
      <c r="Q46" s="1262">
        <f t="shared" si="11"/>
        <v>111</v>
      </c>
      <c r="R46" s="666" t="s">
        <v>17</v>
      </c>
      <c r="S46" s="667">
        <f t="shared" si="12"/>
        <v>100</v>
      </c>
      <c r="T46" s="666" t="s">
        <v>17</v>
      </c>
      <c r="U46" s="667">
        <f t="shared" si="13"/>
        <v>100</v>
      </c>
      <c r="V46" s="666" t="s">
        <v>17</v>
      </c>
      <c r="W46" s="667">
        <f t="shared" si="14"/>
        <v>100</v>
      </c>
      <c r="X46" s="1264"/>
      <c r="Y46" s="3366"/>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58" t="str">
        <f>A47</f>
        <v>成交单价（元/平方米）</v>
      </c>
      <c r="Q47" s="3358"/>
      <c r="R47" s="3359">
        <f>E47</f>
        <v>0</v>
      </c>
      <c r="S47" s="3359"/>
      <c r="T47" s="3359">
        <f>G47</f>
        <v>0</v>
      </c>
      <c r="U47" s="3359"/>
      <c r="V47" s="3359">
        <f>I47</f>
        <v>0</v>
      </c>
      <c r="W47" s="3359"/>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2024-3</v>
      </c>
      <c r="D58" s="1103">
        <f>EDATE(C58,-1)</f>
        <v>45323</v>
      </c>
      <c r="E58" s="1103">
        <f>EDATE(D58,-1)</f>
        <v>45292</v>
      </c>
      <c r="F58" s="1103">
        <f t="shared" ref="F58:O58" si="19">EDATE(E58,-1)</f>
        <v>45261</v>
      </c>
      <c r="G58" s="1103">
        <f t="shared" si="19"/>
        <v>45231</v>
      </c>
      <c r="H58" s="1103">
        <f t="shared" si="19"/>
        <v>45200</v>
      </c>
      <c r="I58" s="1103">
        <f t="shared" si="19"/>
        <v>45170</v>
      </c>
      <c r="J58" s="1103">
        <f t="shared" si="19"/>
        <v>45139</v>
      </c>
      <c r="K58" s="1103">
        <f t="shared" si="19"/>
        <v>45108</v>
      </c>
      <c r="L58" s="1103">
        <f t="shared" si="19"/>
        <v>45078</v>
      </c>
      <c r="M58" s="1103">
        <f t="shared" si="19"/>
        <v>45047</v>
      </c>
      <c r="N58" s="1103">
        <f t="shared" si="19"/>
        <v>45017</v>
      </c>
      <c r="O58" s="1103">
        <f t="shared" si="19"/>
        <v>44986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79D3-5484-4231-B1B4-987256FFDADF}">
  <sheetPr>
    <tabColor rgb="FF92D050"/>
    <pageSetUpPr fitToPage="1"/>
  </sheetPr>
  <dimension ref="A1:AC131"/>
  <sheetViews>
    <sheetView view="pageBreakPreview" topLeftCell="A46" zoomScale="80" zoomScaleNormal="70" zoomScaleSheetLayoutView="80" workbookViewId="0">
      <selection activeCell="C67" sqref="C67"/>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t="s">
        <v>3420</v>
      </c>
      <c r="F1" s="1734" t="s">
        <v>3417</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1226.8858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13825</v>
      </c>
      <c r="C3" s="343" t="s">
        <v>1665</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1666</v>
      </c>
      <c r="B4" s="345"/>
      <c r="C4" s="3373" t="s">
        <v>1667</v>
      </c>
      <c r="D4" s="3374"/>
      <c r="E4" s="3375" t="s">
        <v>1668</v>
      </c>
      <c r="F4" s="3376"/>
      <c r="G4" s="3373" t="s">
        <v>1669</v>
      </c>
      <c r="H4" s="3374"/>
      <c r="I4" s="3373" t="s">
        <v>1670</v>
      </c>
      <c r="J4" s="3374"/>
      <c r="K4" s="536" t="s">
        <v>1671</v>
      </c>
      <c r="L4" s="2486"/>
      <c r="M4" s="2487"/>
      <c r="N4" s="2487"/>
      <c r="O4" s="2487"/>
      <c r="P4" s="3377" t="s">
        <v>1672</v>
      </c>
      <c r="Q4" s="3378"/>
      <c r="R4" s="3383" t="s">
        <v>1668</v>
      </c>
      <c r="S4" s="3384"/>
      <c r="T4" s="3383" t="s">
        <v>1669</v>
      </c>
      <c r="U4" s="3384"/>
      <c r="V4" s="3359" t="s">
        <v>1670</v>
      </c>
      <c r="W4" s="3359"/>
      <c r="X4" s="1264"/>
      <c r="Y4" s="3383" t="s">
        <v>1672</v>
      </c>
      <c r="Z4" s="3384"/>
      <c r="AA4" s="3370" t="s">
        <v>1668</v>
      </c>
      <c r="AB4" s="3359" t="s">
        <v>1669</v>
      </c>
      <c r="AC4" s="3370" t="s">
        <v>1670</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59"/>
      <c r="AC5" s="3371"/>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381"/>
      <c r="Q6" s="3382"/>
      <c r="R6" s="3385"/>
      <c r="S6" s="3386"/>
      <c r="T6" s="3387"/>
      <c r="U6" s="3388"/>
      <c r="V6" s="3359"/>
      <c r="W6" s="3359"/>
      <c r="X6" s="1264"/>
      <c r="Y6" s="3387"/>
      <c r="Z6" s="3388"/>
      <c r="AA6" s="3372"/>
      <c r="AB6" s="3359"/>
      <c r="AC6" s="3372"/>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93" t="s">
        <v>1680</v>
      </c>
      <c r="Q7" s="3395"/>
      <c r="R7" s="663" t="s">
        <v>14</v>
      </c>
      <c r="S7" s="664">
        <f t="shared" ref="S7:S15" si="0">F7</f>
        <v>100</v>
      </c>
      <c r="T7" s="663" t="s">
        <v>14</v>
      </c>
      <c r="U7" s="664">
        <f t="shared" ref="U7:U15" si="1">H7</f>
        <v>100</v>
      </c>
      <c r="V7" s="663" t="s">
        <v>14</v>
      </c>
      <c r="W7" s="664">
        <f t="shared" ref="W7:W15" si="2">J7</f>
        <v>100</v>
      </c>
      <c r="X7" s="665"/>
      <c r="Y7" s="3393" t="s">
        <v>1680</v>
      </c>
      <c r="Z7" s="3394"/>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8"/>
      <c r="M9" s="2439"/>
      <c r="N9" s="2439"/>
      <c r="O9" s="2439"/>
      <c r="P9" s="3369"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131">
        <f>项目基本情况!D15</f>
        <v>9.4600000000000009</v>
      </c>
      <c r="D10" s="118">
        <v>100</v>
      </c>
      <c r="E10" s="3132">
        <v>20</v>
      </c>
      <c r="F10" s="363">
        <f>SUMIF(65:65,E10,66:66)-SUMIF(65:65,C10,66:66)+100</f>
        <v>120</v>
      </c>
      <c r="G10" s="3131">
        <v>20</v>
      </c>
      <c r="H10" s="118">
        <f>SUMIF(65:65,G10,66:66)-SUMIF(65:65,C10,66:66)+100</f>
        <v>120</v>
      </c>
      <c r="I10" s="3131">
        <v>20</v>
      </c>
      <c r="J10" s="118">
        <f>SUMIF(65:65,I10,66:66)-SUMIF(65:65,C10,66:66)+100</f>
        <v>120</v>
      </c>
      <c r="K10" s="38"/>
      <c r="L10" s="2489"/>
      <c r="M10" s="2490"/>
      <c r="N10" s="2490"/>
      <c r="O10" s="2490"/>
      <c r="P10" s="3369"/>
      <c r="Q10" s="529" t="str">
        <f t="shared" si="6"/>
        <v>土地使用年限（年）</v>
      </c>
      <c r="R10" s="663" t="s">
        <v>14</v>
      </c>
      <c r="S10" s="664">
        <f t="shared" si="0"/>
        <v>120</v>
      </c>
      <c r="T10" s="663" t="s">
        <v>14</v>
      </c>
      <c r="U10" s="664">
        <f t="shared" si="1"/>
        <v>120</v>
      </c>
      <c r="V10" s="663" t="s">
        <v>14</v>
      </c>
      <c r="W10" s="664">
        <f t="shared" si="2"/>
        <v>120</v>
      </c>
      <c r="X10" s="665"/>
      <c r="Y10" s="3233"/>
      <c r="Z10" s="50" t="str">
        <f t="shared" si="7"/>
        <v>土地使用年限（年）</v>
      </c>
      <c r="AA10" s="50">
        <f t="shared" si="3"/>
        <v>0.83333333333333337</v>
      </c>
      <c r="AB10" s="50">
        <f t="shared" si="4"/>
        <v>0.83333333333333337</v>
      </c>
      <c r="AC10" s="50">
        <f t="shared" si="5"/>
        <v>0.83333333333333337</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69"/>
      <c r="Q11" s="529" t="str">
        <f t="shared" si="6"/>
        <v>容积率</v>
      </c>
      <c r="R11" s="663" t="s">
        <v>14</v>
      </c>
      <c r="S11" s="664">
        <f t="shared" si="0"/>
        <v>100</v>
      </c>
      <c r="T11" s="663" t="s">
        <v>14</v>
      </c>
      <c r="U11" s="664">
        <f t="shared" si="1"/>
        <v>100</v>
      </c>
      <c r="V11" s="663" t="s">
        <v>14</v>
      </c>
      <c r="W11" s="664">
        <f t="shared" si="2"/>
        <v>100</v>
      </c>
      <c r="X11" s="665"/>
      <c r="Y11" s="323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69"/>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69"/>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69"/>
      <c r="Q14" s="529">
        <f t="shared" si="6"/>
        <v>111</v>
      </c>
      <c r="R14" s="663" t="s">
        <v>14</v>
      </c>
      <c r="S14" s="664">
        <f t="shared" si="0"/>
        <v>100</v>
      </c>
      <c r="T14" s="663" t="s">
        <v>14</v>
      </c>
      <c r="U14" s="664">
        <f t="shared" si="1"/>
        <v>100</v>
      </c>
      <c r="V14" s="663" t="s">
        <v>14</v>
      </c>
      <c r="W14" s="664">
        <f t="shared" si="2"/>
        <v>100</v>
      </c>
      <c r="X14" s="665"/>
      <c r="Y14" s="3233"/>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95</v>
      </c>
      <c r="I15" s="380"/>
      <c r="J15" s="379">
        <f>SUMIF(76:76,I16,77:77)-SUMIF(76:76,C16,77:77)+100</f>
        <v>100</v>
      </c>
      <c r="K15" s="539">
        <v>5</v>
      </c>
      <c r="L15" s="2492"/>
      <c r="M15" s="2487"/>
      <c r="N15" s="2487"/>
      <c r="O15" s="2487"/>
      <c r="P15" s="3367" t="s">
        <v>1691</v>
      </c>
      <c r="Q15" s="1262" t="str">
        <f t="shared" si="6"/>
        <v>商业繁华度</v>
      </c>
      <c r="R15" s="666" t="s">
        <v>14</v>
      </c>
      <c r="S15" s="667">
        <f t="shared" si="0"/>
        <v>100</v>
      </c>
      <c r="T15" s="666" t="s">
        <v>14</v>
      </c>
      <c r="U15" s="667">
        <f t="shared" si="1"/>
        <v>95</v>
      </c>
      <c r="V15" s="666" t="s">
        <v>14</v>
      </c>
      <c r="W15" s="667">
        <f t="shared" si="2"/>
        <v>100</v>
      </c>
      <c r="X15" s="1264"/>
      <c r="Y15" s="3360" t="s">
        <v>1691</v>
      </c>
      <c r="Z15" s="1263" t="str">
        <f t="shared" si="7"/>
        <v>商业繁华度</v>
      </c>
      <c r="AA15" s="1263">
        <f t="shared" si="3"/>
        <v>1</v>
      </c>
      <c r="AB15" s="1263">
        <f t="shared" si="4"/>
        <v>1.0526315789473684</v>
      </c>
      <c r="AC15" s="1263">
        <f t="shared" si="5"/>
        <v>1</v>
      </c>
    </row>
    <row r="16" spans="1:29" ht="15">
      <c r="A16" s="366"/>
      <c r="B16" s="384"/>
      <c r="C16" s="385" t="s">
        <v>3407</v>
      </c>
      <c r="D16" s="386"/>
      <c r="E16" s="385" t="s">
        <v>3407</v>
      </c>
      <c r="F16" s="387"/>
      <c r="G16" s="385" t="s">
        <v>3421</v>
      </c>
      <c r="H16" s="388"/>
      <c r="I16" s="385" t="s">
        <v>3407</v>
      </c>
      <c r="J16" s="386"/>
      <c r="K16" s="540"/>
      <c r="L16" s="2492"/>
      <c r="M16" s="2487"/>
      <c r="N16" s="2487"/>
      <c r="O16" s="2487"/>
      <c r="P16" s="3368"/>
      <c r="Q16" s="1262"/>
      <c r="R16" s="666"/>
      <c r="S16" s="667"/>
      <c r="T16" s="666"/>
      <c r="U16" s="667"/>
      <c r="V16" s="666"/>
      <c r="W16" s="667"/>
      <c r="X16" s="1264"/>
      <c r="Y16" s="336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68"/>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6"/>
      <c r="B18" s="394"/>
      <c r="C18" s="1754" t="s">
        <v>3407</v>
      </c>
      <c r="D18" s="388"/>
      <c r="E18" s="1756" t="s">
        <v>3407</v>
      </c>
      <c r="F18" s="391"/>
      <c r="G18" s="1755" t="s">
        <v>3407</v>
      </c>
      <c r="H18" s="386"/>
      <c r="I18" s="1756" t="s">
        <v>3407</v>
      </c>
      <c r="J18" s="386"/>
      <c r="K18" s="540"/>
      <c r="L18" s="2492"/>
      <c r="M18" s="2487"/>
      <c r="N18" s="2487"/>
      <c r="O18" s="2487"/>
      <c r="P18" s="3368"/>
      <c r="Q18" s="1262"/>
      <c r="R18" s="666"/>
      <c r="S18" s="667"/>
      <c r="T18" s="666"/>
      <c r="U18" s="667"/>
      <c r="V18" s="666"/>
      <c r="W18" s="667"/>
      <c r="X18" s="1264"/>
      <c r="Y18" s="336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68"/>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263">
        <f t="shared" si="5"/>
        <v>1</v>
      </c>
    </row>
    <row r="20" spans="1:29" ht="15">
      <c r="A20" s="366"/>
      <c r="B20" s="394"/>
      <c r="C20" s="385" t="s">
        <v>3407</v>
      </c>
      <c r="D20" s="386"/>
      <c r="E20" s="1751" t="s">
        <v>3407</v>
      </c>
      <c r="F20" s="387"/>
      <c r="G20" s="1750" t="s">
        <v>3407</v>
      </c>
      <c r="H20" s="386"/>
      <c r="I20" s="1751" t="s">
        <v>3407</v>
      </c>
      <c r="J20" s="386"/>
      <c r="K20" s="540"/>
      <c r="L20" s="2492"/>
      <c r="M20" s="2487"/>
      <c r="N20" s="2487"/>
      <c r="O20" s="2487"/>
      <c r="P20" s="3368"/>
      <c r="Q20" s="1262"/>
      <c r="R20" s="666"/>
      <c r="S20" s="667"/>
      <c r="T20" s="666"/>
      <c r="U20" s="667"/>
      <c r="V20" s="666"/>
      <c r="W20" s="667"/>
      <c r="X20" s="1264"/>
      <c r="Y20" s="336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68"/>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6"/>
      <c r="B22" s="585"/>
      <c r="C22" s="1754" t="s">
        <v>3422</v>
      </c>
      <c r="D22" s="386"/>
      <c r="E22" s="1754" t="s">
        <v>3422</v>
      </c>
      <c r="F22" s="387"/>
      <c r="G22" s="1754" t="s">
        <v>3422</v>
      </c>
      <c r="H22" s="386"/>
      <c r="I22" s="1754" t="s">
        <v>3422</v>
      </c>
      <c r="J22" s="386"/>
      <c r="K22" s="1063"/>
      <c r="L22" s="2492"/>
      <c r="M22" s="2487"/>
      <c r="N22" s="2487"/>
      <c r="O22" s="2487"/>
      <c r="P22" s="3368"/>
      <c r="Q22" s="1262"/>
      <c r="R22" s="666"/>
      <c r="S22" s="667"/>
      <c r="T22" s="666"/>
      <c r="U22" s="667"/>
      <c r="V22" s="666"/>
      <c r="W22" s="667"/>
      <c r="X22" s="1264"/>
      <c r="Y22" s="336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68"/>
      <c r="Q23" s="1262" t="str">
        <f>B23</f>
        <v>自然及人文环境</v>
      </c>
      <c r="R23" s="666" t="s">
        <v>14</v>
      </c>
      <c r="S23" s="667">
        <f>F23</f>
        <v>100</v>
      </c>
      <c r="T23" s="666" t="s">
        <v>14</v>
      </c>
      <c r="U23" s="667">
        <f>H23</f>
        <v>100</v>
      </c>
      <c r="V23" s="666" t="s">
        <v>14</v>
      </c>
      <c r="W23" s="667">
        <f>J23</f>
        <v>100</v>
      </c>
      <c r="X23" s="1264"/>
      <c r="Y23" s="3361"/>
      <c r="Z23" s="1263" t="str">
        <f>Q23</f>
        <v>自然及人文环境</v>
      </c>
      <c r="AA23" s="1263">
        <f t="shared" si="3"/>
        <v>1</v>
      </c>
      <c r="AB23" s="1263">
        <f t="shared" si="4"/>
        <v>1</v>
      </c>
      <c r="AC23" s="1263">
        <f t="shared" si="5"/>
        <v>1</v>
      </c>
    </row>
    <row r="24" spans="1:29" ht="15">
      <c r="A24" s="366"/>
      <c r="B24" s="394"/>
      <c r="C24" s="385" t="s">
        <v>3407</v>
      </c>
      <c r="D24" s="386"/>
      <c r="E24" s="385" t="s">
        <v>3407</v>
      </c>
      <c r="F24" s="387"/>
      <c r="G24" s="385" t="s">
        <v>3407</v>
      </c>
      <c r="H24" s="386"/>
      <c r="I24" s="385" t="s">
        <v>3407</v>
      </c>
      <c r="J24" s="386"/>
      <c r="K24" s="540"/>
      <c r="L24" s="2492"/>
      <c r="M24" s="2487"/>
      <c r="N24" s="2487"/>
      <c r="O24" s="2487"/>
      <c r="P24" s="3368"/>
      <c r="Q24" s="1262"/>
      <c r="R24" s="666"/>
      <c r="S24" s="667"/>
      <c r="T24" s="666"/>
      <c r="U24" s="667"/>
      <c r="V24" s="666"/>
      <c r="W24" s="667"/>
      <c r="X24" s="1264"/>
      <c r="Y24" s="336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68"/>
      <c r="Q25" s="1262" t="str">
        <f t="shared" ref="Q25:Q46" si="11">B25</f>
        <v>临街状况</v>
      </c>
      <c r="R25" s="666" t="s">
        <v>14</v>
      </c>
      <c r="S25" s="667">
        <f>F25</f>
        <v>100</v>
      </c>
      <c r="T25" s="666" t="s">
        <v>14</v>
      </c>
      <c r="U25" s="667">
        <f>H25</f>
        <v>100</v>
      </c>
      <c r="V25" s="666" t="s">
        <v>14</v>
      </c>
      <c r="W25" s="667">
        <f>J25</f>
        <v>100</v>
      </c>
      <c r="X25" s="1264"/>
      <c r="Y25" s="336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68"/>
      <c r="Q26" s="1262" t="str">
        <f t="shared" si="11"/>
        <v>平面位置/可视性</v>
      </c>
      <c r="R26" s="666" t="s">
        <v>14</v>
      </c>
      <c r="S26" s="667">
        <f>F26</f>
        <v>100</v>
      </c>
      <c r="T26" s="666" t="s">
        <v>14</v>
      </c>
      <c r="U26" s="667">
        <f>H26</f>
        <v>100</v>
      </c>
      <c r="V26" s="666" t="s">
        <v>14</v>
      </c>
      <c r="W26" s="667">
        <f>J26</f>
        <v>100</v>
      </c>
      <c r="X26" s="1264"/>
      <c r="Y26" s="336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68"/>
      <c r="Q27" s="529" t="str">
        <f t="shared" si="11"/>
        <v>人流量</v>
      </c>
      <c r="R27" s="663" t="s">
        <v>14</v>
      </c>
      <c r="S27" s="664">
        <f>F27</f>
        <v>100</v>
      </c>
      <c r="T27" s="663" t="s">
        <v>14</v>
      </c>
      <c r="U27" s="664">
        <f>H27</f>
        <v>100</v>
      </c>
      <c r="V27" s="663" t="s">
        <v>14</v>
      </c>
      <c r="W27" s="664">
        <f>J27</f>
        <v>100</v>
      </c>
      <c r="X27" s="665"/>
      <c r="Y27" s="336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6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68"/>
      <c r="Q29" s="1262">
        <f t="shared" si="11"/>
        <v>111</v>
      </c>
      <c r="R29" s="666" t="s">
        <v>14</v>
      </c>
      <c r="S29" s="667">
        <f t="shared" si="12"/>
        <v>100</v>
      </c>
      <c r="T29" s="666" t="s">
        <v>14</v>
      </c>
      <c r="U29" s="667">
        <f t="shared" si="13"/>
        <v>100</v>
      </c>
      <c r="V29" s="666" t="s">
        <v>14</v>
      </c>
      <c r="W29" s="667">
        <f t="shared" si="14"/>
        <v>100</v>
      </c>
      <c r="X29" s="1264"/>
      <c r="Y29" s="336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68"/>
      <c r="Q30" s="1262">
        <f t="shared" si="11"/>
        <v>111</v>
      </c>
      <c r="R30" s="666" t="s">
        <v>14</v>
      </c>
      <c r="S30" s="667">
        <f t="shared" si="12"/>
        <v>100</v>
      </c>
      <c r="T30" s="666" t="s">
        <v>14</v>
      </c>
      <c r="U30" s="667">
        <f t="shared" si="13"/>
        <v>100</v>
      </c>
      <c r="V30" s="666" t="s">
        <v>14</v>
      </c>
      <c r="W30" s="667">
        <f t="shared" si="14"/>
        <v>100</v>
      </c>
      <c r="X30" s="1264"/>
      <c r="Y30" s="336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68"/>
      <c r="Q31" s="1262">
        <f t="shared" si="11"/>
        <v>111</v>
      </c>
      <c r="R31" s="666" t="s">
        <v>14</v>
      </c>
      <c r="S31" s="667">
        <f t="shared" si="12"/>
        <v>100</v>
      </c>
      <c r="T31" s="666" t="s">
        <v>14</v>
      </c>
      <c r="U31" s="667">
        <f t="shared" si="13"/>
        <v>100</v>
      </c>
      <c r="V31" s="666" t="s">
        <v>14</v>
      </c>
      <c r="W31" s="667">
        <f t="shared" si="14"/>
        <v>100</v>
      </c>
      <c r="X31" s="1264"/>
      <c r="Y31" s="3361"/>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62" t="s">
        <v>1696</v>
      </c>
      <c r="Q32" s="1262" t="str">
        <f t="shared" si="11"/>
        <v>商业类型</v>
      </c>
      <c r="R32" s="666" t="s">
        <v>14</v>
      </c>
      <c r="S32" s="667">
        <f t="shared" si="12"/>
        <v>100</v>
      </c>
      <c r="T32" s="666" t="s">
        <v>14</v>
      </c>
      <c r="U32" s="667">
        <f t="shared" si="13"/>
        <v>100</v>
      </c>
      <c r="V32" s="666" t="s">
        <v>14</v>
      </c>
      <c r="W32" s="667">
        <f t="shared" si="14"/>
        <v>100</v>
      </c>
      <c r="X32" s="1264"/>
      <c r="Y32" s="3365"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案例!J30</f>
        <v>92</v>
      </c>
      <c r="F33" s="363">
        <f>LOOKUP(E33,103:103,104:104)-LOOKUP(C33,103:103,104:104)+100</f>
        <v>103</v>
      </c>
      <c r="G33" s="367">
        <f>案例!J32</f>
        <v>68.97</v>
      </c>
      <c r="H33" s="118">
        <f>LOOKUP(G33,103:103,104:104)-LOOKUP(C33,103:103,104:104)+100</f>
        <v>103</v>
      </c>
      <c r="I33" s="367">
        <f>案例!J33</f>
        <v>88.54</v>
      </c>
      <c r="J33" s="118">
        <f>LOOKUP(I33,103:103,104:104)-LOOKUP(C33,103:103,104:104)+100</f>
        <v>103</v>
      </c>
      <c r="K33" s="538"/>
      <c r="L33" s="2491"/>
      <c r="M33" s="2493"/>
      <c r="N33" s="2493"/>
      <c r="O33" s="2493"/>
      <c r="P33" s="3363"/>
      <c r="Q33" s="530" t="str">
        <f t="shared" si="11"/>
        <v>项目建筑规模</v>
      </c>
      <c r="R33" s="668" t="s">
        <v>14</v>
      </c>
      <c r="S33" s="669">
        <f t="shared" si="12"/>
        <v>103</v>
      </c>
      <c r="T33" s="668" t="s">
        <v>14</v>
      </c>
      <c r="U33" s="669">
        <f t="shared" si="13"/>
        <v>103</v>
      </c>
      <c r="V33" s="668" t="s">
        <v>14</v>
      </c>
      <c r="W33" s="669">
        <f t="shared" si="14"/>
        <v>103</v>
      </c>
      <c r="X33" s="670"/>
      <c r="Y33" s="3365"/>
      <c r="Z33" s="671" t="str">
        <f t="shared" si="15"/>
        <v>项目建筑规模</v>
      </c>
      <c r="AA33" s="1263">
        <f t="shared" si="3"/>
        <v>0.970873786407767</v>
      </c>
      <c r="AB33" s="1263">
        <f t="shared" si="4"/>
        <v>0.970873786407767</v>
      </c>
      <c r="AC33" s="1263">
        <f t="shared" si="5"/>
        <v>0.970873786407767</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63"/>
      <c r="Q34" s="1262" t="str">
        <f t="shared" si="11"/>
        <v>建筑结构</v>
      </c>
      <c r="R34" s="666" t="s">
        <v>14</v>
      </c>
      <c r="S34" s="667">
        <f t="shared" si="12"/>
        <v>100</v>
      </c>
      <c r="T34" s="666" t="s">
        <v>14</v>
      </c>
      <c r="U34" s="667">
        <f t="shared" si="13"/>
        <v>100</v>
      </c>
      <c r="V34" s="666" t="s">
        <v>14</v>
      </c>
      <c r="W34" s="667">
        <f t="shared" si="14"/>
        <v>100</v>
      </c>
      <c r="X34" s="1264"/>
      <c r="Y34" s="336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63"/>
      <c r="Q35" s="1262" t="str">
        <f t="shared" si="11"/>
        <v>公共部分装修</v>
      </c>
      <c r="R35" s="666" t="s">
        <v>14</v>
      </c>
      <c r="S35" s="667">
        <f t="shared" si="12"/>
        <v>100</v>
      </c>
      <c r="T35" s="666" t="s">
        <v>14</v>
      </c>
      <c r="U35" s="667">
        <f t="shared" si="13"/>
        <v>100</v>
      </c>
      <c r="V35" s="666" t="s">
        <v>14</v>
      </c>
      <c r="W35" s="667">
        <f t="shared" si="14"/>
        <v>100</v>
      </c>
      <c r="X35" s="1264"/>
      <c r="Y35" s="3365"/>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63"/>
      <c r="Q36" s="1262" t="str">
        <f t="shared" si="11"/>
        <v>成新度</v>
      </c>
      <c r="R36" s="666" t="s">
        <v>14</v>
      </c>
      <c r="S36" s="667">
        <f t="shared" si="12"/>
        <v>100</v>
      </c>
      <c r="T36" s="666" t="s">
        <v>14</v>
      </c>
      <c r="U36" s="667">
        <f t="shared" si="13"/>
        <v>100</v>
      </c>
      <c r="V36" s="666" t="s">
        <v>14</v>
      </c>
      <c r="W36" s="667">
        <f t="shared" si="14"/>
        <v>100</v>
      </c>
      <c r="X36" s="1264"/>
      <c r="Y36" s="3365"/>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63"/>
      <c r="Q37" s="529" t="str">
        <f t="shared" si="11"/>
        <v>市政基础设施</v>
      </c>
      <c r="R37" s="663" t="s">
        <v>14</v>
      </c>
      <c r="S37" s="664">
        <f t="shared" si="12"/>
        <v>100</v>
      </c>
      <c r="T37" s="663" t="s">
        <v>14</v>
      </c>
      <c r="U37" s="664">
        <f t="shared" si="13"/>
        <v>100</v>
      </c>
      <c r="V37" s="663" t="s">
        <v>14</v>
      </c>
      <c r="W37" s="664">
        <f t="shared" si="14"/>
        <v>100</v>
      </c>
      <c r="X37" s="665"/>
      <c r="Y37" s="336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63" t="s">
        <v>1696</v>
      </c>
      <c r="Q38" s="1262" t="str">
        <f t="shared" si="11"/>
        <v>业态</v>
      </c>
      <c r="R38" s="666" t="s">
        <v>14</v>
      </c>
      <c r="S38" s="667">
        <f t="shared" si="12"/>
        <v>100</v>
      </c>
      <c r="T38" s="666" t="s">
        <v>14</v>
      </c>
      <c r="U38" s="667">
        <f t="shared" si="13"/>
        <v>100</v>
      </c>
      <c r="V38" s="666" t="s">
        <v>14</v>
      </c>
      <c r="W38" s="667">
        <f t="shared" si="14"/>
        <v>100</v>
      </c>
      <c r="X38" s="1264"/>
      <c r="Y38" s="336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63"/>
      <c r="Q39" s="1262" t="str">
        <f t="shared" si="11"/>
        <v>层高</v>
      </c>
      <c r="R39" s="666" t="s">
        <v>14</v>
      </c>
      <c r="S39" s="667">
        <f t="shared" si="12"/>
        <v>100</v>
      </c>
      <c r="T39" s="666" t="s">
        <v>14</v>
      </c>
      <c r="U39" s="667">
        <f t="shared" si="13"/>
        <v>100</v>
      </c>
      <c r="V39" s="666" t="s">
        <v>14</v>
      </c>
      <c r="W39" s="667">
        <f t="shared" si="14"/>
        <v>100</v>
      </c>
      <c r="X39" s="1264"/>
      <c r="Y39" s="336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63"/>
      <c r="Q40" s="1262" t="str">
        <f t="shared" si="11"/>
        <v>单套建筑面积</v>
      </c>
      <c r="R40" s="666" t="s">
        <v>14</v>
      </c>
      <c r="S40" s="667">
        <f t="shared" si="12"/>
        <v>100</v>
      </c>
      <c r="T40" s="666" t="s">
        <v>14</v>
      </c>
      <c r="U40" s="667">
        <f t="shared" si="13"/>
        <v>100</v>
      </c>
      <c r="V40" s="666" t="s">
        <v>14</v>
      </c>
      <c r="W40" s="667">
        <f t="shared" si="14"/>
        <v>100</v>
      </c>
      <c r="X40" s="1264"/>
      <c r="Y40" s="336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63"/>
      <c r="Q41" s="530" t="str">
        <f t="shared" si="11"/>
        <v>进深比</v>
      </c>
      <c r="R41" s="668" t="s">
        <v>14</v>
      </c>
      <c r="S41" s="669">
        <f t="shared" si="12"/>
        <v>100</v>
      </c>
      <c r="T41" s="668" t="s">
        <v>14</v>
      </c>
      <c r="U41" s="669">
        <f t="shared" si="13"/>
        <v>100</v>
      </c>
      <c r="V41" s="668" t="s">
        <v>14</v>
      </c>
      <c r="W41" s="669">
        <f t="shared" si="14"/>
        <v>100</v>
      </c>
      <c r="X41" s="670"/>
      <c r="Y41" s="336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63"/>
      <c r="Q42" s="1262" t="str">
        <f t="shared" si="11"/>
        <v>内部装修</v>
      </c>
      <c r="R42" s="666" t="s">
        <v>14</v>
      </c>
      <c r="S42" s="667">
        <f t="shared" si="12"/>
        <v>100</v>
      </c>
      <c r="T42" s="666" t="s">
        <v>14</v>
      </c>
      <c r="U42" s="667">
        <f t="shared" si="13"/>
        <v>100</v>
      </c>
      <c r="V42" s="666" t="s">
        <v>14</v>
      </c>
      <c r="W42" s="667">
        <f t="shared" si="14"/>
        <v>100</v>
      </c>
      <c r="X42" s="1264"/>
      <c r="Y42" s="336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63"/>
      <c r="Q43" s="1262" t="str">
        <f t="shared" si="11"/>
        <v>内部装修维护情况</v>
      </c>
      <c r="R43" s="666" t="s">
        <v>14</v>
      </c>
      <c r="S43" s="667">
        <f t="shared" si="12"/>
        <v>100</v>
      </c>
      <c r="T43" s="666" t="s">
        <v>14</v>
      </c>
      <c r="U43" s="667">
        <f t="shared" si="13"/>
        <v>100</v>
      </c>
      <c r="V43" s="666" t="s">
        <v>14</v>
      </c>
      <c r="W43" s="667">
        <f t="shared" si="14"/>
        <v>100</v>
      </c>
      <c r="X43" s="1264"/>
      <c r="Y43" s="336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63"/>
      <c r="Q44" s="529">
        <f t="shared" si="11"/>
        <v>111</v>
      </c>
      <c r="R44" s="663" t="s">
        <v>14</v>
      </c>
      <c r="S44" s="664">
        <f t="shared" si="12"/>
        <v>100</v>
      </c>
      <c r="T44" s="663" t="s">
        <v>14</v>
      </c>
      <c r="U44" s="664">
        <f t="shared" si="13"/>
        <v>100</v>
      </c>
      <c r="V44" s="663" t="s">
        <v>14</v>
      </c>
      <c r="W44" s="664">
        <f t="shared" si="14"/>
        <v>100</v>
      </c>
      <c r="X44" s="665"/>
      <c r="Y44" s="336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63"/>
      <c r="Q45" s="1262">
        <f t="shared" si="11"/>
        <v>111</v>
      </c>
      <c r="R45" s="666" t="s">
        <v>14</v>
      </c>
      <c r="S45" s="667">
        <f t="shared" si="12"/>
        <v>100</v>
      </c>
      <c r="T45" s="666" t="s">
        <v>14</v>
      </c>
      <c r="U45" s="667">
        <f t="shared" si="13"/>
        <v>100</v>
      </c>
      <c r="V45" s="666" t="s">
        <v>14</v>
      </c>
      <c r="W45" s="667">
        <f t="shared" si="14"/>
        <v>100</v>
      </c>
      <c r="X45" s="1264"/>
      <c r="Y45" s="336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64"/>
      <c r="Q46" s="1262">
        <f t="shared" si="11"/>
        <v>111</v>
      </c>
      <c r="R46" s="666" t="s">
        <v>14</v>
      </c>
      <c r="S46" s="667">
        <f t="shared" si="12"/>
        <v>100</v>
      </c>
      <c r="T46" s="666" t="s">
        <v>14</v>
      </c>
      <c r="U46" s="667">
        <f t="shared" si="13"/>
        <v>100</v>
      </c>
      <c r="V46" s="666" t="s">
        <v>14</v>
      </c>
      <c r="W46" s="667">
        <f t="shared" si="14"/>
        <v>100</v>
      </c>
      <c r="X46" s="1264"/>
      <c r="Y46" s="3366"/>
      <c r="Z46" s="1263">
        <f t="shared" si="15"/>
        <v>111</v>
      </c>
      <c r="AA46" s="1263">
        <f t="shared" si="3"/>
        <v>1</v>
      </c>
      <c r="AB46" s="1263">
        <f t="shared" si="4"/>
        <v>1</v>
      </c>
      <c r="AC46" s="1263">
        <f t="shared" si="5"/>
        <v>1</v>
      </c>
    </row>
    <row r="47" spans="1:29" ht="15">
      <c r="A47" s="415" t="s">
        <v>1708</v>
      </c>
      <c r="B47" s="416"/>
      <c r="C47" s="1080" t="s">
        <v>0</v>
      </c>
      <c r="D47" s="417"/>
      <c r="E47" s="418">
        <f>案例!I30</f>
        <v>17900</v>
      </c>
      <c r="F47" s="419"/>
      <c r="G47" s="420">
        <f>案例!I32</f>
        <v>14500</v>
      </c>
      <c r="H47" s="421"/>
      <c r="I47" s="418">
        <f>案例!I33</f>
        <v>18100</v>
      </c>
      <c r="J47" s="421"/>
      <c r="K47" s="673"/>
      <c r="L47" s="2494"/>
      <c r="M47" s="2487"/>
      <c r="N47" s="2487"/>
      <c r="O47" s="2487"/>
      <c r="P47" s="3358" t="str">
        <f>A47</f>
        <v>成交单价（元/平方米）</v>
      </c>
      <c r="Q47" s="3358"/>
      <c r="R47" s="3359">
        <f>E47</f>
        <v>17900</v>
      </c>
      <c r="S47" s="3359"/>
      <c r="T47" s="3359">
        <f>G47</f>
        <v>14500</v>
      </c>
      <c r="U47" s="3359"/>
      <c r="V47" s="3359">
        <f>I47</f>
        <v>18100</v>
      </c>
      <c r="W47" s="3359"/>
      <c r="X47" s="384"/>
      <c r="Y47" s="672"/>
      <c r="Z47" s="384"/>
      <c r="AA47" s="384"/>
      <c r="AB47" s="384"/>
      <c r="AC47" s="384"/>
    </row>
    <row r="48" spans="1:29" ht="15.75" thickBot="1">
      <c r="A48" s="422" t="s">
        <v>1709</v>
      </c>
      <c r="B48" s="423"/>
      <c r="C48" s="1081">
        <f>R49</f>
        <v>13825</v>
      </c>
      <c r="D48" s="2140" t="s">
        <v>2137</v>
      </c>
      <c r="E48" s="1082">
        <f>R48</f>
        <v>14482</v>
      </c>
      <c r="F48" s="2141"/>
      <c r="G48" s="1081">
        <f>T48</f>
        <v>12349</v>
      </c>
      <c r="H48" s="2141"/>
      <c r="I48" s="1082">
        <f>V48</f>
        <v>14644</v>
      </c>
      <c r="J48" s="2141"/>
      <c r="K48" s="2143">
        <f>F48+H48+J48</f>
        <v>0</v>
      </c>
      <c r="L48" s="2494"/>
      <c r="M48" s="2487"/>
      <c r="N48" s="2487"/>
      <c r="O48" s="2487"/>
      <c r="P48" s="3358" t="str">
        <f>A48</f>
        <v>比较价值（元/平方米）</v>
      </c>
      <c r="Q48" s="3358"/>
      <c r="R48" s="3359">
        <f>IF(F1="售价",ROUND(PRODUCT(R47,AA7:AA46),0),ROUND(PRODUCT(R47,AA7:AA46),1))</f>
        <v>14482</v>
      </c>
      <c r="S48" s="3359"/>
      <c r="T48" s="3359">
        <f>IF(F1="售价",ROUND(PRODUCT(T47,AB7:AB46),0),ROUND(PRODUCT(T47,AB7:AB46),1))</f>
        <v>12349</v>
      </c>
      <c r="U48" s="3359"/>
      <c r="V48" s="3359">
        <f>IF(F1="售价",ROUND(PRODUCT(V47,AC7:AC46),0),ROUND(PRODUCT(V47,AC7:AC46),1))</f>
        <v>14644</v>
      </c>
      <c r="W48" s="3359"/>
      <c r="X48" s="384"/>
      <c r="Y48" s="384"/>
      <c r="Z48" s="384"/>
      <c r="AA48" s="384"/>
      <c r="AB48" s="384"/>
      <c r="AC48" s="384"/>
    </row>
    <row r="49" spans="1:29" ht="15.75" thickBot="1">
      <c r="A49" s="426" t="s">
        <v>1710</v>
      </c>
      <c r="B49" s="427"/>
      <c r="C49" s="350">
        <f>R49</f>
        <v>13825</v>
      </c>
      <c r="D49" s="350"/>
      <c r="E49" s="350"/>
      <c r="F49" s="350"/>
      <c r="G49" s="350"/>
      <c r="H49" s="350"/>
      <c r="I49" s="350"/>
      <c r="J49" s="350"/>
      <c r="K49" s="674"/>
      <c r="L49" s="2494"/>
      <c r="M49" s="2487"/>
      <c r="N49" s="2487"/>
      <c r="O49" s="2487"/>
      <c r="P49" s="3355" t="str">
        <f>A49</f>
        <v>估价对象XX用房的比较价值（楼面单价，元/平方米）</v>
      </c>
      <c r="Q49" s="3356"/>
      <c r="R49" s="3357">
        <f>IF(F1="售价",ROUND(IF(D48="简单平均",AVERAGE(R48:V48),R48*F48+T48*H48+V48*J48),0),ROUND(IF(D48="简单平均",AVERAGE(R48:V48),R48*F48+T48*H48+V48*J48),1))</f>
        <v>13825</v>
      </c>
      <c r="S49" s="3357"/>
      <c r="T49" s="3357"/>
      <c r="U49" s="3357"/>
      <c r="V49" s="3357"/>
      <c r="W49" s="3357"/>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1711</v>
      </c>
      <c r="D52" s="432"/>
      <c r="E52" s="433">
        <f>IF(E47&lt;E48,E48/E47-1,E47/E48-1)</f>
        <v>0.23601712470653236</v>
      </c>
      <c r="F52" s="434" t="str">
        <f>IF(OR(E52&gt;=0.3,E52&lt;=-0.3),"超过30%","")</f>
        <v/>
      </c>
      <c r="G52" s="433">
        <f>IF(G47&lt;G48,G48/G47-1,G47/G48-1)</f>
        <v>0.17418414446513886</v>
      </c>
      <c r="H52" s="434" t="str">
        <f>IF(OR(G52&gt;=0.3,G52&lt;=-0.3),"超过30%","")</f>
        <v/>
      </c>
      <c r="I52" s="433">
        <f>IF(I47&lt;I48,I48/I47-1,I47/I48-1)</f>
        <v>0.23600109259765101</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1712</v>
      </c>
      <c r="D53" s="435"/>
      <c r="E53" s="433">
        <f>IF(E48&lt;G48,G48/E48-1,E48/G48-1)</f>
        <v>0.17272653656166481</v>
      </c>
      <c r="F53" s="434" t="str">
        <f>IF(OR(E53&gt;=0.2,E53&lt;=-0.2),"超过20%","")</f>
        <v/>
      </c>
      <c r="G53" s="433">
        <f>IF(G48&lt;I48,I48/G48-1,G48/I48-1)</f>
        <v>0.18584500769293055</v>
      </c>
      <c r="H53" s="434" t="str">
        <f>IF(OR(G53&gt;=0.2,G53&lt;=-0.2),"超过20%","")</f>
        <v/>
      </c>
      <c r="I53" s="433">
        <f>IF(I48&lt;E48,E48/I48-1,I48/E48-1)</f>
        <v>1.1186300234774293E-2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1713</v>
      </c>
      <c r="D54" s="435"/>
      <c r="E54" s="433">
        <f>IF(E47&lt;G47,G47/E47-1,E47/G47-1)</f>
        <v>0.23448275862068968</v>
      </c>
      <c r="F54" s="434" t="str">
        <f>IF(OR(E54&gt;=0.3,E54&lt;=-0.3),"超过30%","")</f>
        <v/>
      </c>
      <c r="G54" s="433">
        <f>IF(G47&lt;I47,I47/G47-1,G47/I47-1)</f>
        <v>0.24827586206896557</v>
      </c>
      <c r="H54" s="434" t="str">
        <f>IF(OR(G54&gt;=0.3,G54&lt;=-0.3),"超过30%","")</f>
        <v/>
      </c>
      <c r="I54" s="433">
        <f>IF(I47&lt;E47,E47/I47-1,I47/E47-1)</f>
        <v>1.1173184357541999E-2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1718</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f>项目基本情况!D15</f>
        <v>9.4600000000000009</v>
      </c>
      <c r="D65" s="512">
        <v>20</v>
      </c>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v>80</v>
      </c>
      <c r="D66" s="466">
        <v>100</v>
      </c>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95</v>
      </c>
      <c r="E77" s="474">
        <f>D77-$K15</f>
        <v>90</v>
      </c>
      <c r="F77" s="474">
        <f>E77-$K15</f>
        <v>85</v>
      </c>
      <c r="G77" s="474">
        <f>F77-$K15</f>
        <v>80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0(含)-200</v>
      </c>
      <c r="D102" s="508" t="str">
        <f t="shared" ref="D102:L102" si="23">D103&amp;"(含)"&amp;"-"&amp;E103</f>
        <v>200(含)-500</v>
      </c>
      <c r="E102" s="508" t="str">
        <f t="shared" si="23"/>
        <v>500(含)-800</v>
      </c>
      <c r="F102" s="508" t="str">
        <f t="shared" si="23"/>
        <v>800(含)-1000</v>
      </c>
      <c r="G102" s="508" t="str">
        <f t="shared" si="23"/>
        <v>1000(含)-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200</v>
      </c>
      <c r="E103" s="6">
        <v>500</v>
      </c>
      <c r="F103" s="6">
        <v>800</v>
      </c>
      <c r="G103" s="6">
        <v>1000</v>
      </c>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v>99</v>
      </c>
      <c r="E104" s="466">
        <v>98</v>
      </c>
      <c r="F104" s="466">
        <v>97</v>
      </c>
      <c r="G104" s="466">
        <v>96</v>
      </c>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xr:uid="{82CA0E32-18D8-4F5F-B53F-362983FA9CA9}">
      <formula1>"项目模式,单套模式"</formula1>
    </dataValidation>
    <dataValidation type="list" allowBlank="1" showInputMessage="1" showErrorMessage="1" sqref="D48" xr:uid="{91244F85-435B-4DB1-8F58-78393988A1F7}">
      <formula1>"简单平均,加权平均"</formula1>
    </dataValidation>
    <dataValidation type="list" allowBlank="1" showInputMessage="1" showErrorMessage="1" sqref="F2" xr:uid="{659EA6F0-A233-4412-8BAE-EA963E2C94CD}">
      <formula1>估价方法</formula1>
    </dataValidation>
    <dataValidation type="list" allowBlank="1" showInputMessage="1" showErrorMessage="1" sqref="C2" xr:uid="{5692D259-95E2-4BB5-9052-6D1083D3A173}">
      <formula1>"需扣减承租人权益,——"</formula1>
    </dataValidation>
    <dataValidation type="list" allowBlank="1" showInputMessage="1" showErrorMessage="1" sqref="F1" xr:uid="{D3E53C15-FD29-4C86-BA26-6B164AC1A86E}">
      <formula1>"售价,租金"</formula1>
    </dataValidation>
    <dataValidation type="list" allowBlank="1" showInputMessage="1" showErrorMessage="1" sqref="C22 E22 G22 I22" xr:uid="{6FEED49C-AA00-471C-BA36-7407F42035D7}">
      <formula1>基础设施水平</formula1>
    </dataValidation>
    <dataValidation type="list" allowBlank="1" showInputMessage="1" showErrorMessage="1" sqref="C16 E16 G16 I16" xr:uid="{2FA89E47-A626-43A5-9B71-231DAFC24D1E}">
      <formula1>商业繁华度</formula1>
    </dataValidation>
    <dataValidation type="list" allowBlank="1" showInputMessage="1" showErrorMessage="1" sqref="C8 E8 G8 I8" xr:uid="{DFEBFA33-25F4-4120-A276-1CE1BC3CD8A8}">
      <formula1>商业交易情况</formula1>
    </dataValidation>
    <dataValidation type="list" allowBlank="1" showInputMessage="1" showErrorMessage="1" sqref="C39 E39 G39 I39" xr:uid="{9F16EAE4-1380-4706-9299-98691B37C398}">
      <formula1>商业层高</formula1>
    </dataValidation>
    <dataValidation type="list" allowBlank="1" showInputMessage="1" showErrorMessage="1" sqref="C38 E38 G38 I38" xr:uid="{0334E1C8-2F2F-4EBD-8332-BE63243CFC0C}">
      <formula1>商业业态</formula1>
    </dataValidation>
    <dataValidation type="list" allowBlank="1" showInputMessage="1" showErrorMessage="1" sqref="E9 G9 I9" xr:uid="{1EDF2C60-ECF5-44D5-9C39-06C9FB655979}">
      <formula1>商业用途</formula1>
    </dataValidation>
    <dataValidation type="list" allowBlank="1" showInputMessage="1" showErrorMessage="1" sqref="C42 E42 G42 I42" xr:uid="{B150A642-CCF4-4855-AE05-E3A6988D65B7}">
      <formula1>商业内部装修</formula1>
    </dataValidation>
    <dataValidation type="list" allowBlank="1" showInputMessage="1" showErrorMessage="1" sqref="C41 E41 G41 I41" xr:uid="{6424D4F2-C560-4E6F-B2C2-E7795A54B0AA}">
      <formula1>商业进深比</formula1>
    </dataValidation>
    <dataValidation type="list" allowBlank="1" showInputMessage="1" showErrorMessage="1" sqref="C37 E37 G37 I37" xr:uid="{578C2BD7-017E-4B5D-8790-EE645C186B8D}">
      <formula1>商业基础设施水平</formula1>
    </dataValidation>
    <dataValidation type="list" allowBlank="1" showInputMessage="1" showErrorMessage="1" sqref="C35 E35 G35 I35" xr:uid="{FE6161B9-CFB2-4441-8879-8F6F32A6D4EC}">
      <formula1>商业公共部分装修</formula1>
    </dataValidation>
    <dataValidation type="list" allowBlank="1" showInputMessage="1" showErrorMessage="1" sqref="C34 E34 G34 I34" xr:uid="{9DD47C25-5D30-433D-9AEB-1AF43126C964}">
      <formula1>商业建筑结构</formula1>
    </dataValidation>
    <dataValidation type="list" allowBlank="1" showInputMessage="1" showErrorMessage="1" sqref="C32 E32 G32 I32" xr:uid="{C05DB116-B20E-46ED-8DC7-F30BECD6F554}">
      <formula1>商业类型</formula1>
    </dataValidation>
    <dataValidation type="list" allowBlank="1" showInputMessage="1" showErrorMessage="1" sqref="C28 E28 G28 I28" xr:uid="{341BC31C-55F4-4B13-81A3-543423FC8B0D}">
      <formula1>商业楼层</formula1>
    </dataValidation>
    <dataValidation type="list" allowBlank="1" showInputMessage="1" showErrorMessage="1" sqref="C27 E27 G27 I27" xr:uid="{A1BD14D9-1DC3-4FB5-8A8E-666219F833DD}">
      <formula1>商业人流量</formula1>
    </dataValidation>
    <dataValidation type="list" allowBlank="1" showInputMessage="1" showErrorMessage="1" sqref="C25 E25 G25 I25" xr:uid="{7B964CCF-9F17-4796-99C9-CC882821AB95}">
      <formula1>商业临街状况</formula1>
    </dataValidation>
    <dataValidation type="list" allowBlank="1" showInputMessage="1" showErrorMessage="1" sqref="E24 G24 I24 C24" xr:uid="{663B993A-2667-4598-AF19-BF0D0B30FAC5}">
      <formula1>环境</formula1>
    </dataValidation>
    <dataValidation type="list" allowBlank="1" showInputMessage="1" showErrorMessage="1" sqref="E18 G18 I18 C18" xr:uid="{75632B46-CA80-4376-BAD5-55ED65F09333}">
      <formula1>交通便捷度</formula1>
    </dataValidation>
    <dataValidation type="list" allowBlank="1" showInputMessage="1" showErrorMessage="1" sqref="E20 I20 G20 C20" xr:uid="{C3B8B803-91EA-4E5F-A40F-0EDFCC15E933}">
      <formula1>公共配套设施</formula1>
    </dataValidation>
    <dataValidation type="list" allowBlank="1" showInputMessage="1" showErrorMessage="1" sqref="C43 E43 G43 I43" xr:uid="{92A3BAD5-A362-4C08-B6FF-7E3EF05801FA}">
      <formula1>内部装修维护情况</formula1>
    </dataValidation>
    <dataValidation type="list" allowBlank="1" showInputMessage="1" showErrorMessage="1" sqref="D1" xr:uid="{FF8C71AA-0427-4331-A34D-B887315AA894}">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估价对象为房地产，为所有。根据《国有土地使用证》[]，估价对象（分摊）出让国有建设用地使用权面积为869平方米，建筑面积为7099.51平方米。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估价对象为房地产,属开发建设的，该项目尚在开发建设中。根据《国有土地使用证》[]，估价对象（分摊）出让国有建设用地使用权面积为869平方米，规划建筑面积为7099.51平方米。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2024年3月11日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0" zoomScaleNormal="70" zoomScaleSheetLayoutView="80" workbookViewId="0">
      <selection activeCell="F95" sqref="F9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c r="F1" s="1734" t="s">
        <v>3406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1.8</v>
      </c>
      <c r="C3" s="343" t="s">
        <v>1768</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377" t="s">
        <v>1775</v>
      </c>
      <c r="Q4" s="3378"/>
      <c r="R4" s="3383" t="s">
        <v>1771</v>
      </c>
      <c r="S4" s="3384"/>
      <c r="T4" s="3383" t="s">
        <v>1772</v>
      </c>
      <c r="U4" s="3384"/>
      <c r="V4" s="3359" t="s">
        <v>1773</v>
      </c>
      <c r="W4" s="3359"/>
      <c r="X4" s="1264"/>
      <c r="Y4" s="3383" t="s">
        <v>1775</v>
      </c>
      <c r="Z4" s="3384"/>
      <c r="AA4" s="3370" t="s">
        <v>1771</v>
      </c>
      <c r="AB4" s="3359" t="s">
        <v>1772</v>
      </c>
      <c r="AC4" s="3370" t="s">
        <v>1773</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59"/>
      <c r="AC5" s="3371"/>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381"/>
      <c r="Q6" s="3382"/>
      <c r="R6" s="3385"/>
      <c r="S6" s="3386"/>
      <c r="T6" s="3387"/>
      <c r="U6" s="3388"/>
      <c r="V6" s="3359"/>
      <c r="W6" s="3359"/>
      <c r="X6" s="1264"/>
      <c r="Y6" s="3387"/>
      <c r="Z6" s="3388"/>
      <c r="AA6" s="3372"/>
      <c r="AB6" s="3359"/>
      <c r="AC6" s="3372"/>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93" t="s">
        <v>1680</v>
      </c>
      <c r="Q7" s="3395"/>
      <c r="R7" s="663" t="s">
        <v>14</v>
      </c>
      <c r="S7" s="664">
        <f t="shared" ref="S7:S15" si="0">F7</f>
        <v>100</v>
      </c>
      <c r="T7" s="663" t="s">
        <v>14</v>
      </c>
      <c r="U7" s="664">
        <f t="shared" ref="U7:U15" si="1">H7</f>
        <v>100</v>
      </c>
      <c r="V7" s="663" t="s">
        <v>14</v>
      </c>
      <c r="W7" s="664">
        <f t="shared" ref="W7:W15" si="2">J7</f>
        <v>100</v>
      </c>
      <c r="X7" s="665"/>
      <c r="Y7" s="3393" t="s">
        <v>1680</v>
      </c>
      <c r="Z7" s="3394"/>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8"/>
      <c r="M9" s="2439"/>
      <c r="N9" s="2439"/>
      <c r="O9" s="2439"/>
      <c r="P9" s="3369"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9"/>
      <c r="M10" s="2490"/>
      <c r="N10" s="2490"/>
      <c r="O10" s="2490"/>
      <c r="P10" s="3369"/>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69"/>
      <c r="Q11" s="529" t="str">
        <f t="shared" si="6"/>
        <v>容积率</v>
      </c>
      <c r="R11" s="663" t="s">
        <v>14</v>
      </c>
      <c r="S11" s="664">
        <f t="shared" si="0"/>
        <v>100</v>
      </c>
      <c r="T11" s="663" t="s">
        <v>14</v>
      </c>
      <c r="U11" s="664">
        <f t="shared" si="1"/>
        <v>100</v>
      </c>
      <c r="V11" s="663" t="s">
        <v>14</v>
      </c>
      <c r="W11" s="664">
        <f t="shared" si="2"/>
        <v>100</v>
      </c>
      <c r="X11" s="665"/>
      <c r="Y11" s="323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69"/>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69"/>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69"/>
      <c r="Q14" s="529">
        <f t="shared" si="6"/>
        <v>111</v>
      </c>
      <c r="R14" s="663" t="s">
        <v>14</v>
      </c>
      <c r="S14" s="664">
        <f t="shared" si="0"/>
        <v>100</v>
      </c>
      <c r="T14" s="663" t="s">
        <v>14</v>
      </c>
      <c r="U14" s="664">
        <f t="shared" si="1"/>
        <v>100</v>
      </c>
      <c r="V14" s="663" t="s">
        <v>14</v>
      </c>
      <c r="W14" s="664">
        <f t="shared" si="2"/>
        <v>100</v>
      </c>
      <c r="X14" s="665"/>
      <c r="Y14" s="3233"/>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105</v>
      </c>
      <c r="K15" s="539">
        <v>5</v>
      </c>
      <c r="L15" s="2492"/>
      <c r="M15" s="2487"/>
      <c r="N15" s="2487"/>
      <c r="O15" s="2487"/>
      <c r="P15" s="3367" t="s">
        <v>1691</v>
      </c>
      <c r="Q15" s="1262" t="str">
        <f t="shared" si="6"/>
        <v>商业繁华度</v>
      </c>
      <c r="R15" s="666" t="s">
        <v>14</v>
      </c>
      <c r="S15" s="667">
        <f t="shared" si="0"/>
        <v>100</v>
      </c>
      <c r="T15" s="666" t="s">
        <v>14</v>
      </c>
      <c r="U15" s="667">
        <f t="shared" si="1"/>
        <v>100</v>
      </c>
      <c r="V15" s="666" t="s">
        <v>14</v>
      </c>
      <c r="W15" s="667">
        <f t="shared" si="2"/>
        <v>105</v>
      </c>
      <c r="X15" s="1264"/>
      <c r="Y15" s="3360" t="s">
        <v>1691</v>
      </c>
      <c r="Z15" s="1263" t="str">
        <f t="shared" si="7"/>
        <v>商业繁华度</v>
      </c>
      <c r="AA15" s="1263">
        <f t="shared" si="3"/>
        <v>1</v>
      </c>
      <c r="AB15" s="1263">
        <f t="shared" si="4"/>
        <v>1</v>
      </c>
      <c r="AC15" s="1263">
        <f t="shared" si="5"/>
        <v>0.95238095238095233</v>
      </c>
    </row>
    <row r="16" spans="1:29" ht="15">
      <c r="A16" s="366"/>
      <c r="B16" s="384"/>
      <c r="C16" s="385" t="s">
        <v>3407</v>
      </c>
      <c r="D16" s="386"/>
      <c r="E16" s="385" t="s">
        <v>3407</v>
      </c>
      <c r="F16" s="387"/>
      <c r="G16" s="385" t="s">
        <v>3407</v>
      </c>
      <c r="H16" s="388"/>
      <c r="I16" s="385" t="s">
        <v>3408</v>
      </c>
      <c r="J16" s="386"/>
      <c r="K16" s="540"/>
      <c r="L16" s="2492"/>
      <c r="M16" s="2487"/>
      <c r="N16" s="2487"/>
      <c r="O16" s="2487"/>
      <c r="P16" s="3368"/>
      <c r="Q16" s="1262"/>
      <c r="R16" s="666"/>
      <c r="S16" s="667"/>
      <c r="T16" s="666"/>
      <c r="U16" s="667"/>
      <c r="V16" s="666"/>
      <c r="W16" s="667"/>
      <c r="X16" s="1264"/>
      <c r="Y16" s="336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68"/>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368"/>
      <c r="Q18" s="1262"/>
      <c r="R18" s="666"/>
      <c r="S18" s="667"/>
      <c r="T18" s="666"/>
      <c r="U18" s="667"/>
      <c r="V18" s="666"/>
      <c r="W18" s="667"/>
      <c r="X18" s="1264"/>
      <c r="Y18" s="336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68"/>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68"/>
      <c r="Q20" s="1262"/>
      <c r="R20" s="666"/>
      <c r="S20" s="667"/>
      <c r="T20" s="666"/>
      <c r="U20" s="667"/>
      <c r="V20" s="666"/>
      <c r="W20" s="667"/>
      <c r="X20" s="1264"/>
      <c r="Y20" s="336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68"/>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68"/>
      <c r="Q22" s="1262"/>
      <c r="R22" s="666"/>
      <c r="S22" s="667"/>
      <c r="T22" s="666"/>
      <c r="U22" s="667"/>
      <c r="V22" s="666"/>
      <c r="W22" s="667"/>
      <c r="X22" s="1264"/>
      <c r="Y22" s="336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68"/>
      <c r="Q23" s="1262" t="str">
        <f>B23</f>
        <v>自然及人文环境</v>
      </c>
      <c r="R23" s="666" t="s">
        <v>14</v>
      </c>
      <c r="S23" s="667">
        <f>F23</f>
        <v>100</v>
      </c>
      <c r="T23" s="666" t="s">
        <v>14</v>
      </c>
      <c r="U23" s="667">
        <f>H23</f>
        <v>100</v>
      </c>
      <c r="V23" s="666" t="s">
        <v>14</v>
      </c>
      <c r="W23" s="667">
        <f>J23</f>
        <v>100</v>
      </c>
      <c r="X23" s="1264"/>
      <c r="Y23" s="336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68"/>
      <c r="Q24" s="1262"/>
      <c r="R24" s="666"/>
      <c r="S24" s="667"/>
      <c r="T24" s="666"/>
      <c r="U24" s="667"/>
      <c r="V24" s="666"/>
      <c r="W24" s="667"/>
      <c r="X24" s="1264"/>
      <c r="Y24" s="336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68"/>
      <c r="Q25" s="1262" t="str">
        <f t="shared" ref="Q25:Q46" si="11">B25</f>
        <v>临街状况</v>
      </c>
      <c r="R25" s="666" t="s">
        <v>14</v>
      </c>
      <c r="S25" s="667">
        <f>F25</f>
        <v>100</v>
      </c>
      <c r="T25" s="666" t="s">
        <v>14</v>
      </c>
      <c r="U25" s="667">
        <f>H25</f>
        <v>100</v>
      </c>
      <c r="V25" s="666" t="s">
        <v>14</v>
      </c>
      <c r="W25" s="667">
        <f>J25</f>
        <v>100</v>
      </c>
      <c r="X25" s="1264"/>
      <c r="Y25" s="336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68"/>
      <c r="Q26" s="1262" t="str">
        <f t="shared" si="11"/>
        <v>平面位置/可视性</v>
      </c>
      <c r="R26" s="666" t="s">
        <v>14</v>
      </c>
      <c r="S26" s="667">
        <f>F26</f>
        <v>100</v>
      </c>
      <c r="T26" s="666" t="s">
        <v>14</v>
      </c>
      <c r="U26" s="667">
        <f>H26</f>
        <v>100</v>
      </c>
      <c r="V26" s="666" t="s">
        <v>14</v>
      </c>
      <c r="W26" s="667">
        <f>J26</f>
        <v>100</v>
      </c>
      <c r="X26" s="1264"/>
      <c r="Y26" s="336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68"/>
      <c r="Q27" s="529" t="str">
        <f t="shared" si="11"/>
        <v>人流量</v>
      </c>
      <c r="R27" s="663" t="s">
        <v>14</v>
      </c>
      <c r="S27" s="664">
        <f>F27</f>
        <v>100</v>
      </c>
      <c r="T27" s="663" t="s">
        <v>14</v>
      </c>
      <c r="U27" s="664">
        <f>H27</f>
        <v>100</v>
      </c>
      <c r="V27" s="663" t="s">
        <v>14</v>
      </c>
      <c r="W27" s="664">
        <f>J27</f>
        <v>100</v>
      </c>
      <c r="X27" s="665"/>
      <c r="Y27" s="336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6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68"/>
      <c r="Q29" s="1262">
        <f t="shared" si="11"/>
        <v>111</v>
      </c>
      <c r="R29" s="666" t="s">
        <v>14</v>
      </c>
      <c r="S29" s="667">
        <f t="shared" si="12"/>
        <v>100</v>
      </c>
      <c r="T29" s="666" t="s">
        <v>14</v>
      </c>
      <c r="U29" s="667">
        <f t="shared" si="13"/>
        <v>100</v>
      </c>
      <c r="V29" s="666" t="s">
        <v>14</v>
      </c>
      <c r="W29" s="667">
        <f t="shared" si="14"/>
        <v>100</v>
      </c>
      <c r="X29" s="1264"/>
      <c r="Y29" s="336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68"/>
      <c r="Q30" s="1262">
        <f t="shared" si="11"/>
        <v>111</v>
      </c>
      <c r="R30" s="666" t="s">
        <v>14</v>
      </c>
      <c r="S30" s="667">
        <f t="shared" si="12"/>
        <v>100</v>
      </c>
      <c r="T30" s="666" t="s">
        <v>14</v>
      </c>
      <c r="U30" s="667">
        <f t="shared" si="13"/>
        <v>100</v>
      </c>
      <c r="V30" s="666" t="s">
        <v>14</v>
      </c>
      <c r="W30" s="667">
        <f t="shared" si="14"/>
        <v>100</v>
      </c>
      <c r="X30" s="1264"/>
      <c r="Y30" s="336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68"/>
      <c r="Q31" s="1262">
        <f t="shared" si="11"/>
        <v>111</v>
      </c>
      <c r="R31" s="666" t="s">
        <v>14</v>
      </c>
      <c r="S31" s="667">
        <f t="shared" si="12"/>
        <v>100</v>
      </c>
      <c r="T31" s="666" t="s">
        <v>14</v>
      </c>
      <c r="U31" s="667">
        <f t="shared" si="13"/>
        <v>100</v>
      </c>
      <c r="V31" s="666" t="s">
        <v>14</v>
      </c>
      <c r="W31" s="667">
        <f t="shared" si="14"/>
        <v>100</v>
      </c>
      <c r="X31" s="1264"/>
      <c r="Y31" s="3361"/>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62" t="s">
        <v>1696</v>
      </c>
      <c r="Q32" s="1262" t="str">
        <f t="shared" si="11"/>
        <v>商业类型</v>
      </c>
      <c r="R32" s="666" t="s">
        <v>14</v>
      </c>
      <c r="S32" s="667">
        <f t="shared" si="12"/>
        <v>100</v>
      </c>
      <c r="T32" s="666" t="s">
        <v>14</v>
      </c>
      <c r="U32" s="667">
        <f t="shared" si="13"/>
        <v>100</v>
      </c>
      <c r="V32" s="666" t="s">
        <v>14</v>
      </c>
      <c r="W32" s="667">
        <f t="shared" si="14"/>
        <v>100</v>
      </c>
      <c r="X32" s="1264"/>
      <c r="Y32" s="3365"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案例!$C$2</f>
        <v>74</v>
      </c>
      <c r="F33" s="363">
        <f>LOOKUP(E33,103:103,104:104)-LOOKUP(C33,103:103,104:104)+100</f>
        <v>104</v>
      </c>
      <c r="G33" s="367">
        <f>案例!$C$3</f>
        <v>100</v>
      </c>
      <c r="H33" s="118">
        <f>LOOKUP(G33,103:103,104:104)-LOOKUP(C33,103:103,104:104)+100</f>
        <v>104</v>
      </c>
      <c r="I33" s="367">
        <f>案例!$C$4</f>
        <v>80</v>
      </c>
      <c r="J33" s="118">
        <f>LOOKUP(I33,103:103,104:104)-LOOKUP(C33,103:103,104:104)+100</f>
        <v>104</v>
      </c>
      <c r="K33" s="538"/>
      <c r="L33" s="2491"/>
      <c r="M33" s="2493"/>
      <c r="N33" s="2493"/>
      <c r="O33" s="2493"/>
      <c r="P33" s="3363"/>
      <c r="Q33" s="530" t="str">
        <f t="shared" si="11"/>
        <v>项目建筑规模</v>
      </c>
      <c r="R33" s="668" t="s">
        <v>14</v>
      </c>
      <c r="S33" s="669">
        <f t="shared" si="12"/>
        <v>104</v>
      </c>
      <c r="T33" s="668" t="s">
        <v>14</v>
      </c>
      <c r="U33" s="669">
        <f t="shared" si="13"/>
        <v>104</v>
      </c>
      <c r="V33" s="668" t="s">
        <v>14</v>
      </c>
      <c r="W33" s="669">
        <f t="shared" si="14"/>
        <v>104</v>
      </c>
      <c r="X33" s="670"/>
      <c r="Y33" s="3365"/>
      <c r="Z33" s="671" t="str">
        <f t="shared" si="15"/>
        <v>项目建筑规模</v>
      </c>
      <c r="AA33" s="1263">
        <f t="shared" si="3"/>
        <v>0.96153846153846156</v>
      </c>
      <c r="AB33" s="1263">
        <f t="shared" si="4"/>
        <v>0.96153846153846156</v>
      </c>
      <c r="AC33" s="1263">
        <f t="shared" si="5"/>
        <v>0.96153846153846156</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63"/>
      <c r="Q34" s="1262" t="str">
        <f t="shared" si="11"/>
        <v>建筑结构</v>
      </c>
      <c r="R34" s="666" t="s">
        <v>14</v>
      </c>
      <c r="S34" s="667">
        <f t="shared" si="12"/>
        <v>100</v>
      </c>
      <c r="T34" s="666" t="s">
        <v>14</v>
      </c>
      <c r="U34" s="667">
        <f t="shared" si="13"/>
        <v>100</v>
      </c>
      <c r="V34" s="666" t="s">
        <v>14</v>
      </c>
      <c r="W34" s="667">
        <f t="shared" si="14"/>
        <v>100</v>
      </c>
      <c r="X34" s="1264"/>
      <c r="Y34" s="336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63"/>
      <c r="Q35" s="1262" t="str">
        <f t="shared" si="11"/>
        <v>公共部分装修</v>
      </c>
      <c r="R35" s="666" t="s">
        <v>14</v>
      </c>
      <c r="S35" s="667">
        <f t="shared" si="12"/>
        <v>100</v>
      </c>
      <c r="T35" s="666" t="s">
        <v>14</v>
      </c>
      <c r="U35" s="667">
        <f t="shared" si="13"/>
        <v>100</v>
      </c>
      <c r="V35" s="666" t="s">
        <v>14</v>
      </c>
      <c r="W35" s="667">
        <f t="shared" si="14"/>
        <v>100</v>
      </c>
      <c r="X35" s="1264"/>
      <c r="Y35" s="3365"/>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63"/>
      <c r="Q36" s="1262" t="str">
        <f t="shared" si="11"/>
        <v>成新度</v>
      </c>
      <c r="R36" s="666" t="s">
        <v>14</v>
      </c>
      <c r="S36" s="667">
        <f t="shared" si="12"/>
        <v>100</v>
      </c>
      <c r="T36" s="666" t="s">
        <v>14</v>
      </c>
      <c r="U36" s="667">
        <f t="shared" si="13"/>
        <v>100</v>
      </c>
      <c r="V36" s="666" t="s">
        <v>14</v>
      </c>
      <c r="W36" s="667">
        <f t="shared" si="14"/>
        <v>100</v>
      </c>
      <c r="X36" s="1264"/>
      <c r="Y36" s="3365"/>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63"/>
      <c r="Q37" s="529" t="str">
        <f t="shared" si="11"/>
        <v>市政基础设施</v>
      </c>
      <c r="R37" s="663" t="s">
        <v>14</v>
      </c>
      <c r="S37" s="664">
        <f t="shared" si="12"/>
        <v>100</v>
      </c>
      <c r="T37" s="663" t="s">
        <v>14</v>
      </c>
      <c r="U37" s="664">
        <f t="shared" si="13"/>
        <v>100</v>
      </c>
      <c r="V37" s="663" t="s">
        <v>14</v>
      </c>
      <c r="W37" s="664">
        <f t="shared" si="14"/>
        <v>100</v>
      </c>
      <c r="X37" s="665"/>
      <c r="Y37" s="336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63" t="s">
        <v>1696</v>
      </c>
      <c r="Q38" s="1262" t="str">
        <f t="shared" si="11"/>
        <v>业态</v>
      </c>
      <c r="R38" s="666" t="s">
        <v>14</v>
      </c>
      <c r="S38" s="667">
        <f t="shared" si="12"/>
        <v>100</v>
      </c>
      <c r="T38" s="666" t="s">
        <v>14</v>
      </c>
      <c r="U38" s="667">
        <f t="shared" si="13"/>
        <v>100</v>
      </c>
      <c r="V38" s="666" t="s">
        <v>14</v>
      </c>
      <c r="W38" s="667">
        <f t="shared" si="14"/>
        <v>100</v>
      </c>
      <c r="X38" s="1264"/>
      <c r="Y38" s="336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63"/>
      <c r="Q39" s="1262" t="str">
        <f t="shared" si="11"/>
        <v>层高</v>
      </c>
      <c r="R39" s="666" t="s">
        <v>14</v>
      </c>
      <c r="S39" s="667">
        <f t="shared" si="12"/>
        <v>100</v>
      </c>
      <c r="T39" s="666" t="s">
        <v>14</v>
      </c>
      <c r="U39" s="667">
        <f t="shared" si="13"/>
        <v>100</v>
      </c>
      <c r="V39" s="666" t="s">
        <v>14</v>
      </c>
      <c r="W39" s="667">
        <f t="shared" si="14"/>
        <v>100</v>
      </c>
      <c r="X39" s="1264"/>
      <c r="Y39" s="336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63"/>
      <c r="Q40" s="1262" t="str">
        <f t="shared" si="11"/>
        <v>单套建筑面积</v>
      </c>
      <c r="R40" s="666" t="s">
        <v>14</v>
      </c>
      <c r="S40" s="667">
        <f t="shared" si="12"/>
        <v>100</v>
      </c>
      <c r="T40" s="666" t="s">
        <v>14</v>
      </c>
      <c r="U40" s="667">
        <f t="shared" si="13"/>
        <v>100</v>
      </c>
      <c r="V40" s="666" t="s">
        <v>14</v>
      </c>
      <c r="W40" s="667">
        <f t="shared" si="14"/>
        <v>100</v>
      </c>
      <c r="X40" s="1264"/>
      <c r="Y40" s="336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63"/>
      <c r="Q41" s="530" t="str">
        <f t="shared" si="11"/>
        <v>进深比</v>
      </c>
      <c r="R41" s="668" t="s">
        <v>14</v>
      </c>
      <c r="S41" s="669">
        <f t="shared" si="12"/>
        <v>100</v>
      </c>
      <c r="T41" s="668" t="s">
        <v>14</v>
      </c>
      <c r="U41" s="669">
        <f t="shared" si="13"/>
        <v>100</v>
      </c>
      <c r="V41" s="668" t="s">
        <v>14</v>
      </c>
      <c r="W41" s="669">
        <f t="shared" si="14"/>
        <v>100</v>
      </c>
      <c r="X41" s="670"/>
      <c r="Y41" s="336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63"/>
      <c r="Q42" s="1262" t="str">
        <f t="shared" si="11"/>
        <v>内部装修</v>
      </c>
      <c r="R42" s="666" t="s">
        <v>14</v>
      </c>
      <c r="S42" s="667">
        <f t="shared" si="12"/>
        <v>100</v>
      </c>
      <c r="T42" s="666" t="s">
        <v>14</v>
      </c>
      <c r="U42" s="667">
        <f t="shared" si="13"/>
        <v>100</v>
      </c>
      <c r="V42" s="666" t="s">
        <v>14</v>
      </c>
      <c r="W42" s="667">
        <f t="shared" si="14"/>
        <v>100</v>
      </c>
      <c r="X42" s="1264"/>
      <c r="Y42" s="336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63"/>
      <c r="Q43" s="1262" t="str">
        <f t="shared" si="11"/>
        <v>内部装修维护情况</v>
      </c>
      <c r="R43" s="666" t="s">
        <v>14</v>
      </c>
      <c r="S43" s="667">
        <f t="shared" si="12"/>
        <v>100</v>
      </c>
      <c r="T43" s="666" t="s">
        <v>14</v>
      </c>
      <c r="U43" s="667">
        <f t="shared" si="13"/>
        <v>100</v>
      </c>
      <c r="V43" s="666" t="s">
        <v>14</v>
      </c>
      <c r="W43" s="667">
        <f t="shared" si="14"/>
        <v>100</v>
      </c>
      <c r="X43" s="1264"/>
      <c r="Y43" s="336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63"/>
      <c r="Q44" s="529">
        <f t="shared" si="11"/>
        <v>111</v>
      </c>
      <c r="R44" s="663" t="s">
        <v>14</v>
      </c>
      <c r="S44" s="664">
        <f t="shared" si="12"/>
        <v>100</v>
      </c>
      <c r="T44" s="663" t="s">
        <v>14</v>
      </c>
      <c r="U44" s="664">
        <f t="shared" si="13"/>
        <v>100</v>
      </c>
      <c r="V44" s="663" t="s">
        <v>14</v>
      </c>
      <c r="W44" s="664">
        <f t="shared" si="14"/>
        <v>100</v>
      </c>
      <c r="X44" s="665"/>
      <c r="Y44" s="336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63"/>
      <c r="Q45" s="1262">
        <f t="shared" si="11"/>
        <v>111</v>
      </c>
      <c r="R45" s="666" t="s">
        <v>14</v>
      </c>
      <c r="S45" s="667">
        <f t="shared" si="12"/>
        <v>100</v>
      </c>
      <c r="T45" s="666" t="s">
        <v>14</v>
      </c>
      <c r="U45" s="667">
        <f t="shared" si="13"/>
        <v>100</v>
      </c>
      <c r="V45" s="666" t="s">
        <v>14</v>
      </c>
      <c r="W45" s="667">
        <f t="shared" si="14"/>
        <v>100</v>
      </c>
      <c r="X45" s="1264"/>
      <c r="Y45" s="336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64"/>
      <c r="Q46" s="1262">
        <f t="shared" si="11"/>
        <v>111</v>
      </c>
      <c r="R46" s="666" t="s">
        <v>14</v>
      </c>
      <c r="S46" s="667">
        <f t="shared" si="12"/>
        <v>100</v>
      </c>
      <c r="T46" s="666" t="s">
        <v>14</v>
      </c>
      <c r="U46" s="667">
        <f t="shared" si="13"/>
        <v>100</v>
      </c>
      <c r="V46" s="666" t="s">
        <v>14</v>
      </c>
      <c r="W46" s="667">
        <f t="shared" si="14"/>
        <v>100</v>
      </c>
      <c r="X46" s="1264"/>
      <c r="Y46" s="3366"/>
      <c r="Z46" s="1263">
        <f t="shared" si="15"/>
        <v>111</v>
      </c>
      <c r="AA46" s="1263">
        <f t="shared" si="3"/>
        <v>1</v>
      </c>
      <c r="AB46" s="1263">
        <f t="shared" si="4"/>
        <v>1</v>
      </c>
      <c r="AC46" s="1263">
        <f t="shared" si="5"/>
        <v>1</v>
      </c>
    </row>
    <row r="47" spans="1:29" ht="15">
      <c r="A47" s="415" t="s">
        <v>1708</v>
      </c>
      <c r="B47" s="416"/>
      <c r="C47" s="1080" t="s">
        <v>0</v>
      </c>
      <c r="D47" s="417"/>
      <c r="E47" s="418">
        <f>案例!$D$2</f>
        <v>1.87</v>
      </c>
      <c r="F47" s="419"/>
      <c r="G47" s="420">
        <f>案例!$D$3</f>
        <v>1.67</v>
      </c>
      <c r="H47" s="421"/>
      <c r="I47" s="418">
        <f>案例!$D$4</f>
        <v>2.08</v>
      </c>
      <c r="J47" s="421"/>
      <c r="K47" s="673"/>
      <c r="L47" s="2494"/>
      <c r="M47" s="2487"/>
      <c r="N47" s="2487"/>
      <c r="O47" s="2487"/>
      <c r="P47" s="3358" t="str">
        <f>A47</f>
        <v>成交单价（元/平方米）</v>
      </c>
      <c r="Q47" s="3358"/>
      <c r="R47" s="3359">
        <f>E47</f>
        <v>1.87</v>
      </c>
      <c r="S47" s="3359"/>
      <c r="T47" s="3359">
        <f>G47</f>
        <v>1.67</v>
      </c>
      <c r="U47" s="3359"/>
      <c r="V47" s="3359">
        <f>I47</f>
        <v>2.08</v>
      </c>
      <c r="W47" s="3359"/>
      <c r="X47" s="384"/>
      <c r="Y47" s="672"/>
      <c r="Z47" s="384"/>
      <c r="AA47" s="384"/>
      <c r="AB47" s="384"/>
      <c r="AC47" s="384"/>
    </row>
    <row r="48" spans="1:29" ht="15.75" thickBot="1">
      <c r="A48" s="422" t="s">
        <v>1793</v>
      </c>
      <c r="B48" s="423"/>
      <c r="C48" s="1081">
        <f>R49</f>
        <v>1.8</v>
      </c>
      <c r="D48" s="2140" t="s">
        <v>2137</v>
      </c>
      <c r="E48" s="1082">
        <f>R48</f>
        <v>1.8</v>
      </c>
      <c r="F48" s="2141"/>
      <c r="G48" s="1081">
        <f>T48</f>
        <v>1.6</v>
      </c>
      <c r="H48" s="2141"/>
      <c r="I48" s="1082">
        <f>V48</f>
        <v>1.9</v>
      </c>
      <c r="J48" s="2141"/>
      <c r="K48" s="2143">
        <f>F48+H48+J48</f>
        <v>0</v>
      </c>
      <c r="L48" s="2494"/>
      <c r="M48" s="2487"/>
      <c r="N48" s="2487"/>
      <c r="O48" s="2487"/>
      <c r="P48" s="3358" t="str">
        <f>A48</f>
        <v>比较价值（元/平方米）</v>
      </c>
      <c r="Q48" s="3358"/>
      <c r="R48" s="3359">
        <f>IF(F1="售价",ROUND(PRODUCT(R47,AA7:AA46),0),ROUND(PRODUCT(R47,AA7:AA46),1))</f>
        <v>1.8</v>
      </c>
      <c r="S48" s="3359"/>
      <c r="T48" s="3359">
        <f>IF(F1="售价",ROUND(PRODUCT(T47,AB7:AB46),0),ROUND(PRODUCT(T47,AB7:AB46),1))</f>
        <v>1.6</v>
      </c>
      <c r="U48" s="3359"/>
      <c r="V48" s="3359">
        <f>IF(F1="售价",ROUND(PRODUCT(V47,AC7:AC46),0),ROUND(PRODUCT(V47,AC7:AC46),1))</f>
        <v>1.9</v>
      </c>
      <c r="W48" s="3359"/>
      <c r="X48" s="384"/>
      <c r="Y48" s="384"/>
      <c r="Z48" s="384"/>
      <c r="AA48" s="384"/>
      <c r="AB48" s="384"/>
      <c r="AC48" s="384"/>
    </row>
    <row r="49" spans="1:29" ht="15.75" thickBot="1">
      <c r="A49" s="426" t="s">
        <v>1794</v>
      </c>
      <c r="B49" s="427"/>
      <c r="C49" s="350">
        <f>R49</f>
        <v>1.8</v>
      </c>
      <c r="D49" s="350"/>
      <c r="E49" s="350"/>
      <c r="F49" s="350"/>
      <c r="G49" s="350"/>
      <c r="H49" s="350"/>
      <c r="I49" s="350"/>
      <c r="J49" s="350"/>
      <c r="K49" s="674"/>
      <c r="L49" s="2494"/>
      <c r="M49" s="2487"/>
      <c r="N49" s="2487"/>
      <c r="O49" s="2487"/>
      <c r="P49" s="3355" t="str">
        <f>A49</f>
        <v>估价对象XX用房的比较价值（楼面单价，元/平方米）</v>
      </c>
      <c r="Q49" s="3356"/>
      <c r="R49" s="3357">
        <f>IF(F1="售价",ROUND(IF(D48="简单平均",AVERAGE(R48:V48),R48*F48+T48*H48+V48*J48),0),ROUND(IF(D48="简单平均",AVERAGE(R48:V48),R48*F48+T48*H48+V48*J48),1))</f>
        <v>1.8</v>
      </c>
      <c r="S49" s="3357"/>
      <c r="T49" s="3357"/>
      <c r="U49" s="3357"/>
      <c r="V49" s="3357"/>
      <c r="W49" s="3357"/>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3.8888888888888973E-2</v>
      </c>
      <c r="F52" s="434" t="str">
        <f>IF(OR(E52&gt;=0.3,E52&lt;=-0.3),"超过30%","")</f>
        <v/>
      </c>
      <c r="G52" s="433">
        <f>IF(G47&lt;G48,G48/G47-1,G47/G48-1)</f>
        <v>4.3749999999999956E-2</v>
      </c>
      <c r="H52" s="434" t="str">
        <f>IF(OR(G52&gt;=0.3,G52&lt;=-0.3),"超过30%","")</f>
        <v/>
      </c>
      <c r="I52" s="433">
        <f>IF(I47&lt;I48,I48/I47-1,I47/I48-1)</f>
        <v>9.473684210526323E-2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0.125</v>
      </c>
      <c r="F53" s="434" t="str">
        <f>IF(OR(E53&gt;=0.2,E53&lt;=-0.2),"超过20%","")</f>
        <v/>
      </c>
      <c r="G53" s="433">
        <f>IF(G48&lt;I48,I48/G48-1,G48/I48-1)</f>
        <v>0.18749999999999978</v>
      </c>
      <c r="H53" s="434" t="str">
        <f>IF(OR(G53&gt;=0.2,G53&lt;=-0.2),"超过20%","")</f>
        <v/>
      </c>
      <c r="I53" s="433">
        <f>IF(I48&lt;E48,E48/I48-1,I48/E48-1)</f>
        <v>5.555555555555558E-2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0.11976047904191622</v>
      </c>
      <c r="F54" s="434" t="str">
        <f>IF(OR(E54&gt;=0.3,E54&lt;=-0.3),"超过30%","")</f>
        <v/>
      </c>
      <c r="G54" s="433">
        <f>IF(G47&lt;I47,I47/G47-1,G47/I47-1)</f>
        <v>0.24550898203592819</v>
      </c>
      <c r="H54" s="434" t="str">
        <f>IF(OR(G54&gt;=0.3,G54&lt;=-0.3),"超过30%","")</f>
        <v/>
      </c>
      <c r="I54" s="433">
        <f>IF(I47&lt;E47,E47/I47-1,I47/E47-1)</f>
        <v>0.11229946524064172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95</v>
      </c>
      <c r="E77" s="474">
        <f>D77-$K15</f>
        <v>90</v>
      </c>
      <c r="F77" s="474">
        <f>E77-$K15</f>
        <v>85</v>
      </c>
      <c r="G77" s="474">
        <f>F77-$K15</f>
        <v>80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0(含)-300</v>
      </c>
      <c r="D102" s="508" t="str">
        <f t="shared" ref="D102:L102" si="23">D103&amp;"(含)"&amp;"-"&amp;E103</f>
        <v>300(含)-600</v>
      </c>
      <c r="E102" s="508" t="str">
        <f t="shared" si="23"/>
        <v>600(含)-900</v>
      </c>
      <c r="F102" s="508" t="str">
        <f t="shared" si="23"/>
        <v>900(含)-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300</v>
      </c>
      <c r="E103" s="6">
        <v>600</v>
      </c>
      <c r="F103" s="6">
        <v>900</v>
      </c>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7099.51</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406" t="s">
        <v>1775</v>
      </c>
      <c r="Q4" s="3407"/>
      <c r="R4" s="3410" t="s">
        <v>1771</v>
      </c>
      <c r="S4" s="3411"/>
      <c r="T4" s="3410" t="s">
        <v>1772</v>
      </c>
      <c r="U4" s="3411"/>
      <c r="V4" s="3412" t="s">
        <v>1773</v>
      </c>
      <c r="W4" s="3412"/>
      <c r="X4" s="1808"/>
      <c r="Y4" s="3410" t="s">
        <v>1775</v>
      </c>
      <c r="Z4" s="3411"/>
      <c r="AA4" s="3414" t="s">
        <v>1771</v>
      </c>
      <c r="AB4" s="3414" t="s">
        <v>1772</v>
      </c>
      <c r="AC4" s="3403" t="s">
        <v>1773</v>
      </c>
    </row>
    <row r="5" spans="1:29" ht="15">
      <c r="A5" s="347"/>
      <c r="B5" s="348"/>
      <c r="C5" s="3391" t="s">
        <v>1673</v>
      </c>
      <c r="D5" s="3392"/>
      <c r="E5" s="3398" t="s">
        <v>1674</v>
      </c>
      <c r="F5" s="3399"/>
      <c r="G5" s="3391" t="s">
        <v>1675</v>
      </c>
      <c r="H5" s="3392"/>
      <c r="I5" s="3391" t="s">
        <v>1676</v>
      </c>
      <c r="J5" s="3392"/>
      <c r="K5" s="536"/>
      <c r="L5" s="2486"/>
      <c r="M5" s="2487"/>
      <c r="N5" s="2487"/>
      <c r="O5" s="2487"/>
      <c r="P5" s="3408"/>
      <c r="Q5" s="3380"/>
      <c r="R5" s="3385"/>
      <c r="S5" s="3386"/>
      <c r="T5" s="3385"/>
      <c r="U5" s="3386"/>
      <c r="V5" s="3359"/>
      <c r="W5" s="3359"/>
      <c r="X5" s="1264"/>
      <c r="Y5" s="3385"/>
      <c r="Z5" s="3386"/>
      <c r="AA5" s="3371"/>
      <c r="AB5" s="3371"/>
      <c r="AC5" s="3404"/>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409"/>
      <c r="Q6" s="3382"/>
      <c r="R6" s="3385"/>
      <c r="S6" s="3386"/>
      <c r="T6" s="3387"/>
      <c r="U6" s="3388"/>
      <c r="V6" s="3359"/>
      <c r="W6" s="3359"/>
      <c r="X6" s="1264"/>
      <c r="Y6" s="3387"/>
      <c r="Z6" s="3388"/>
      <c r="AA6" s="3372"/>
      <c r="AB6" s="3372"/>
      <c r="AC6" s="3405"/>
    </row>
    <row r="7" spans="1:29" s="101" customFormat="1" ht="15.75" thickBot="1">
      <c r="A7" s="351" t="s">
        <v>1679</v>
      </c>
      <c r="B7" s="352"/>
      <c r="C7" s="353">
        <f>'数据-取费表'!B2</f>
        <v>45362</v>
      </c>
      <c r="D7" s="354">
        <v>100</v>
      </c>
      <c r="E7" s="355"/>
      <c r="F7" s="356">
        <f>SUMIF(59:59,YEAR(E7)&amp;"-"&amp;MONTH(E7),60:60)</f>
        <v>0</v>
      </c>
      <c r="G7" s="355"/>
      <c r="H7" s="354">
        <f>SUMIF(59:59,YEAR(G7)&amp;"-"&amp;MONTH(G7),60:60)</f>
        <v>0</v>
      </c>
      <c r="I7" s="355"/>
      <c r="J7" s="354">
        <f>SUMIF(59:59,YEAR(I7)&amp;"-"&amp;MONTH(I7),60:60)</f>
        <v>0</v>
      </c>
      <c r="K7" s="38"/>
      <c r="L7" s="2488"/>
      <c r="M7" s="2439"/>
      <c r="N7" s="2439"/>
      <c r="O7" s="2439"/>
      <c r="P7" s="3413" t="s">
        <v>1680</v>
      </c>
      <c r="Q7" s="3395"/>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13" t="s">
        <v>1683</v>
      </c>
      <c r="Q8" s="3394"/>
      <c r="R8" s="663" t="s">
        <v>14</v>
      </c>
      <c r="S8" s="664">
        <f t="shared" si="0"/>
        <v>100</v>
      </c>
      <c r="T8" s="663" t="s">
        <v>14</v>
      </c>
      <c r="U8" s="664">
        <f t="shared" si="1"/>
        <v>100</v>
      </c>
      <c r="V8" s="663" t="s">
        <v>14</v>
      </c>
      <c r="W8" s="664">
        <f t="shared" si="2"/>
        <v>100</v>
      </c>
      <c r="X8" s="665"/>
      <c r="Y8" s="3393" t="s">
        <v>1683</v>
      </c>
      <c r="Z8" s="3394"/>
      <c r="AA8" s="50">
        <f t="shared" ref="AA8:AA47" si="3">D8/F8</f>
        <v>1</v>
      </c>
      <c r="AB8" s="50">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8"/>
      <c r="M9" s="2439"/>
      <c r="N9" s="2439"/>
      <c r="O9" s="2439"/>
      <c r="P9" s="3369"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9"/>
      <c r="M10" s="2490"/>
      <c r="N10" s="2490"/>
      <c r="O10" s="2490"/>
      <c r="P10" s="3369"/>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69"/>
      <c r="Q11" s="529" t="str">
        <f t="shared" si="6"/>
        <v>容积率</v>
      </c>
      <c r="R11" s="663" t="s">
        <v>14</v>
      </c>
      <c r="S11" s="664">
        <f t="shared" si="0"/>
        <v>100</v>
      </c>
      <c r="T11" s="663" t="s">
        <v>14</v>
      </c>
      <c r="U11" s="664">
        <f t="shared" si="1"/>
        <v>100</v>
      </c>
      <c r="V11" s="663" t="s">
        <v>14</v>
      </c>
      <c r="W11" s="664">
        <f t="shared" si="2"/>
        <v>100</v>
      </c>
      <c r="X11" s="665"/>
      <c r="Y11" s="323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69"/>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69"/>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69"/>
      <c r="Q14" s="529">
        <f t="shared" si="6"/>
        <v>111</v>
      </c>
      <c r="R14" s="663" t="s">
        <v>14</v>
      </c>
      <c r="S14" s="664">
        <f t="shared" si="0"/>
        <v>100</v>
      </c>
      <c r="T14" s="663" t="s">
        <v>14</v>
      </c>
      <c r="U14" s="664">
        <f t="shared" si="1"/>
        <v>100</v>
      </c>
      <c r="V14" s="663" t="s">
        <v>14</v>
      </c>
      <c r="W14" s="664">
        <f t="shared" si="2"/>
        <v>100</v>
      </c>
      <c r="X14" s="665"/>
      <c r="Y14" s="3233"/>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67" t="s">
        <v>1691</v>
      </c>
      <c r="Q15" s="1262" t="str">
        <f t="shared" si="6"/>
        <v>办公集聚程度</v>
      </c>
      <c r="R15" s="666" t="s">
        <v>14</v>
      </c>
      <c r="S15" s="667">
        <f t="shared" si="0"/>
        <v>100</v>
      </c>
      <c r="T15" s="666" t="s">
        <v>14</v>
      </c>
      <c r="U15" s="667">
        <f t="shared" si="1"/>
        <v>100</v>
      </c>
      <c r="V15" s="666" t="s">
        <v>14</v>
      </c>
      <c r="W15" s="667">
        <f t="shared" si="2"/>
        <v>100</v>
      </c>
      <c r="X15" s="1264"/>
      <c r="Y15" s="336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368"/>
      <c r="Q16" s="1262"/>
      <c r="R16" s="666"/>
      <c r="S16" s="667"/>
      <c r="T16" s="666"/>
      <c r="U16" s="667"/>
      <c r="V16" s="666"/>
      <c r="W16" s="667"/>
      <c r="X16" s="1264"/>
      <c r="Y16" s="3361"/>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368"/>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368"/>
      <c r="Q18" s="1262"/>
      <c r="R18" s="666"/>
      <c r="S18" s="667"/>
      <c r="T18" s="666"/>
      <c r="U18" s="667"/>
      <c r="V18" s="666"/>
      <c r="W18" s="667"/>
      <c r="X18" s="1264"/>
      <c r="Y18" s="3361"/>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368"/>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368"/>
      <c r="Q20" s="1262"/>
      <c r="R20" s="666"/>
      <c r="S20" s="667"/>
      <c r="T20" s="666"/>
      <c r="U20" s="667"/>
      <c r="V20" s="666"/>
      <c r="W20" s="667"/>
      <c r="X20" s="1264"/>
      <c r="Y20" s="3361"/>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368"/>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368"/>
      <c r="Q22" s="1262"/>
      <c r="R22" s="666"/>
      <c r="S22" s="667"/>
      <c r="T22" s="666"/>
      <c r="U22" s="667"/>
      <c r="V22" s="666"/>
      <c r="W22" s="667"/>
      <c r="X22" s="1264"/>
      <c r="Y22" s="3361"/>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368"/>
      <c r="Q23" s="1262" t="str">
        <f>B23</f>
        <v>环境质量</v>
      </c>
      <c r="R23" s="666" t="s">
        <v>14</v>
      </c>
      <c r="S23" s="667">
        <f>F23</f>
        <v>100</v>
      </c>
      <c r="T23" s="666" t="s">
        <v>14</v>
      </c>
      <c r="U23" s="667">
        <f>H23</f>
        <v>100</v>
      </c>
      <c r="V23" s="666" t="s">
        <v>14</v>
      </c>
      <c r="W23" s="667">
        <f>J23</f>
        <v>100</v>
      </c>
      <c r="X23" s="1264"/>
      <c r="Y23" s="336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368"/>
      <c r="Q24" s="1262"/>
      <c r="R24" s="666"/>
      <c r="S24" s="667"/>
      <c r="T24" s="666"/>
      <c r="U24" s="667"/>
      <c r="V24" s="666"/>
      <c r="W24" s="667"/>
      <c r="X24" s="1264"/>
      <c r="Y24" s="3361"/>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68"/>
      <c r="Q25" s="1262" t="str">
        <f>B25</f>
        <v>毗邻道路的类型与等级</v>
      </c>
      <c r="R25" s="666" t="s">
        <v>14</v>
      </c>
      <c r="S25" s="667">
        <f>F25</f>
        <v>100</v>
      </c>
      <c r="T25" s="666" t="s">
        <v>14</v>
      </c>
      <c r="U25" s="667">
        <f>H25</f>
        <v>100</v>
      </c>
      <c r="V25" s="666" t="s">
        <v>14</v>
      </c>
      <c r="W25" s="667">
        <f>J25</f>
        <v>100</v>
      </c>
      <c r="X25" s="1264"/>
      <c r="Y25" s="336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368"/>
      <c r="Q26" s="1262"/>
      <c r="R26" s="666"/>
      <c r="S26" s="667"/>
      <c r="T26" s="666"/>
      <c r="U26" s="667"/>
      <c r="V26" s="666"/>
      <c r="W26" s="667"/>
      <c r="X26" s="1264"/>
      <c r="Y26" s="336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368"/>
      <c r="Q27" s="1262" t="str">
        <f t="shared" ref="Q27:Q47" si="11">B27</f>
        <v>楼层</v>
      </c>
      <c r="R27" s="666" t="s">
        <v>14</v>
      </c>
      <c r="S27" s="667">
        <f>F27</f>
        <v>100</v>
      </c>
      <c r="T27" s="666" t="s">
        <v>14</v>
      </c>
      <c r="U27" s="667">
        <f>H27</f>
        <v>100</v>
      </c>
      <c r="V27" s="666" t="s">
        <v>14</v>
      </c>
      <c r="W27" s="667">
        <f>J27</f>
        <v>100</v>
      </c>
      <c r="X27" s="1264"/>
      <c r="Y27" s="336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68"/>
      <c r="Q28" s="529" t="str">
        <f t="shared" si="11"/>
        <v>朝向</v>
      </c>
      <c r="R28" s="663" t="s">
        <v>14</v>
      </c>
      <c r="S28" s="664">
        <f>F28</f>
        <v>100</v>
      </c>
      <c r="T28" s="663" t="s">
        <v>14</v>
      </c>
      <c r="U28" s="664">
        <f>H28</f>
        <v>100</v>
      </c>
      <c r="V28" s="663" t="s">
        <v>14</v>
      </c>
      <c r="W28" s="664">
        <f>J28</f>
        <v>100</v>
      </c>
      <c r="X28" s="665"/>
      <c r="Y28" s="336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68"/>
      <c r="Q29" s="1262">
        <f t="shared" si="11"/>
        <v>111</v>
      </c>
      <c r="R29" s="666" t="s">
        <v>14</v>
      </c>
      <c r="S29" s="667">
        <f t="shared" ref="S29:S47" si="12">F29</f>
        <v>100</v>
      </c>
      <c r="T29" s="666" t="s">
        <v>14</v>
      </c>
      <c r="U29" s="667">
        <f t="shared" ref="U29:U47" si="13">H29</f>
        <v>100</v>
      </c>
      <c r="V29" s="666" t="s">
        <v>14</v>
      </c>
      <c r="W29" s="667">
        <f t="shared" ref="W29:W47" si="14">J29</f>
        <v>100</v>
      </c>
      <c r="X29" s="1264"/>
      <c r="Y29" s="336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68"/>
      <c r="Q30" s="1262">
        <f t="shared" si="11"/>
        <v>111</v>
      </c>
      <c r="R30" s="666" t="s">
        <v>14</v>
      </c>
      <c r="S30" s="667">
        <f t="shared" si="12"/>
        <v>100</v>
      </c>
      <c r="T30" s="666" t="s">
        <v>14</v>
      </c>
      <c r="U30" s="667">
        <f t="shared" si="13"/>
        <v>100</v>
      </c>
      <c r="V30" s="666" t="s">
        <v>14</v>
      </c>
      <c r="W30" s="667">
        <f t="shared" si="14"/>
        <v>100</v>
      </c>
      <c r="X30" s="1264"/>
      <c r="Y30" s="336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68"/>
      <c r="Q31" s="1262">
        <f t="shared" si="11"/>
        <v>111</v>
      </c>
      <c r="R31" s="666" t="s">
        <v>14</v>
      </c>
      <c r="S31" s="667">
        <f t="shared" si="12"/>
        <v>100</v>
      </c>
      <c r="T31" s="666" t="s">
        <v>14</v>
      </c>
      <c r="U31" s="667">
        <f t="shared" si="13"/>
        <v>100</v>
      </c>
      <c r="V31" s="666" t="s">
        <v>14</v>
      </c>
      <c r="W31" s="667">
        <f t="shared" si="14"/>
        <v>100</v>
      </c>
      <c r="X31" s="1264"/>
      <c r="Y31" s="3361"/>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68"/>
      <c r="Q32" s="1262">
        <f t="shared" si="11"/>
        <v>111</v>
      </c>
      <c r="R32" s="666" t="s">
        <v>14</v>
      </c>
      <c r="S32" s="667">
        <f t="shared" si="12"/>
        <v>100</v>
      </c>
      <c r="T32" s="666" t="s">
        <v>14</v>
      </c>
      <c r="U32" s="667">
        <f t="shared" si="13"/>
        <v>100</v>
      </c>
      <c r="V32" s="666" t="s">
        <v>14</v>
      </c>
      <c r="W32" s="667">
        <f t="shared" si="14"/>
        <v>100</v>
      </c>
      <c r="X32" s="1264"/>
      <c r="Y32" s="3361"/>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62" t="s">
        <v>1696</v>
      </c>
      <c r="Q33" s="1262" t="str">
        <f t="shared" si="11"/>
        <v>建筑类型</v>
      </c>
      <c r="R33" s="666" t="s">
        <v>14</v>
      </c>
      <c r="S33" s="667">
        <f t="shared" si="12"/>
        <v>100</v>
      </c>
      <c r="T33" s="666" t="s">
        <v>14</v>
      </c>
      <c r="U33" s="667">
        <f t="shared" si="13"/>
        <v>100</v>
      </c>
      <c r="V33" s="666" t="s">
        <v>14</v>
      </c>
      <c r="W33" s="667">
        <f t="shared" si="14"/>
        <v>100</v>
      </c>
      <c r="X33" s="1264"/>
      <c r="Y33" s="336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63"/>
      <c r="Q34" s="530" t="str">
        <f t="shared" si="11"/>
        <v>项目建筑规模</v>
      </c>
      <c r="R34" s="668" t="s">
        <v>14</v>
      </c>
      <c r="S34" s="669" t="e">
        <f t="shared" si="12"/>
        <v>#N/A</v>
      </c>
      <c r="T34" s="668" t="s">
        <v>14</v>
      </c>
      <c r="U34" s="669" t="e">
        <f t="shared" si="13"/>
        <v>#N/A</v>
      </c>
      <c r="V34" s="668" t="s">
        <v>14</v>
      </c>
      <c r="W34" s="669" t="e">
        <f t="shared" si="14"/>
        <v>#N/A</v>
      </c>
      <c r="X34" s="670"/>
      <c r="Y34" s="336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63"/>
      <c r="Q35" s="1262" t="str">
        <f t="shared" si="11"/>
        <v>建筑结构</v>
      </c>
      <c r="R35" s="666" t="s">
        <v>14</v>
      </c>
      <c r="S35" s="667">
        <f t="shared" si="12"/>
        <v>100</v>
      </c>
      <c r="T35" s="666" t="s">
        <v>14</v>
      </c>
      <c r="U35" s="667">
        <f t="shared" si="13"/>
        <v>100</v>
      </c>
      <c r="V35" s="666" t="s">
        <v>14</v>
      </c>
      <c r="W35" s="667">
        <f t="shared" si="14"/>
        <v>100</v>
      </c>
      <c r="X35" s="1264"/>
      <c r="Y35" s="336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63"/>
      <c r="Q36" s="1262" t="str">
        <f t="shared" si="11"/>
        <v>公共部分装修</v>
      </c>
      <c r="R36" s="666" t="s">
        <v>14</v>
      </c>
      <c r="S36" s="667">
        <f t="shared" si="12"/>
        <v>100</v>
      </c>
      <c r="T36" s="666" t="s">
        <v>14</v>
      </c>
      <c r="U36" s="667">
        <f t="shared" si="13"/>
        <v>100</v>
      </c>
      <c r="V36" s="666" t="s">
        <v>14</v>
      </c>
      <c r="W36" s="667">
        <f t="shared" si="14"/>
        <v>100</v>
      </c>
      <c r="X36" s="1264"/>
      <c r="Y36" s="336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63"/>
      <c r="Q37" s="1262" t="str">
        <f t="shared" si="11"/>
        <v>成新度</v>
      </c>
      <c r="R37" s="666" t="s">
        <v>14</v>
      </c>
      <c r="S37" s="667" t="e">
        <f t="shared" si="12"/>
        <v>#N/A</v>
      </c>
      <c r="T37" s="666" t="s">
        <v>14</v>
      </c>
      <c r="U37" s="667" t="e">
        <f t="shared" si="13"/>
        <v>#N/A</v>
      </c>
      <c r="V37" s="666" t="s">
        <v>14</v>
      </c>
      <c r="W37" s="667" t="e">
        <f t="shared" si="14"/>
        <v>#N/A</v>
      </c>
      <c r="X37" s="1264"/>
      <c r="Y37" s="336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63"/>
      <c r="Q38" s="529" t="str">
        <f t="shared" si="11"/>
        <v>写字楼等级</v>
      </c>
      <c r="R38" s="663" t="s">
        <v>14</v>
      </c>
      <c r="S38" s="664">
        <f t="shared" si="12"/>
        <v>100</v>
      </c>
      <c r="T38" s="663" t="s">
        <v>14</v>
      </c>
      <c r="U38" s="664">
        <f t="shared" si="13"/>
        <v>100</v>
      </c>
      <c r="V38" s="663" t="s">
        <v>14</v>
      </c>
      <c r="W38" s="664">
        <f t="shared" si="14"/>
        <v>100</v>
      </c>
      <c r="X38" s="665"/>
      <c r="Y38" s="336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63" t="s">
        <v>1696</v>
      </c>
      <c r="Q39" s="1262" t="str">
        <f t="shared" si="11"/>
        <v>物业管理</v>
      </c>
      <c r="R39" s="666" t="s">
        <v>14</v>
      </c>
      <c r="S39" s="667">
        <f t="shared" si="12"/>
        <v>100</v>
      </c>
      <c r="T39" s="666" t="s">
        <v>14</v>
      </c>
      <c r="U39" s="667">
        <f t="shared" si="13"/>
        <v>100</v>
      </c>
      <c r="V39" s="666" t="s">
        <v>14</v>
      </c>
      <c r="W39" s="667">
        <f t="shared" si="14"/>
        <v>100</v>
      </c>
      <c r="X39" s="1264"/>
      <c r="Y39" s="336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63"/>
      <c r="Q40" s="1262" t="str">
        <f t="shared" si="11"/>
        <v>市政基础设施</v>
      </c>
      <c r="R40" s="666" t="s">
        <v>14</v>
      </c>
      <c r="S40" s="667">
        <f t="shared" si="12"/>
        <v>100</v>
      </c>
      <c r="T40" s="666" t="s">
        <v>14</v>
      </c>
      <c r="U40" s="667">
        <f t="shared" si="13"/>
        <v>100</v>
      </c>
      <c r="V40" s="666" t="s">
        <v>14</v>
      </c>
      <c r="W40" s="667">
        <f t="shared" si="14"/>
        <v>100</v>
      </c>
      <c r="X40" s="1264"/>
      <c r="Y40" s="336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63"/>
      <c r="Q41" s="1262" t="str">
        <f t="shared" si="11"/>
        <v>层高</v>
      </c>
      <c r="R41" s="666" t="s">
        <v>14</v>
      </c>
      <c r="S41" s="667">
        <f t="shared" si="12"/>
        <v>100</v>
      </c>
      <c r="T41" s="666" t="s">
        <v>14</v>
      </c>
      <c r="U41" s="667">
        <f t="shared" si="13"/>
        <v>100</v>
      </c>
      <c r="V41" s="666" t="s">
        <v>14</v>
      </c>
      <c r="W41" s="667">
        <f t="shared" si="14"/>
        <v>100</v>
      </c>
      <c r="X41" s="1264"/>
      <c r="Y41" s="336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63"/>
      <c r="Q42" s="530" t="str">
        <f t="shared" si="11"/>
        <v>单套建筑面积</v>
      </c>
      <c r="R42" s="668" t="s">
        <v>14</v>
      </c>
      <c r="S42" s="669">
        <f t="shared" si="12"/>
        <v>100</v>
      </c>
      <c r="T42" s="668" t="s">
        <v>14</v>
      </c>
      <c r="U42" s="669">
        <f t="shared" si="13"/>
        <v>100</v>
      </c>
      <c r="V42" s="668" t="s">
        <v>14</v>
      </c>
      <c r="W42" s="669">
        <f t="shared" si="14"/>
        <v>100</v>
      </c>
      <c r="X42" s="670"/>
      <c r="Y42" s="336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63"/>
      <c r="Q43" s="1262" t="str">
        <f t="shared" si="11"/>
        <v>内部装修</v>
      </c>
      <c r="R43" s="666" t="s">
        <v>14</v>
      </c>
      <c r="S43" s="667">
        <f t="shared" si="12"/>
        <v>100</v>
      </c>
      <c r="T43" s="666" t="s">
        <v>14</v>
      </c>
      <c r="U43" s="667">
        <f t="shared" si="13"/>
        <v>100</v>
      </c>
      <c r="V43" s="666" t="s">
        <v>14</v>
      </c>
      <c r="W43" s="667">
        <f t="shared" si="14"/>
        <v>100</v>
      </c>
      <c r="X43" s="1264"/>
      <c r="Y43" s="3365"/>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63"/>
      <c r="Q44" s="1262" t="str">
        <f t="shared" si="11"/>
        <v>内部装修维护情况</v>
      </c>
      <c r="R44" s="666" t="s">
        <v>14</v>
      </c>
      <c r="S44" s="667">
        <f t="shared" si="12"/>
        <v>100</v>
      </c>
      <c r="T44" s="666" t="s">
        <v>14</v>
      </c>
      <c r="U44" s="667">
        <f t="shared" si="13"/>
        <v>100</v>
      </c>
      <c r="V44" s="666" t="s">
        <v>14</v>
      </c>
      <c r="W44" s="667">
        <f t="shared" si="14"/>
        <v>100</v>
      </c>
      <c r="X44" s="1264"/>
      <c r="Y44" s="336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63"/>
      <c r="Q45" s="529">
        <f t="shared" si="11"/>
        <v>111</v>
      </c>
      <c r="R45" s="663" t="s">
        <v>14</v>
      </c>
      <c r="S45" s="664">
        <f t="shared" si="12"/>
        <v>100</v>
      </c>
      <c r="T45" s="663" t="s">
        <v>14</v>
      </c>
      <c r="U45" s="664">
        <f t="shared" si="13"/>
        <v>100</v>
      </c>
      <c r="V45" s="663" t="s">
        <v>14</v>
      </c>
      <c r="W45" s="664">
        <f t="shared" si="14"/>
        <v>100</v>
      </c>
      <c r="X45" s="665"/>
      <c r="Y45" s="336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63"/>
      <c r="Q46" s="1262">
        <f t="shared" si="11"/>
        <v>111</v>
      </c>
      <c r="R46" s="666" t="s">
        <v>14</v>
      </c>
      <c r="S46" s="667">
        <f t="shared" si="12"/>
        <v>100</v>
      </c>
      <c r="T46" s="666" t="s">
        <v>14</v>
      </c>
      <c r="U46" s="667">
        <f t="shared" si="13"/>
        <v>100</v>
      </c>
      <c r="V46" s="666" t="s">
        <v>14</v>
      </c>
      <c r="W46" s="667">
        <f t="shared" si="14"/>
        <v>100</v>
      </c>
      <c r="X46" s="1264"/>
      <c r="Y46" s="336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64"/>
      <c r="Q47" s="1262">
        <f t="shared" si="11"/>
        <v>111</v>
      </c>
      <c r="R47" s="666" t="s">
        <v>14</v>
      </c>
      <c r="S47" s="667">
        <f t="shared" si="12"/>
        <v>100</v>
      </c>
      <c r="T47" s="666" t="s">
        <v>14</v>
      </c>
      <c r="U47" s="667">
        <f t="shared" si="13"/>
        <v>100</v>
      </c>
      <c r="V47" s="666" t="s">
        <v>14</v>
      </c>
      <c r="W47" s="667">
        <f t="shared" si="14"/>
        <v>100</v>
      </c>
      <c r="X47" s="1264"/>
      <c r="Y47" s="3366"/>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69" t="str">
        <f>A48</f>
        <v>成交单价（元/平方米）</v>
      </c>
      <c r="Q48" s="3358"/>
      <c r="R48" s="3359">
        <f>E48</f>
        <v>0</v>
      </c>
      <c r="S48" s="3359"/>
      <c r="T48" s="3359">
        <f>G48</f>
        <v>0</v>
      </c>
      <c r="U48" s="3359"/>
      <c r="V48" s="3359">
        <f>I48</f>
        <v>0</v>
      </c>
      <c r="W48" s="3359"/>
      <c r="X48" s="384"/>
      <c r="Y48" s="672"/>
      <c r="Z48" s="384"/>
      <c r="AA48" s="384"/>
      <c r="AB48" s="384"/>
      <c r="AC48" s="554"/>
    </row>
    <row r="49" spans="1:29" ht="15.75" thickBot="1">
      <c r="A49" s="422" t="s">
        <v>1793</v>
      </c>
      <c r="B49" s="423"/>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69"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2024-3</v>
      </c>
      <c r="D59" s="1103">
        <f>EDATE(C59,-1)</f>
        <v>45323</v>
      </c>
      <c r="E59" s="1103">
        <f>EDATE(D59,-1)</f>
        <v>45292</v>
      </c>
      <c r="F59" s="1103">
        <f t="shared" ref="F59:O59" si="16">EDATE(E59,-1)</f>
        <v>45261</v>
      </c>
      <c r="G59" s="1103">
        <f t="shared" si="16"/>
        <v>45231</v>
      </c>
      <c r="H59" s="1103">
        <f t="shared" si="16"/>
        <v>45200</v>
      </c>
      <c r="I59" s="1103">
        <f t="shared" si="16"/>
        <v>45170</v>
      </c>
      <c r="J59" s="1103">
        <f t="shared" si="16"/>
        <v>45139</v>
      </c>
      <c r="K59" s="1103">
        <f t="shared" si="16"/>
        <v>45108</v>
      </c>
      <c r="L59" s="1103">
        <f t="shared" si="16"/>
        <v>45078</v>
      </c>
      <c r="M59" s="1103">
        <f t="shared" si="16"/>
        <v>45047</v>
      </c>
      <c r="N59" s="1103">
        <f t="shared" si="16"/>
        <v>45017</v>
      </c>
      <c r="O59" s="1103">
        <f t="shared" si="16"/>
        <v>44986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7099.51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73" t="s">
        <v>1770</v>
      </c>
      <c r="D4" s="3374"/>
      <c r="E4" s="3375" t="s">
        <v>1771</v>
      </c>
      <c r="F4" s="3376"/>
      <c r="G4" s="3373" t="s">
        <v>1772</v>
      </c>
      <c r="H4" s="3374"/>
      <c r="I4" s="3373" t="s">
        <v>1773</v>
      </c>
      <c r="J4" s="3374"/>
      <c r="K4" s="536" t="s">
        <v>1774</v>
      </c>
      <c r="L4" s="859"/>
      <c r="M4" s="860"/>
      <c r="N4" s="860"/>
      <c r="O4" s="860"/>
      <c r="P4" s="3377" t="s">
        <v>1775</v>
      </c>
      <c r="Q4" s="3378"/>
      <c r="R4" s="3383" t="s">
        <v>1771</v>
      </c>
      <c r="S4" s="3384"/>
      <c r="T4" s="3383" t="s">
        <v>1772</v>
      </c>
      <c r="U4" s="3384"/>
      <c r="V4" s="3359" t="s">
        <v>1773</v>
      </c>
      <c r="W4" s="3359"/>
      <c r="X4" s="1264"/>
      <c r="Y4" s="3383" t="s">
        <v>1775</v>
      </c>
      <c r="Z4" s="3384"/>
      <c r="AA4" s="3370" t="s">
        <v>1771</v>
      </c>
      <c r="AB4" s="3371" t="s">
        <v>1772</v>
      </c>
      <c r="AC4" s="3370" t="s">
        <v>1773</v>
      </c>
    </row>
    <row r="5" spans="1:29" ht="15">
      <c r="A5" s="347"/>
      <c r="B5" s="348"/>
      <c r="C5" s="3391" t="s">
        <v>1673</v>
      </c>
      <c r="D5" s="3392"/>
      <c r="E5" s="3398" t="s">
        <v>1674</v>
      </c>
      <c r="F5" s="3399"/>
      <c r="G5" s="3391" t="s">
        <v>1675</v>
      </c>
      <c r="H5" s="3392"/>
      <c r="I5" s="3391" t="s">
        <v>1676</v>
      </c>
      <c r="J5" s="3392"/>
      <c r="K5" s="536"/>
      <c r="L5" s="859"/>
      <c r="M5" s="860"/>
      <c r="N5" s="860"/>
      <c r="O5" s="860"/>
      <c r="P5" s="3379"/>
      <c r="Q5" s="3380"/>
      <c r="R5" s="3385"/>
      <c r="S5" s="3386"/>
      <c r="T5" s="3385"/>
      <c r="U5" s="3386"/>
      <c r="V5" s="3359"/>
      <c r="W5" s="3359"/>
      <c r="X5" s="1264"/>
      <c r="Y5" s="3385"/>
      <c r="Z5" s="3386"/>
      <c r="AA5" s="3371"/>
      <c r="AB5" s="3371"/>
      <c r="AC5" s="3371"/>
    </row>
    <row r="6" spans="1:29" ht="15.75" thickBot="1">
      <c r="A6" s="349"/>
      <c r="B6" s="350"/>
      <c r="C6" s="3389" t="s">
        <v>1677</v>
      </c>
      <c r="D6" s="3390"/>
      <c r="E6" s="3396" t="s">
        <v>1677</v>
      </c>
      <c r="F6" s="3397"/>
      <c r="G6" s="3389" t="s">
        <v>1677</v>
      </c>
      <c r="H6" s="3390"/>
      <c r="I6" s="3389" t="s">
        <v>1677</v>
      </c>
      <c r="J6" s="3390"/>
      <c r="K6" s="536" t="s">
        <v>1678</v>
      </c>
      <c r="L6" s="859"/>
      <c r="M6" s="860"/>
      <c r="N6" s="860"/>
      <c r="O6" s="860"/>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SUMIF(52:52,YEAR(E7)&amp;"-"&amp;MONTH(E7),53:53)</f>
        <v>0</v>
      </c>
      <c r="G7" s="355"/>
      <c r="H7" s="354">
        <f>SUMIF(52:52,YEAR(G7)&amp;"-"&amp;MONTH(G7),53:53)</f>
        <v>0</v>
      </c>
      <c r="I7" s="355"/>
      <c r="J7" s="354">
        <f>SUMIF(52:52,YEAR(I7)&amp;"-"&amp;MONTH(I7),53:53)</f>
        <v>0</v>
      </c>
      <c r="K7" s="38"/>
      <c r="L7" s="861"/>
      <c r="M7" s="862"/>
      <c r="N7" s="862"/>
      <c r="O7" s="862"/>
      <c r="P7" s="3393" t="s">
        <v>1680</v>
      </c>
      <c r="Q7" s="3395"/>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3" t="s">
        <v>1683</v>
      </c>
      <c r="Q8" s="3394"/>
      <c r="R8" s="663" t="s">
        <v>14</v>
      </c>
      <c r="S8" s="664">
        <f t="shared" si="0"/>
        <v>100</v>
      </c>
      <c r="T8" s="663" t="s">
        <v>14</v>
      </c>
      <c r="U8" s="664">
        <f t="shared" si="1"/>
        <v>100</v>
      </c>
      <c r="V8" s="663" t="s">
        <v>14</v>
      </c>
      <c r="W8" s="664">
        <f t="shared" si="2"/>
        <v>100</v>
      </c>
      <c r="X8" s="665"/>
      <c r="Y8" s="3393" t="s">
        <v>1683</v>
      </c>
      <c r="Z8" s="3394"/>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1"/>
      <c r="M9" s="862"/>
      <c r="N9" s="862"/>
      <c r="O9" s="863"/>
      <c r="P9" s="3358"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358"/>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58"/>
      <c r="Q11" s="529" t="str">
        <f t="shared" si="6"/>
        <v>容积率</v>
      </c>
      <c r="R11" s="663" t="s">
        <v>14</v>
      </c>
      <c r="S11" s="664">
        <f t="shared" si="0"/>
        <v>100</v>
      </c>
      <c r="T11" s="663" t="s">
        <v>14</v>
      </c>
      <c r="U11" s="664">
        <f t="shared" si="1"/>
        <v>100</v>
      </c>
      <c r="V11" s="663" t="s">
        <v>14</v>
      </c>
      <c r="W11" s="664">
        <f t="shared" si="2"/>
        <v>100</v>
      </c>
      <c r="X11" s="665"/>
      <c r="Y11" s="323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58"/>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58"/>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58"/>
      <c r="Q14" s="529">
        <f t="shared" si="6"/>
        <v>111</v>
      </c>
      <c r="R14" s="663" t="s">
        <v>14</v>
      </c>
      <c r="S14" s="664">
        <f t="shared" si="0"/>
        <v>100</v>
      </c>
      <c r="T14" s="663" t="s">
        <v>14</v>
      </c>
      <c r="U14" s="664">
        <f t="shared" si="1"/>
        <v>100</v>
      </c>
      <c r="V14" s="663" t="s">
        <v>14</v>
      </c>
      <c r="W14" s="664">
        <f t="shared" si="2"/>
        <v>100</v>
      </c>
      <c r="X14" s="665"/>
      <c r="Y14" s="3233"/>
      <c r="Z14" s="50">
        <f t="shared" si="7"/>
        <v>111</v>
      </c>
      <c r="AA14" s="50">
        <f t="shared" si="3"/>
        <v>1</v>
      </c>
      <c r="AB14" s="50">
        <f t="shared" si="4"/>
        <v>1</v>
      </c>
      <c r="AC14" s="50">
        <f t="shared" si="5"/>
        <v>1</v>
      </c>
    </row>
    <row r="15" spans="1:29" ht="57">
      <c r="A15" s="378" t="s">
        <v>1690</v>
      </c>
      <c r="B15" s="57"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60" t="s">
        <v>1691</v>
      </c>
      <c r="Q15" s="1262" t="str">
        <f t="shared" si="6"/>
        <v>产业集聚程度</v>
      </c>
      <c r="R15" s="666" t="s">
        <v>14</v>
      </c>
      <c r="S15" s="667">
        <f t="shared" si="0"/>
        <v>100</v>
      </c>
      <c r="T15" s="666" t="s">
        <v>14</v>
      </c>
      <c r="U15" s="667">
        <f t="shared" si="1"/>
        <v>100</v>
      </c>
      <c r="V15" s="666" t="s">
        <v>14</v>
      </c>
      <c r="W15" s="667">
        <f t="shared" si="2"/>
        <v>100</v>
      </c>
      <c r="X15" s="1264"/>
      <c r="Y15" s="336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61"/>
      <c r="Q16" s="1262"/>
      <c r="R16" s="666"/>
      <c r="S16" s="667"/>
      <c r="T16" s="666"/>
      <c r="U16" s="667"/>
      <c r="V16" s="666"/>
      <c r="W16" s="667"/>
      <c r="X16" s="1264"/>
      <c r="Y16" s="3361"/>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61"/>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61"/>
      <c r="Q18" s="1262"/>
      <c r="R18" s="666"/>
      <c r="S18" s="667"/>
      <c r="T18" s="666"/>
      <c r="U18" s="667"/>
      <c r="V18" s="666"/>
      <c r="W18" s="667"/>
      <c r="X18" s="1264"/>
      <c r="Y18" s="3361"/>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61"/>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61"/>
      <c r="Q20" s="1262"/>
      <c r="R20" s="666"/>
      <c r="S20" s="667"/>
      <c r="T20" s="666"/>
      <c r="U20" s="667"/>
      <c r="V20" s="666"/>
      <c r="W20" s="667"/>
      <c r="X20" s="1264"/>
      <c r="Y20" s="3361"/>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61"/>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61"/>
      <c r="Q22" s="1262"/>
      <c r="R22" s="666"/>
      <c r="S22" s="667"/>
      <c r="T22" s="666"/>
      <c r="U22" s="667"/>
      <c r="V22" s="666"/>
      <c r="W22" s="667"/>
      <c r="X22" s="1264"/>
      <c r="Y22" s="3361"/>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61"/>
      <c r="Q23" s="1262" t="str">
        <f>B23</f>
        <v>环境质量</v>
      </c>
      <c r="R23" s="666" t="s">
        <v>14</v>
      </c>
      <c r="S23" s="667">
        <f>F23</f>
        <v>100</v>
      </c>
      <c r="T23" s="666" t="s">
        <v>14</v>
      </c>
      <c r="U23" s="667">
        <f>H23</f>
        <v>100</v>
      </c>
      <c r="V23" s="666" t="s">
        <v>14</v>
      </c>
      <c r="W23" s="667">
        <f>J23</f>
        <v>100</v>
      </c>
      <c r="X23" s="1264"/>
      <c r="Y23" s="336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61"/>
      <c r="Q24" s="1262"/>
      <c r="R24" s="666"/>
      <c r="S24" s="667"/>
      <c r="T24" s="666"/>
      <c r="U24" s="667"/>
      <c r="V24" s="666"/>
      <c r="W24" s="667"/>
      <c r="X24" s="1264"/>
      <c r="Y24" s="336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61"/>
      <c r="Q25" s="1262">
        <f>B25</f>
        <v>111</v>
      </c>
      <c r="R25" s="666" t="s">
        <v>14</v>
      </c>
      <c r="S25" s="667">
        <f>F25</f>
        <v>100</v>
      </c>
      <c r="T25" s="666" t="s">
        <v>14</v>
      </c>
      <c r="U25" s="667">
        <f>H25</f>
        <v>100</v>
      </c>
      <c r="V25" s="666" t="s">
        <v>14</v>
      </c>
      <c r="W25" s="667">
        <f>J25</f>
        <v>100</v>
      </c>
      <c r="X25" s="1264"/>
      <c r="Y25" s="336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61"/>
      <c r="Q26" s="1262">
        <f t="shared" ref="Q26:Q40" si="11">B26</f>
        <v>111</v>
      </c>
      <c r="R26" s="666" t="s">
        <v>14</v>
      </c>
      <c r="S26" s="667">
        <f>F26</f>
        <v>100</v>
      </c>
      <c r="T26" s="666" t="s">
        <v>14</v>
      </c>
      <c r="U26" s="667">
        <f>H26</f>
        <v>100</v>
      </c>
      <c r="V26" s="666" t="s">
        <v>14</v>
      </c>
      <c r="W26" s="667">
        <f>J26</f>
        <v>100</v>
      </c>
      <c r="X26" s="1264"/>
      <c r="Y26" s="336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61"/>
      <c r="Q27" s="529">
        <f t="shared" si="11"/>
        <v>111</v>
      </c>
      <c r="R27" s="663" t="s">
        <v>14</v>
      </c>
      <c r="S27" s="664">
        <f>F27</f>
        <v>100</v>
      </c>
      <c r="T27" s="663" t="s">
        <v>14</v>
      </c>
      <c r="U27" s="664">
        <f>H27</f>
        <v>100</v>
      </c>
      <c r="V27" s="663" t="s">
        <v>14</v>
      </c>
      <c r="W27" s="664">
        <f>J27</f>
        <v>100</v>
      </c>
      <c r="X27" s="665"/>
      <c r="Y27" s="3361"/>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61"/>
      <c r="Q28" s="1262">
        <f t="shared" si="11"/>
        <v>111</v>
      </c>
      <c r="R28" s="666" t="s">
        <v>14</v>
      </c>
      <c r="S28" s="667">
        <f t="shared" ref="S28:S40" si="12">F28</f>
        <v>100</v>
      </c>
      <c r="T28" s="666" t="s">
        <v>14</v>
      </c>
      <c r="U28" s="667">
        <f t="shared" ref="U28:U40" si="13">H28</f>
        <v>100</v>
      </c>
      <c r="V28" s="666" t="s">
        <v>14</v>
      </c>
      <c r="W28" s="667">
        <f t="shared" ref="W28:W40" si="14">J28</f>
        <v>100</v>
      </c>
      <c r="X28" s="1264"/>
      <c r="Y28" s="3361"/>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15" t="s">
        <v>1696</v>
      </c>
      <c r="Q29" s="1262" t="str">
        <f t="shared" si="11"/>
        <v>建筑类型</v>
      </c>
      <c r="R29" s="666" t="s">
        <v>14</v>
      </c>
      <c r="S29" s="667">
        <f t="shared" si="12"/>
        <v>100</v>
      </c>
      <c r="T29" s="666" t="s">
        <v>14</v>
      </c>
      <c r="U29" s="667">
        <f t="shared" si="13"/>
        <v>100</v>
      </c>
      <c r="V29" s="666" t="s">
        <v>14</v>
      </c>
      <c r="W29" s="667">
        <f t="shared" si="14"/>
        <v>100</v>
      </c>
      <c r="X29" s="1264"/>
      <c r="Y29" s="336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65"/>
      <c r="Q30" s="530" t="str">
        <f t="shared" si="11"/>
        <v>项目建筑规模</v>
      </c>
      <c r="R30" s="668" t="s">
        <v>14</v>
      </c>
      <c r="S30" s="669" t="e">
        <f t="shared" si="12"/>
        <v>#N/A</v>
      </c>
      <c r="T30" s="668" t="s">
        <v>14</v>
      </c>
      <c r="U30" s="669" t="e">
        <f t="shared" si="13"/>
        <v>#N/A</v>
      </c>
      <c r="V30" s="668" t="s">
        <v>14</v>
      </c>
      <c r="W30" s="669" t="e">
        <f t="shared" si="14"/>
        <v>#N/A</v>
      </c>
      <c r="X30" s="670"/>
      <c r="Y30" s="336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65"/>
      <c r="Q31" s="1262" t="str">
        <f t="shared" si="11"/>
        <v>建筑结构</v>
      </c>
      <c r="R31" s="666" t="s">
        <v>14</v>
      </c>
      <c r="S31" s="667">
        <f t="shared" si="12"/>
        <v>100</v>
      </c>
      <c r="T31" s="666" t="s">
        <v>14</v>
      </c>
      <c r="U31" s="667">
        <f t="shared" si="13"/>
        <v>100</v>
      </c>
      <c r="V31" s="666" t="s">
        <v>14</v>
      </c>
      <c r="W31" s="667">
        <f t="shared" si="14"/>
        <v>100</v>
      </c>
      <c r="X31" s="1264"/>
      <c r="Y31" s="336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65"/>
      <c r="Q32" s="1262" t="str">
        <f t="shared" si="11"/>
        <v>公共部分装修</v>
      </c>
      <c r="R32" s="666" t="s">
        <v>14</v>
      </c>
      <c r="S32" s="667">
        <f t="shared" si="12"/>
        <v>100</v>
      </c>
      <c r="T32" s="666" t="s">
        <v>14</v>
      </c>
      <c r="U32" s="667">
        <f t="shared" si="13"/>
        <v>100</v>
      </c>
      <c r="V32" s="666" t="s">
        <v>14</v>
      </c>
      <c r="W32" s="667">
        <f t="shared" si="14"/>
        <v>100</v>
      </c>
      <c r="X32" s="1264"/>
      <c r="Y32" s="336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65"/>
      <c r="Q33" s="1262" t="str">
        <f t="shared" si="11"/>
        <v>成新度</v>
      </c>
      <c r="R33" s="666" t="s">
        <v>14</v>
      </c>
      <c r="S33" s="667" t="e">
        <f t="shared" si="12"/>
        <v>#N/A</v>
      </c>
      <c r="T33" s="666" t="s">
        <v>14</v>
      </c>
      <c r="U33" s="667" t="e">
        <f t="shared" si="13"/>
        <v>#N/A</v>
      </c>
      <c r="V33" s="666" t="s">
        <v>14</v>
      </c>
      <c r="W33" s="667" t="e">
        <f t="shared" si="14"/>
        <v>#N/A</v>
      </c>
      <c r="X33" s="1264"/>
      <c r="Y33" s="336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65"/>
      <c r="Q34" s="529" t="str">
        <f t="shared" si="11"/>
        <v>物业管理</v>
      </c>
      <c r="R34" s="663" t="s">
        <v>14</v>
      </c>
      <c r="S34" s="664">
        <f t="shared" si="12"/>
        <v>100</v>
      </c>
      <c r="T34" s="663" t="s">
        <v>14</v>
      </c>
      <c r="U34" s="664">
        <f t="shared" si="13"/>
        <v>100</v>
      </c>
      <c r="V34" s="663" t="s">
        <v>14</v>
      </c>
      <c r="W34" s="664">
        <f t="shared" si="14"/>
        <v>100</v>
      </c>
      <c r="X34" s="665"/>
      <c r="Y34" s="336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65" t="s">
        <v>1696</v>
      </c>
      <c r="Q35" s="1262" t="str">
        <f t="shared" si="11"/>
        <v>市政基础设施</v>
      </c>
      <c r="R35" s="666" t="s">
        <v>14</v>
      </c>
      <c r="S35" s="667">
        <f t="shared" si="12"/>
        <v>100</v>
      </c>
      <c r="T35" s="666" t="s">
        <v>14</v>
      </c>
      <c r="U35" s="667">
        <f t="shared" si="13"/>
        <v>100</v>
      </c>
      <c r="V35" s="666" t="s">
        <v>14</v>
      </c>
      <c r="W35" s="667">
        <f t="shared" si="14"/>
        <v>100</v>
      </c>
      <c r="X35" s="1264"/>
      <c r="Y35" s="336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65"/>
      <c r="Q36" s="1262" t="str">
        <f t="shared" si="11"/>
        <v>内部装修</v>
      </c>
      <c r="R36" s="666" t="s">
        <v>14</v>
      </c>
      <c r="S36" s="667">
        <f t="shared" si="12"/>
        <v>100</v>
      </c>
      <c r="T36" s="666" t="s">
        <v>14</v>
      </c>
      <c r="U36" s="667">
        <f t="shared" si="13"/>
        <v>100</v>
      </c>
      <c r="V36" s="666" t="s">
        <v>14</v>
      </c>
      <c r="W36" s="667">
        <f t="shared" si="14"/>
        <v>100</v>
      </c>
      <c r="X36" s="1264"/>
      <c r="Y36" s="336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65"/>
      <c r="Q37" s="1262" t="str">
        <f t="shared" si="11"/>
        <v>内部装修状况</v>
      </c>
      <c r="R37" s="666" t="s">
        <v>14</v>
      </c>
      <c r="S37" s="667">
        <f t="shared" si="12"/>
        <v>100</v>
      </c>
      <c r="T37" s="666" t="s">
        <v>14</v>
      </c>
      <c r="U37" s="667">
        <f t="shared" si="13"/>
        <v>100</v>
      </c>
      <c r="V37" s="666" t="s">
        <v>14</v>
      </c>
      <c r="W37" s="667">
        <f t="shared" si="14"/>
        <v>100</v>
      </c>
      <c r="X37" s="1264"/>
      <c r="Y37" s="336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65"/>
      <c r="Q38" s="530">
        <f t="shared" si="11"/>
        <v>111</v>
      </c>
      <c r="R38" s="668" t="s">
        <v>14</v>
      </c>
      <c r="S38" s="669">
        <f t="shared" si="12"/>
        <v>100</v>
      </c>
      <c r="T38" s="668" t="s">
        <v>14</v>
      </c>
      <c r="U38" s="669">
        <f t="shared" si="13"/>
        <v>100</v>
      </c>
      <c r="V38" s="668" t="s">
        <v>14</v>
      </c>
      <c r="W38" s="669">
        <f t="shared" si="14"/>
        <v>100</v>
      </c>
      <c r="X38" s="670"/>
      <c r="Y38" s="336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65"/>
      <c r="Q39" s="1262">
        <f t="shared" si="11"/>
        <v>111</v>
      </c>
      <c r="R39" s="666" t="s">
        <v>14</v>
      </c>
      <c r="S39" s="667">
        <f t="shared" si="12"/>
        <v>100</v>
      </c>
      <c r="T39" s="666" t="s">
        <v>14</v>
      </c>
      <c r="U39" s="667">
        <f t="shared" si="13"/>
        <v>100</v>
      </c>
      <c r="V39" s="666" t="s">
        <v>14</v>
      </c>
      <c r="W39" s="667">
        <f t="shared" si="14"/>
        <v>100</v>
      </c>
      <c r="X39" s="1264"/>
      <c r="Y39" s="336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66"/>
      <c r="Q40" s="1262">
        <f t="shared" si="11"/>
        <v>111</v>
      </c>
      <c r="R40" s="666" t="s">
        <v>14</v>
      </c>
      <c r="S40" s="667">
        <f t="shared" si="12"/>
        <v>100</v>
      </c>
      <c r="T40" s="666" t="s">
        <v>14</v>
      </c>
      <c r="U40" s="667">
        <f t="shared" si="13"/>
        <v>100</v>
      </c>
      <c r="V40" s="666" t="s">
        <v>14</v>
      </c>
      <c r="W40" s="667">
        <f t="shared" si="14"/>
        <v>100</v>
      </c>
      <c r="X40" s="1264"/>
      <c r="Y40" s="3366"/>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58" t="str">
        <f>A41</f>
        <v>成交单价（元/平方米）</v>
      </c>
      <c r="Q41" s="3358"/>
      <c r="R41" s="3359">
        <f>E41</f>
        <v>0</v>
      </c>
      <c r="S41" s="3359"/>
      <c r="T41" s="3359">
        <f>G41</f>
        <v>0</v>
      </c>
      <c r="U41" s="3359"/>
      <c r="V41" s="3359">
        <f>I41</f>
        <v>0</v>
      </c>
      <c r="W41" s="3359"/>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2024-3</v>
      </c>
      <c r="D52" s="1103">
        <f>EDATE(C52,-1)</f>
        <v>45323</v>
      </c>
      <c r="E52" s="1103">
        <f t="shared" ref="E52:O52" si="16">EDATE(D52,-1)</f>
        <v>45292</v>
      </c>
      <c r="F52" s="1103">
        <f t="shared" si="16"/>
        <v>45261</v>
      </c>
      <c r="G52" s="1103">
        <f t="shared" si="16"/>
        <v>45231</v>
      </c>
      <c r="H52" s="1103">
        <f t="shared" si="16"/>
        <v>45200</v>
      </c>
      <c r="I52" s="1103">
        <f t="shared" si="16"/>
        <v>45170</v>
      </c>
      <c r="J52" s="1103">
        <f t="shared" si="16"/>
        <v>45139</v>
      </c>
      <c r="K52" s="1103">
        <f t="shared" si="16"/>
        <v>45108</v>
      </c>
      <c r="L52" s="1103">
        <f t="shared" si="16"/>
        <v>45078</v>
      </c>
      <c r="M52" s="1103">
        <f t="shared" si="16"/>
        <v>45047</v>
      </c>
      <c r="N52" s="1103">
        <f t="shared" si="16"/>
        <v>45017</v>
      </c>
      <c r="O52" s="1103">
        <f t="shared" si="16"/>
        <v>44986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377" t="s">
        <v>1775</v>
      </c>
      <c r="Q4" s="3378"/>
      <c r="R4" s="3383" t="s">
        <v>1771</v>
      </c>
      <c r="S4" s="3384"/>
      <c r="T4" s="3383" t="s">
        <v>1772</v>
      </c>
      <c r="U4" s="3384"/>
      <c r="V4" s="3359" t="s">
        <v>1773</v>
      </c>
      <c r="W4" s="3359"/>
      <c r="X4" s="1264"/>
      <c r="Y4" s="3383" t="s">
        <v>1775</v>
      </c>
      <c r="Z4" s="3384"/>
      <c r="AA4" s="3370" t="s">
        <v>1771</v>
      </c>
      <c r="AB4" s="3371" t="s">
        <v>1772</v>
      </c>
      <c r="AC4" s="3370" t="s">
        <v>1773</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71"/>
      <c r="AC5" s="3371"/>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SUMIF(48:48,YEAR(E7)&amp;"-"&amp;MONTH(E7),49:49)</f>
        <v>0</v>
      </c>
      <c r="G7" s="355"/>
      <c r="H7" s="354">
        <f>SUMIF(48:48,YEAR(G7)&amp;"-"&amp;MONTH(G7),49:49)</f>
        <v>0</v>
      </c>
      <c r="I7" s="355"/>
      <c r="J7" s="354">
        <f>SUMIF(48:48,YEAR(I7)&amp;"-"&amp;MONTH(I7),49:49)</f>
        <v>0</v>
      </c>
      <c r="K7" s="38"/>
      <c r="L7" s="2488"/>
      <c r="M7" s="2439"/>
      <c r="N7" s="2439"/>
      <c r="O7" s="2439"/>
      <c r="P7" s="3393" t="s">
        <v>1680</v>
      </c>
      <c r="Q7" s="3395"/>
      <c r="R7" s="663" t="s">
        <v>14</v>
      </c>
      <c r="S7" s="664">
        <f t="shared" ref="S7:S14" si="0">F7</f>
        <v>0</v>
      </c>
      <c r="T7" s="663" t="s">
        <v>14</v>
      </c>
      <c r="U7" s="664">
        <f t="shared" ref="U7:U14" si="1">H7</f>
        <v>0</v>
      </c>
      <c r="V7" s="663" t="s">
        <v>14</v>
      </c>
      <c r="W7" s="664">
        <f t="shared" ref="W7:W14" si="2">J7</f>
        <v>0</v>
      </c>
      <c r="X7" s="665"/>
      <c r="Y7" s="3393" t="s">
        <v>1680</v>
      </c>
      <c r="Z7" s="3394"/>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6" si="3">D8/F8</f>
        <v>1</v>
      </c>
      <c r="AB8" s="50">
        <f t="shared" ref="AB8:AB36" si="4">D8/H8</f>
        <v>1</v>
      </c>
      <c r="AC8" s="50">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8"/>
      <c r="L9" s="2488"/>
      <c r="M9" s="2439"/>
      <c r="N9" s="2439"/>
      <c r="O9" s="2439"/>
      <c r="P9" s="3358" t="s">
        <v>1686</v>
      </c>
      <c r="Q9" s="529" t="str">
        <f t="shared" ref="Q9:Q14" si="6">B9</f>
        <v>用途</v>
      </c>
      <c r="R9" s="663" t="s">
        <v>14</v>
      </c>
      <c r="S9" s="664">
        <f t="shared" si="0"/>
        <v>100</v>
      </c>
      <c r="T9" s="663" t="s">
        <v>14</v>
      </c>
      <c r="U9" s="664">
        <f t="shared" si="1"/>
        <v>100</v>
      </c>
      <c r="V9" s="663" t="s">
        <v>14</v>
      </c>
      <c r="W9" s="664">
        <f t="shared" si="2"/>
        <v>100</v>
      </c>
      <c r="X9" s="665"/>
      <c r="Y9" s="3233"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9"/>
      <c r="M10" s="2490"/>
      <c r="N10" s="2490"/>
      <c r="O10" s="2490"/>
      <c r="P10" s="3358"/>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58"/>
      <c r="Q11" s="529">
        <f t="shared" si="6"/>
        <v>111</v>
      </c>
      <c r="R11" s="663" t="s">
        <v>14</v>
      </c>
      <c r="S11" s="664">
        <f t="shared" si="0"/>
        <v>100</v>
      </c>
      <c r="T11" s="663" t="s">
        <v>14</v>
      </c>
      <c r="U11" s="664">
        <f t="shared" si="1"/>
        <v>100</v>
      </c>
      <c r="V11" s="663" t="s">
        <v>14</v>
      </c>
      <c r="W11" s="664">
        <f t="shared" si="2"/>
        <v>100</v>
      </c>
      <c r="X11" s="665"/>
      <c r="Y11" s="323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58"/>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58"/>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60" t="s">
        <v>1691</v>
      </c>
      <c r="Q14" s="1262" t="str">
        <f t="shared" si="6"/>
        <v>交通便捷度</v>
      </c>
      <c r="R14" s="666" t="s">
        <v>14</v>
      </c>
      <c r="S14" s="667">
        <f t="shared" si="0"/>
        <v>100</v>
      </c>
      <c r="T14" s="666" t="s">
        <v>14</v>
      </c>
      <c r="U14" s="667">
        <f t="shared" si="1"/>
        <v>100</v>
      </c>
      <c r="V14" s="666" t="s">
        <v>14</v>
      </c>
      <c r="W14" s="667">
        <f t="shared" si="2"/>
        <v>100</v>
      </c>
      <c r="X14" s="1264"/>
      <c r="Y14" s="336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61"/>
      <c r="Q15" s="1262"/>
      <c r="R15" s="666"/>
      <c r="S15" s="667"/>
      <c r="T15" s="666"/>
      <c r="U15" s="667"/>
      <c r="V15" s="666"/>
      <c r="W15" s="667"/>
      <c r="X15" s="1264"/>
      <c r="Y15" s="3361"/>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61"/>
      <c r="Q16" s="1262" t="str">
        <f>B16</f>
        <v>公共配套设施</v>
      </c>
      <c r="R16" s="666" t="s">
        <v>14</v>
      </c>
      <c r="S16" s="667">
        <f>F16</f>
        <v>100</v>
      </c>
      <c r="T16" s="666" t="s">
        <v>14</v>
      </c>
      <c r="U16" s="667">
        <f>H16</f>
        <v>100</v>
      </c>
      <c r="V16" s="666" t="s">
        <v>14</v>
      </c>
      <c r="W16" s="667">
        <f>J16</f>
        <v>100</v>
      </c>
      <c r="X16" s="1264"/>
      <c r="Y16" s="336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61"/>
      <c r="Q17" s="1262"/>
      <c r="R17" s="666"/>
      <c r="S17" s="667"/>
      <c r="T17" s="666"/>
      <c r="U17" s="667"/>
      <c r="V17" s="666"/>
      <c r="W17" s="667"/>
      <c r="X17" s="1264"/>
      <c r="Y17" s="3361"/>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61"/>
      <c r="Q18" s="1262" t="str">
        <f>B18</f>
        <v>基础设施水平</v>
      </c>
      <c r="R18" s="666" t="s">
        <v>14</v>
      </c>
      <c r="S18" s="667">
        <f>F18</f>
        <v>100</v>
      </c>
      <c r="T18" s="666" t="s">
        <v>14</v>
      </c>
      <c r="U18" s="667">
        <f>H18</f>
        <v>100</v>
      </c>
      <c r="V18" s="666" t="s">
        <v>14</v>
      </c>
      <c r="W18" s="667">
        <f>J18</f>
        <v>100</v>
      </c>
      <c r="X18" s="1264"/>
      <c r="Y18" s="336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61"/>
      <c r="Q19" s="1262"/>
      <c r="R19" s="666"/>
      <c r="S19" s="667"/>
      <c r="T19" s="666"/>
      <c r="U19" s="667"/>
      <c r="V19" s="666"/>
      <c r="W19" s="667"/>
      <c r="X19" s="1264"/>
      <c r="Y19" s="3361"/>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61"/>
      <c r="Q20" s="1262" t="str">
        <f>B20</f>
        <v>自然及人文环境</v>
      </c>
      <c r="R20" s="666" t="s">
        <v>14</v>
      </c>
      <c r="S20" s="667">
        <f>F20</f>
        <v>100</v>
      </c>
      <c r="T20" s="666" t="s">
        <v>14</v>
      </c>
      <c r="U20" s="667">
        <f>H20</f>
        <v>100</v>
      </c>
      <c r="V20" s="666" t="s">
        <v>14</v>
      </c>
      <c r="W20" s="667">
        <f>J20</f>
        <v>100</v>
      </c>
      <c r="X20" s="1264"/>
      <c r="Y20" s="336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61"/>
      <c r="Q21" s="1262"/>
      <c r="R21" s="666"/>
      <c r="S21" s="667"/>
      <c r="T21" s="666"/>
      <c r="U21" s="667"/>
      <c r="V21" s="666"/>
      <c r="W21" s="667"/>
      <c r="X21" s="1264"/>
      <c r="Y21" s="336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61"/>
      <c r="Q22" s="1262" t="str">
        <f>B22</f>
        <v>楼层</v>
      </c>
      <c r="R22" s="666" t="s">
        <v>14</v>
      </c>
      <c r="S22" s="667">
        <f>F22</f>
        <v>100</v>
      </c>
      <c r="T22" s="666" t="s">
        <v>14</v>
      </c>
      <c r="U22" s="667">
        <f>H22</f>
        <v>100</v>
      </c>
      <c r="V22" s="666" t="s">
        <v>14</v>
      </c>
      <c r="W22" s="667">
        <f>J22</f>
        <v>100</v>
      </c>
      <c r="X22" s="1264"/>
      <c r="Y22" s="336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61"/>
      <c r="Q23" s="1262">
        <f>B23</f>
        <v>111</v>
      </c>
      <c r="R23" s="666" t="s">
        <v>14</v>
      </c>
      <c r="S23" s="667">
        <f>F23</f>
        <v>100</v>
      </c>
      <c r="T23" s="666" t="s">
        <v>14</v>
      </c>
      <c r="U23" s="667">
        <f>H23</f>
        <v>100</v>
      </c>
      <c r="V23" s="666" t="s">
        <v>14</v>
      </c>
      <c r="W23" s="667">
        <f>J23</f>
        <v>100</v>
      </c>
      <c r="X23" s="1264"/>
      <c r="Y23" s="336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61"/>
      <c r="Q24" s="1262">
        <f t="shared" ref="Q24:Q36" si="11">B24</f>
        <v>111</v>
      </c>
      <c r="R24" s="666" t="s">
        <v>14</v>
      </c>
      <c r="S24" s="667">
        <f>F24</f>
        <v>100</v>
      </c>
      <c r="T24" s="666" t="s">
        <v>14</v>
      </c>
      <c r="U24" s="667">
        <f>H24</f>
        <v>100</v>
      </c>
      <c r="V24" s="666" t="s">
        <v>14</v>
      </c>
      <c r="W24" s="667">
        <f>J24</f>
        <v>100</v>
      </c>
      <c r="X24" s="1264"/>
      <c r="Y24" s="3361"/>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61"/>
      <c r="Q25" s="529">
        <f t="shared" si="11"/>
        <v>111</v>
      </c>
      <c r="R25" s="663" t="s">
        <v>14</v>
      </c>
      <c r="S25" s="664">
        <f>F25</f>
        <v>100</v>
      </c>
      <c r="T25" s="663" t="s">
        <v>14</v>
      </c>
      <c r="U25" s="664">
        <f>H25</f>
        <v>100</v>
      </c>
      <c r="V25" s="663" t="s">
        <v>14</v>
      </c>
      <c r="W25" s="664">
        <f>J25</f>
        <v>100</v>
      </c>
      <c r="X25" s="665"/>
      <c r="Y25" s="3361"/>
      <c r="Z25" s="50">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1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6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65"/>
      <c r="Q27" s="530" t="str">
        <f t="shared" si="11"/>
        <v>项目停车位配比</v>
      </c>
      <c r="R27" s="668" t="s">
        <v>14</v>
      </c>
      <c r="S27" s="669">
        <f t="shared" si="12"/>
        <v>100</v>
      </c>
      <c r="T27" s="668" t="s">
        <v>14</v>
      </c>
      <c r="U27" s="669">
        <f t="shared" si="13"/>
        <v>100</v>
      </c>
      <c r="V27" s="668" t="s">
        <v>14</v>
      </c>
      <c r="W27" s="669">
        <f t="shared" si="14"/>
        <v>100</v>
      </c>
      <c r="X27" s="670"/>
      <c r="Y27" s="336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65"/>
      <c r="Q28" s="1262" t="str">
        <f t="shared" si="11"/>
        <v>公共部分装修</v>
      </c>
      <c r="R28" s="666" t="s">
        <v>14</v>
      </c>
      <c r="S28" s="667">
        <f t="shared" si="12"/>
        <v>100</v>
      </c>
      <c r="T28" s="666" t="s">
        <v>14</v>
      </c>
      <c r="U28" s="667">
        <f t="shared" si="13"/>
        <v>100</v>
      </c>
      <c r="V28" s="666" t="s">
        <v>14</v>
      </c>
      <c r="W28" s="667">
        <f t="shared" si="14"/>
        <v>100</v>
      </c>
      <c r="X28" s="1264"/>
      <c r="Y28" s="336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65"/>
      <c r="Q29" s="1262" t="str">
        <f t="shared" si="11"/>
        <v>成新率</v>
      </c>
      <c r="R29" s="666" t="s">
        <v>14</v>
      </c>
      <c r="S29" s="667" t="e">
        <f t="shared" si="12"/>
        <v>#N/A</v>
      </c>
      <c r="T29" s="666" t="s">
        <v>14</v>
      </c>
      <c r="U29" s="667" t="e">
        <f t="shared" si="13"/>
        <v>#N/A</v>
      </c>
      <c r="V29" s="666" t="s">
        <v>14</v>
      </c>
      <c r="W29" s="667" t="e">
        <f t="shared" si="14"/>
        <v>#N/A</v>
      </c>
      <c r="X29" s="1264"/>
      <c r="Y29" s="336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65"/>
      <c r="Q30" s="1262" t="str">
        <f t="shared" si="11"/>
        <v>物业等级</v>
      </c>
      <c r="R30" s="666" t="s">
        <v>14</v>
      </c>
      <c r="S30" s="667">
        <f t="shared" si="12"/>
        <v>100</v>
      </c>
      <c r="T30" s="666" t="s">
        <v>14</v>
      </c>
      <c r="U30" s="667">
        <f t="shared" si="13"/>
        <v>100</v>
      </c>
      <c r="V30" s="666" t="s">
        <v>14</v>
      </c>
      <c r="W30" s="667">
        <f t="shared" si="14"/>
        <v>100</v>
      </c>
      <c r="X30" s="1264"/>
      <c r="Y30" s="336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65"/>
      <c r="Q31" s="529" t="str">
        <f t="shared" si="11"/>
        <v>停车位面积</v>
      </c>
      <c r="R31" s="663" t="s">
        <v>14</v>
      </c>
      <c r="S31" s="664" t="e">
        <f t="shared" si="12"/>
        <v>#N/A</v>
      </c>
      <c r="T31" s="663" t="s">
        <v>14</v>
      </c>
      <c r="U31" s="664" t="e">
        <f t="shared" si="13"/>
        <v>#N/A</v>
      </c>
      <c r="V31" s="663" t="s">
        <v>14</v>
      </c>
      <c r="W31" s="664" t="e">
        <f t="shared" si="14"/>
        <v>#N/A</v>
      </c>
      <c r="X31" s="665"/>
      <c r="Y31" s="336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65" t="s">
        <v>1696</v>
      </c>
      <c r="Q32" s="1262" t="str">
        <f t="shared" si="11"/>
        <v>车位类型</v>
      </c>
      <c r="R32" s="666" t="s">
        <v>14</v>
      </c>
      <c r="S32" s="667">
        <f t="shared" si="12"/>
        <v>100</v>
      </c>
      <c r="T32" s="666" t="s">
        <v>14</v>
      </c>
      <c r="U32" s="667">
        <f t="shared" si="13"/>
        <v>100</v>
      </c>
      <c r="V32" s="666" t="s">
        <v>14</v>
      </c>
      <c r="W32" s="667">
        <f t="shared" si="14"/>
        <v>100</v>
      </c>
      <c r="X32" s="1264"/>
      <c r="Y32" s="336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65"/>
      <c r="Q33" s="1262" t="str">
        <f t="shared" si="11"/>
        <v>是否直接入户</v>
      </c>
      <c r="R33" s="666" t="s">
        <v>14</v>
      </c>
      <c r="S33" s="667">
        <f t="shared" si="12"/>
        <v>100</v>
      </c>
      <c r="T33" s="666" t="s">
        <v>14</v>
      </c>
      <c r="U33" s="667">
        <f t="shared" si="13"/>
        <v>100</v>
      </c>
      <c r="V33" s="666" t="s">
        <v>14</v>
      </c>
      <c r="W33" s="667">
        <f t="shared" si="14"/>
        <v>100</v>
      </c>
      <c r="X33" s="1264"/>
      <c r="Y33" s="336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65"/>
      <c r="Q34" s="1262">
        <f t="shared" si="11"/>
        <v>111</v>
      </c>
      <c r="R34" s="666" t="s">
        <v>14</v>
      </c>
      <c r="S34" s="667">
        <f t="shared" si="12"/>
        <v>100</v>
      </c>
      <c r="T34" s="666" t="s">
        <v>14</v>
      </c>
      <c r="U34" s="667">
        <f t="shared" si="13"/>
        <v>100</v>
      </c>
      <c r="V34" s="666" t="s">
        <v>14</v>
      </c>
      <c r="W34" s="667">
        <f t="shared" si="14"/>
        <v>100</v>
      </c>
      <c r="X34" s="1264"/>
      <c r="Y34" s="336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65"/>
      <c r="Q35" s="530">
        <f t="shared" si="11"/>
        <v>111</v>
      </c>
      <c r="R35" s="668" t="s">
        <v>14</v>
      </c>
      <c r="S35" s="669">
        <f t="shared" si="12"/>
        <v>100</v>
      </c>
      <c r="T35" s="668" t="s">
        <v>14</v>
      </c>
      <c r="U35" s="669">
        <f t="shared" si="13"/>
        <v>100</v>
      </c>
      <c r="V35" s="668" t="s">
        <v>14</v>
      </c>
      <c r="W35" s="669">
        <f t="shared" si="14"/>
        <v>100</v>
      </c>
      <c r="X35" s="670"/>
      <c r="Y35" s="336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65"/>
      <c r="Q36" s="1262">
        <f t="shared" si="11"/>
        <v>111</v>
      </c>
      <c r="R36" s="666" t="s">
        <v>14</v>
      </c>
      <c r="S36" s="667">
        <f t="shared" si="12"/>
        <v>100</v>
      </c>
      <c r="T36" s="666" t="s">
        <v>14</v>
      </c>
      <c r="U36" s="667">
        <f t="shared" si="13"/>
        <v>100</v>
      </c>
      <c r="V36" s="666" t="s">
        <v>14</v>
      </c>
      <c r="W36" s="667">
        <f t="shared" si="14"/>
        <v>100</v>
      </c>
      <c r="X36" s="1264"/>
      <c r="Y36" s="3365"/>
      <c r="Z36" s="1263">
        <f t="shared" si="15"/>
        <v>111</v>
      </c>
      <c r="AA36" s="1263">
        <f t="shared" si="3"/>
        <v>1</v>
      </c>
      <c r="AB36" s="1263">
        <f t="shared" si="4"/>
        <v>1</v>
      </c>
      <c r="AC36" s="1263">
        <f t="shared" si="5"/>
        <v>1</v>
      </c>
    </row>
    <row r="37" spans="1:29" ht="15">
      <c r="A37" s="415" t="s">
        <v>1844</v>
      </c>
      <c r="B37" s="1820" t="s">
        <v>3357</v>
      </c>
      <c r="C37" s="1080" t="s">
        <v>0</v>
      </c>
      <c r="D37" s="417"/>
      <c r="E37" s="418"/>
      <c r="F37" s="419"/>
      <c r="G37" s="420"/>
      <c r="H37" s="421"/>
      <c r="I37" s="418"/>
      <c r="J37" s="421"/>
      <c r="K37" s="544"/>
      <c r="L37" s="2494"/>
      <c r="M37" s="2487"/>
      <c r="N37" s="2487"/>
      <c r="O37" s="2487"/>
      <c r="P37" s="3358" t="str">
        <f>A37</f>
        <v>成交单价</v>
      </c>
      <c r="Q37" s="3358"/>
      <c r="R37" s="3359">
        <f>E37</f>
        <v>0</v>
      </c>
      <c r="S37" s="3359"/>
      <c r="T37" s="3359">
        <f>G37</f>
        <v>0</v>
      </c>
      <c r="U37" s="3359"/>
      <c r="V37" s="3359">
        <f>I37</f>
        <v>0</v>
      </c>
      <c r="W37" s="3359"/>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55" t="str">
        <f>A39</f>
        <v>估价对象XX用房的比较价值（楼面单价，元/平方米）</v>
      </c>
      <c r="Q39" s="3356"/>
      <c r="R39" s="3416" t="e">
        <f>IF(F1="售价",ROUND(IF(D38="简单平均",AVERAGE(R38:W38),R38*F38+T38*H38+V38*J38),0),ROUND(IF(D38="简单平均",AVERAGE(R38:V38),R38*F38+T38*H38+V38*J38),1))</f>
        <v>#DIV/0!</v>
      </c>
      <c r="S39" s="3416"/>
      <c r="T39" s="3416"/>
      <c r="U39" s="3416"/>
      <c r="V39" s="3416"/>
      <c r="W39" s="3416"/>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2024-3</v>
      </c>
      <c r="D48" s="1103">
        <f>EDATE(C48,-1)</f>
        <v>45323</v>
      </c>
      <c r="E48" s="1103">
        <f t="shared" ref="E48:O48" si="16">EDATE(D48,-1)</f>
        <v>45292</v>
      </c>
      <c r="F48" s="1103">
        <f t="shared" si="16"/>
        <v>45261</v>
      </c>
      <c r="G48" s="1103">
        <f t="shared" si="16"/>
        <v>45231</v>
      </c>
      <c r="H48" s="1103">
        <f t="shared" si="16"/>
        <v>45200</v>
      </c>
      <c r="I48" s="1103">
        <f t="shared" si="16"/>
        <v>45170</v>
      </c>
      <c r="J48" s="1103">
        <f t="shared" si="16"/>
        <v>45139</v>
      </c>
      <c r="K48" s="1103">
        <f t="shared" si="16"/>
        <v>45108</v>
      </c>
      <c r="L48" s="1103">
        <f t="shared" si="16"/>
        <v>45078</v>
      </c>
      <c r="M48" s="1103">
        <f t="shared" si="16"/>
        <v>45047</v>
      </c>
      <c r="N48" s="1103">
        <f t="shared" si="16"/>
        <v>45017</v>
      </c>
      <c r="O48" s="1103">
        <f t="shared" si="16"/>
        <v>44986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377" t="s">
        <v>1775</v>
      </c>
      <c r="Q4" s="3378"/>
      <c r="R4" s="3383" t="s">
        <v>1771</v>
      </c>
      <c r="S4" s="3384"/>
      <c r="T4" s="3383" t="s">
        <v>1772</v>
      </c>
      <c r="U4" s="3384"/>
      <c r="V4" s="3359" t="s">
        <v>1773</v>
      </c>
      <c r="W4" s="3359"/>
      <c r="X4" s="1264"/>
      <c r="Y4" s="3383" t="s">
        <v>1775</v>
      </c>
      <c r="Z4" s="3384"/>
      <c r="AA4" s="3370" t="s">
        <v>1771</v>
      </c>
      <c r="AB4" s="3371" t="s">
        <v>1772</v>
      </c>
      <c r="AC4" s="3370" t="s">
        <v>1773</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71"/>
      <c r="AC5" s="3371"/>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93" t="s">
        <v>1680</v>
      </c>
      <c r="Q7" s="3395"/>
      <c r="R7" s="663" t="s">
        <v>14</v>
      </c>
      <c r="S7" s="664">
        <f t="shared" ref="S7:S14" si="0">F7</f>
        <v>0</v>
      </c>
      <c r="T7" s="663" t="s">
        <v>14</v>
      </c>
      <c r="U7" s="664">
        <f t="shared" ref="U7:U14" si="1">H7</f>
        <v>0</v>
      </c>
      <c r="V7" s="663" t="s">
        <v>14</v>
      </c>
      <c r="W7" s="664">
        <f t="shared" ref="W7:W14" si="2">J7</f>
        <v>0</v>
      </c>
      <c r="X7" s="665"/>
      <c r="Y7" s="3393" t="s">
        <v>1680</v>
      </c>
      <c r="Z7" s="3394"/>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93" t="s">
        <v>1683</v>
      </c>
      <c r="Q8" s="3394"/>
      <c r="R8" s="663" t="s">
        <v>14</v>
      </c>
      <c r="S8" s="664">
        <f t="shared" si="0"/>
        <v>100</v>
      </c>
      <c r="T8" s="663" t="s">
        <v>14</v>
      </c>
      <c r="U8" s="664">
        <f t="shared" si="1"/>
        <v>100</v>
      </c>
      <c r="V8" s="663" t="s">
        <v>14</v>
      </c>
      <c r="W8" s="664">
        <f t="shared" si="2"/>
        <v>100</v>
      </c>
      <c r="X8" s="665"/>
      <c r="Y8" s="3393" t="s">
        <v>1683</v>
      </c>
      <c r="Z8" s="3394"/>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8"/>
      <c r="M9" s="2439"/>
      <c r="N9" s="2439"/>
      <c r="O9" s="2540"/>
      <c r="P9" s="3358" t="s">
        <v>1686</v>
      </c>
      <c r="Q9" s="529" t="str">
        <f t="shared" ref="Q9:Q14" si="6">B9</f>
        <v>用途</v>
      </c>
      <c r="R9" s="663" t="s">
        <v>14</v>
      </c>
      <c r="S9" s="664">
        <f t="shared" si="0"/>
        <v>100</v>
      </c>
      <c r="T9" s="663" t="s">
        <v>14</v>
      </c>
      <c r="U9" s="664">
        <f t="shared" si="1"/>
        <v>100</v>
      </c>
      <c r="V9" s="663" t="s">
        <v>14</v>
      </c>
      <c r="W9" s="664">
        <f t="shared" si="2"/>
        <v>100</v>
      </c>
      <c r="X9" s="665"/>
      <c r="Y9" s="3233"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9"/>
      <c r="M10" s="2490"/>
      <c r="N10" s="2490"/>
      <c r="O10" s="2541"/>
      <c r="P10" s="3358"/>
      <c r="Q10" s="529" t="str">
        <f t="shared" si="6"/>
        <v>土地使用年限（年）</v>
      </c>
      <c r="R10" s="663" t="s">
        <v>14</v>
      </c>
      <c r="S10" s="664">
        <f t="shared" si="0"/>
        <v>100</v>
      </c>
      <c r="T10" s="663" t="s">
        <v>14</v>
      </c>
      <c r="U10" s="664">
        <f t="shared" si="1"/>
        <v>100</v>
      </c>
      <c r="V10" s="663" t="s">
        <v>14</v>
      </c>
      <c r="W10" s="664">
        <f t="shared" si="2"/>
        <v>100</v>
      </c>
      <c r="X10" s="665"/>
      <c r="Y10" s="323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58"/>
      <c r="Q11" s="529">
        <f t="shared" si="6"/>
        <v>111</v>
      </c>
      <c r="R11" s="663" t="s">
        <v>14</v>
      </c>
      <c r="S11" s="664">
        <f t="shared" si="0"/>
        <v>100</v>
      </c>
      <c r="T11" s="663" t="s">
        <v>14</v>
      </c>
      <c r="U11" s="664">
        <f t="shared" si="1"/>
        <v>100</v>
      </c>
      <c r="V11" s="663" t="s">
        <v>14</v>
      </c>
      <c r="W11" s="664">
        <f t="shared" si="2"/>
        <v>100</v>
      </c>
      <c r="X11" s="665"/>
      <c r="Y11" s="323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58"/>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58"/>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85.5">
      <c r="A14" s="378" t="s">
        <v>1690</v>
      </c>
      <c r="B14" s="57"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60" t="s">
        <v>1691</v>
      </c>
      <c r="Q14" s="1262" t="str">
        <f t="shared" si="6"/>
        <v>交通便捷度</v>
      </c>
      <c r="R14" s="666" t="s">
        <v>14</v>
      </c>
      <c r="S14" s="667">
        <f t="shared" si="0"/>
        <v>100</v>
      </c>
      <c r="T14" s="666" t="s">
        <v>14</v>
      </c>
      <c r="U14" s="667">
        <f t="shared" si="1"/>
        <v>100</v>
      </c>
      <c r="V14" s="666" t="s">
        <v>14</v>
      </c>
      <c r="W14" s="667">
        <f t="shared" si="2"/>
        <v>100</v>
      </c>
      <c r="X14" s="1264"/>
      <c r="Y14" s="336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61"/>
      <c r="Q15" s="1262"/>
      <c r="R15" s="666"/>
      <c r="S15" s="667"/>
      <c r="T15" s="666"/>
      <c r="U15" s="667"/>
      <c r="V15" s="666"/>
      <c r="W15" s="667"/>
      <c r="X15" s="1264"/>
      <c r="Y15" s="3361"/>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61"/>
      <c r="Q16" s="1262" t="str">
        <f>B16</f>
        <v>公共配套设施</v>
      </c>
      <c r="R16" s="666" t="s">
        <v>14</v>
      </c>
      <c r="S16" s="667">
        <f>F16</f>
        <v>100</v>
      </c>
      <c r="T16" s="666" t="s">
        <v>14</v>
      </c>
      <c r="U16" s="667">
        <f>H16</f>
        <v>100</v>
      </c>
      <c r="V16" s="666" t="s">
        <v>14</v>
      </c>
      <c r="W16" s="667">
        <f>J16</f>
        <v>100</v>
      </c>
      <c r="X16" s="1264"/>
      <c r="Y16" s="336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61"/>
      <c r="Q17" s="1262"/>
      <c r="R17" s="666"/>
      <c r="S17" s="667"/>
      <c r="T17" s="666"/>
      <c r="U17" s="667"/>
      <c r="V17" s="666"/>
      <c r="W17" s="667"/>
      <c r="X17" s="1264"/>
      <c r="Y17" s="3361"/>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61"/>
      <c r="Q18" s="1262" t="str">
        <f>B18</f>
        <v>基础设施水平</v>
      </c>
      <c r="R18" s="666" t="s">
        <v>14</v>
      </c>
      <c r="S18" s="667">
        <f>F18</f>
        <v>100</v>
      </c>
      <c r="T18" s="666" t="s">
        <v>14</v>
      </c>
      <c r="U18" s="667">
        <f>H18</f>
        <v>100</v>
      </c>
      <c r="V18" s="666" t="s">
        <v>14</v>
      </c>
      <c r="W18" s="667">
        <f>J18</f>
        <v>100</v>
      </c>
      <c r="X18" s="1264"/>
      <c r="Y18" s="336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61"/>
      <c r="Q19" s="1262"/>
      <c r="R19" s="666"/>
      <c r="S19" s="667"/>
      <c r="T19" s="666"/>
      <c r="U19" s="667"/>
      <c r="V19" s="666"/>
      <c r="W19" s="667"/>
      <c r="X19" s="1264"/>
      <c r="Y19" s="3361"/>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61"/>
      <c r="Q20" s="1262" t="str">
        <f>B20</f>
        <v>自然及人文环境</v>
      </c>
      <c r="R20" s="666" t="s">
        <v>14</v>
      </c>
      <c r="S20" s="667">
        <f>F20</f>
        <v>100</v>
      </c>
      <c r="T20" s="666" t="s">
        <v>14</v>
      </c>
      <c r="U20" s="667">
        <f>H20</f>
        <v>100</v>
      </c>
      <c r="V20" s="666" t="s">
        <v>14</v>
      </c>
      <c r="W20" s="667">
        <f>J20</f>
        <v>100</v>
      </c>
      <c r="X20" s="1264"/>
      <c r="Y20" s="336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61"/>
      <c r="Q21" s="1262"/>
      <c r="R21" s="666"/>
      <c r="S21" s="667"/>
      <c r="T21" s="666"/>
      <c r="U21" s="667"/>
      <c r="V21" s="666"/>
      <c r="W21" s="667"/>
      <c r="X21" s="1264"/>
      <c r="Y21" s="336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61"/>
      <c r="Q22" s="1262" t="str">
        <f>B22</f>
        <v>楼层</v>
      </c>
      <c r="R22" s="666" t="s">
        <v>14</v>
      </c>
      <c r="S22" s="667">
        <f>F22</f>
        <v>100</v>
      </c>
      <c r="T22" s="666" t="s">
        <v>14</v>
      </c>
      <c r="U22" s="667">
        <f>H22</f>
        <v>100</v>
      </c>
      <c r="V22" s="666" t="s">
        <v>14</v>
      </c>
      <c r="W22" s="667">
        <f>J22</f>
        <v>100</v>
      </c>
      <c r="X22" s="1264"/>
      <c r="Y22" s="336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61"/>
      <c r="Q23" s="1262">
        <f>B23</f>
        <v>111</v>
      </c>
      <c r="R23" s="666" t="s">
        <v>14</v>
      </c>
      <c r="S23" s="667">
        <f>F23</f>
        <v>100</v>
      </c>
      <c r="T23" s="666" t="s">
        <v>14</v>
      </c>
      <c r="U23" s="667">
        <f>H23</f>
        <v>100</v>
      </c>
      <c r="V23" s="666" t="s">
        <v>14</v>
      </c>
      <c r="W23" s="667">
        <f>J23</f>
        <v>100</v>
      </c>
      <c r="X23" s="1264"/>
      <c r="Y23" s="336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61"/>
      <c r="Q24" s="1262">
        <f t="shared" ref="Q24:Q34" si="11">B24</f>
        <v>111</v>
      </c>
      <c r="R24" s="666" t="s">
        <v>14</v>
      </c>
      <c r="S24" s="667">
        <f>F24</f>
        <v>100</v>
      </c>
      <c r="T24" s="666" t="s">
        <v>14</v>
      </c>
      <c r="U24" s="667">
        <f>H24</f>
        <v>100</v>
      </c>
      <c r="V24" s="666" t="s">
        <v>14</v>
      </c>
      <c r="W24" s="667">
        <f>J24</f>
        <v>100</v>
      </c>
      <c r="X24" s="1264"/>
      <c r="Y24" s="3361"/>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61"/>
      <c r="Q25" s="529">
        <f t="shared" si="11"/>
        <v>111</v>
      </c>
      <c r="R25" s="663" t="s">
        <v>14</v>
      </c>
      <c r="S25" s="664">
        <f>F25</f>
        <v>100</v>
      </c>
      <c r="T25" s="663" t="s">
        <v>14</v>
      </c>
      <c r="U25" s="664">
        <f>H25</f>
        <v>100</v>
      </c>
      <c r="V25" s="663" t="s">
        <v>14</v>
      </c>
      <c r="W25" s="664">
        <f>J25</f>
        <v>100</v>
      </c>
      <c r="X25" s="665"/>
      <c r="Y25" s="3361"/>
      <c r="Z25" s="50">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1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6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65"/>
      <c r="Q27" s="530" t="str">
        <f t="shared" si="11"/>
        <v>成新率</v>
      </c>
      <c r="R27" s="668" t="s">
        <v>14</v>
      </c>
      <c r="S27" s="669" t="e">
        <f t="shared" si="12"/>
        <v>#N/A</v>
      </c>
      <c r="T27" s="668" t="s">
        <v>14</v>
      </c>
      <c r="U27" s="669" t="e">
        <f t="shared" si="13"/>
        <v>#N/A</v>
      </c>
      <c r="V27" s="668" t="s">
        <v>14</v>
      </c>
      <c r="W27" s="669" t="e">
        <f t="shared" si="14"/>
        <v>#N/A</v>
      </c>
      <c r="X27" s="670"/>
      <c r="Y27" s="336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65"/>
      <c r="Q28" s="1262" t="str">
        <f t="shared" si="11"/>
        <v>物业等级</v>
      </c>
      <c r="R28" s="666" t="s">
        <v>14</v>
      </c>
      <c r="S28" s="667">
        <f t="shared" si="12"/>
        <v>100</v>
      </c>
      <c r="T28" s="666" t="s">
        <v>14</v>
      </c>
      <c r="U28" s="667">
        <f t="shared" si="13"/>
        <v>100</v>
      </c>
      <c r="V28" s="666" t="s">
        <v>14</v>
      </c>
      <c r="W28" s="667">
        <f t="shared" si="14"/>
        <v>100</v>
      </c>
      <c r="X28" s="1264"/>
      <c r="Y28" s="336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65"/>
      <c r="Q29" s="1262" t="str">
        <f t="shared" si="11"/>
        <v>有无电梯</v>
      </c>
      <c r="R29" s="666" t="s">
        <v>14</v>
      </c>
      <c r="S29" s="667">
        <f t="shared" si="12"/>
        <v>100</v>
      </c>
      <c r="T29" s="666" t="s">
        <v>14</v>
      </c>
      <c r="U29" s="667">
        <f t="shared" si="13"/>
        <v>100</v>
      </c>
      <c r="V29" s="666" t="s">
        <v>14</v>
      </c>
      <c r="W29" s="667">
        <f t="shared" si="14"/>
        <v>100</v>
      </c>
      <c r="X29" s="1264"/>
      <c r="Y29" s="336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65"/>
      <c r="Q30" s="1262" t="str">
        <f t="shared" si="11"/>
        <v>建筑面积</v>
      </c>
      <c r="R30" s="666" t="s">
        <v>14</v>
      </c>
      <c r="S30" s="667" t="e">
        <f t="shared" si="12"/>
        <v>#N/A</v>
      </c>
      <c r="T30" s="666" t="s">
        <v>14</v>
      </c>
      <c r="U30" s="667" t="e">
        <f t="shared" si="13"/>
        <v>#N/A</v>
      </c>
      <c r="V30" s="666" t="s">
        <v>14</v>
      </c>
      <c r="W30" s="667" t="e">
        <f t="shared" si="14"/>
        <v>#N/A</v>
      </c>
      <c r="X30" s="1264"/>
      <c r="Y30" s="336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65"/>
      <c r="Q31" s="529" t="str">
        <f t="shared" si="11"/>
        <v>是否封闭</v>
      </c>
      <c r="R31" s="663" t="s">
        <v>14</v>
      </c>
      <c r="S31" s="664">
        <f t="shared" si="12"/>
        <v>100</v>
      </c>
      <c r="T31" s="663" t="s">
        <v>14</v>
      </c>
      <c r="U31" s="664">
        <f t="shared" si="13"/>
        <v>100</v>
      </c>
      <c r="V31" s="663" t="s">
        <v>14</v>
      </c>
      <c r="W31" s="664">
        <f t="shared" si="14"/>
        <v>100</v>
      </c>
      <c r="X31" s="665"/>
      <c r="Y31" s="336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65" t="s">
        <v>1696</v>
      </c>
      <c r="Q32" s="1262">
        <f t="shared" si="11"/>
        <v>111</v>
      </c>
      <c r="R32" s="666" t="s">
        <v>14</v>
      </c>
      <c r="S32" s="667">
        <f t="shared" si="12"/>
        <v>100</v>
      </c>
      <c r="T32" s="666" t="s">
        <v>14</v>
      </c>
      <c r="U32" s="667">
        <f t="shared" si="13"/>
        <v>100</v>
      </c>
      <c r="V32" s="666" t="s">
        <v>14</v>
      </c>
      <c r="W32" s="667">
        <f t="shared" si="14"/>
        <v>100</v>
      </c>
      <c r="X32" s="1264"/>
      <c r="Y32" s="336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65"/>
      <c r="Q33" s="1262">
        <f t="shared" si="11"/>
        <v>111</v>
      </c>
      <c r="R33" s="666" t="s">
        <v>14</v>
      </c>
      <c r="S33" s="667">
        <f t="shared" si="12"/>
        <v>100</v>
      </c>
      <c r="T33" s="666" t="s">
        <v>14</v>
      </c>
      <c r="U33" s="667">
        <f t="shared" si="13"/>
        <v>100</v>
      </c>
      <c r="V33" s="666" t="s">
        <v>14</v>
      </c>
      <c r="W33" s="667">
        <f t="shared" si="14"/>
        <v>100</v>
      </c>
      <c r="X33" s="1264"/>
      <c r="Y33" s="336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65"/>
      <c r="Q34" s="1262">
        <f t="shared" si="11"/>
        <v>111</v>
      </c>
      <c r="R34" s="666" t="s">
        <v>14</v>
      </c>
      <c r="S34" s="667">
        <f t="shared" si="12"/>
        <v>100</v>
      </c>
      <c r="T34" s="666" t="s">
        <v>14</v>
      </c>
      <c r="U34" s="667">
        <f t="shared" si="13"/>
        <v>100</v>
      </c>
      <c r="V34" s="666" t="s">
        <v>14</v>
      </c>
      <c r="W34" s="667">
        <f t="shared" si="14"/>
        <v>100</v>
      </c>
      <c r="X34" s="1264"/>
      <c r="Y34" s="336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58" t="str">
        <f>A35</f>
        <v>成交单价（元/平方米）</v>
      </c>
      <c r="Q35" s="3358"/>
      <c r="R35" s="3359">
        <f>E35</f>
        <v>0</v>
      </c>
      <c r="S35" s="3359"/>
      <c r="T35" s="3359">
        <f>G35</f>
        <v>0</v>
      </c>
      <c r="U35" s="3359"/>
      <c r="V35" s="3359">
        <f>I35</f>
        <v>0</v>
      </c>
      <c r="W35" s="3359"/>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55" t="str">
        <f>A37</f>
        <v>估价对象XX用房的比较价值（楼面单价，元/平方米）</v>
      </c>
      <c r="Q37" s="3356"/>
      <c r="R37" s="3416" t="e">
        <f>IF(F1="售价",ROUND(IF(D36="简单平均",AVERAGE(R36:W36),R36*F36+T36*H36+V36*J36),0),ROUND(IF(D36="简单平均",AVERAGE(R36:V36),R36*F36+T36*H36+V36*J36),1))</f>
        <v>#DIV/0!</v>
      </c>
      <c r="S37" s="3416"/>
      <c r="T37" s="3416"/>
      <c r="U37" s="3416"/>
      <c r="V37" s="3416"/>
      <c r="W37" s="3416"/>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2024-3</v>
      </c>
      <c r="D46" s="1103">
        <f>EDATE(C46,-1)</f>
        <v>45323</v>
      </c>
      <c r="E46" s="1103">
        <f t="shared" ref="E46:O46" si="16">EDATE(D46,-1)</f>
        <v>45292</v>
      </c>
      <c r="F46" s="1103">
        <f t="shared" si="16"/>
        <v>45261</v>
      </c>
      <c r="G46" s="1103">
        <f t="shared" si="16"/>
        <v>45231</v>
      </c>
      <c r="H46" s="1103">
        <f t="shared" si="16"/>
        <v>45200</v>
      </c>
      <c r="I46" s="1103">
        <f t="shared" si="16"/>
        <v>45170</v>
      </c>
      <c r="J46" s="1103">
        <f t="shared" si="16"/>
        <v>45139</v>
      </c>
      <c r="K46" s="1103">
        <f t="shared" si="16"/>
        <v>45108</v>
      </c>
      <c r="L46" s="1103">
        <f t="shared" si="16"/>
        <v>45078</v>
      </c>
      <c r="M46" s="1103">
        <f t="shared" si="16"/>
        <v>45047</v>
      </c>
      <c r="N46" s="1103">
        <f t="shared" si="16"/>
        <v>45017</v>
      </c>
      <c r="O46" s="1103">
        <f t="shared" si="16"/>
        <v>44986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377" t="s">
        <v>1775</v>
      </c>
      <c r="Q4" s="3378"/>
      <c r="R4" s="3383" t="s">
        <v>1771</v>
      </c>
      <c r="S4" s="3384"/>
      <c r="T4" s="3383" t="s">
        <v>1772</v>
      </c>
      <c r="U4" s="3384"/>
      <c r="V4" s="3359" t="s">
        <v>1773</v>
      </c>
      <c r="W4" s="3359"/>
      <c r="X4" s="1264"/>
      <c r="Y4" s="3383" t="s">
        <v>1775</v>
      </c>
      <c r="Z4" s="3384"/>
      <c r="AA4" s="3370" t="s">
        <v>1771</v>
      </c>
      <c r="AB4" s="3371" t="s">
        <v>1772</v>
      </c>
      <c r="AC4" s="3370" t="s">
        <v>1773</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71"/>
      <c r="AC5" s="3371"/>
    </row>
    <row r="6" spans="1:29" ht="15.75" thickBot="1">
      <c r="A6" s="349"/>
      <c r="B6" s="350"/>
      <c r="C6" s="3389" t="s">
        <v>1677</v>
      </c>
      <c r="D6" s="3390"/>
      <c r="E6" s="3396" t="s">
        <v>1677</v>
      </c>
      <c r="F6" s="3397"/>
      <c r="G6" s="3389" t="s">
        <v>1677</v>
      </c>
      <c r="H6" s="3390"/>
      <c r="I6" s="3389" t="s">
        <v>1677</v>
      </c>
      <c r="J6" s="3390"/>
      <c r="K6" s="536" t="s">
        <v>1678</v>
      </c>
      <c r="L6" s="2486"/>
      <c r="M6" s="2487"/>
      <c r="N6" s="2487"/>
      <c r="O6" s="2487"/>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93" t="s">
        <v>1680</v>
      </c>
      <c r="Q7" s="3395"/>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5" si="3">D8/F8</f>
        <v>#DIV/0!</v>
      </c>
      <c r="AB8" s="50" t="e">
        <f t="shared" ref="AB8:AB45" si="4">D8/H8</f>
        <v>#DIV/0!</v>
      </c>
      <c r="AC8" s="50" t="e">
        <f t="shared" ref="AC8:AC45" si="5">D8/J8</f>
        <v>#DIV/0!</v>
      </c>
    </row>
    <row r="9" spans="1:29" s="101" customFormat="1">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8"/>
      <c r="L9" s="2488"/>
      <c r="M9" s="2439"/>
      <c r="N9" s="2439"/>
      <c r="O9" s="2540"/>
      <c r="P9" s="3358"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243</v>
      </c>
      <c r="G10" s="401"/>
      <c r="H10" s="118">
        <f>ROUND(100/'数据-取费表'!G16,0)</f>
        <v>243</v>
      </c>
      <c r="I10" s="401"/>
      <c r="J10" s="118">
        <f>ROUND(100/'数据-取费表'!G16,0)</f>
        <v>243</v>
      </c>
      <c r="K10" s="591"/>
      <c r="L10" s="2489"/>
      <c r="M10" s="2490"/>
      <c r="N10" s="2490"/>
      <c r="O10" s="2541"/>
      <c r="P10" s="3358"/>
      <c r="Q10" s="529" t="str">
        <f t="shared" si="6"/>
        <v>土地使用年限（年）</v>
      </c>
      <c r="R10" s="663" t="s">
        <v>14</v>
      </c>
      <c r="S10" s="664">
        <f t="shared" si="0"/>
        <v>243</v>
      </c>
      <c r="T10" s="663" t="s">
        <v>14</v>
      </c>
      <c r="U10" s="664">
        <f t="shared" si="1"/>
        <v>243</v>
      </c>
      <c r="V10" s="663" t="s">
        <v>14</v>
      </c>
      <c r="W10" s="664">
        <f t="shared" si="2"/>
        <v>243</v>
      </c>
      <c r="X10" s="665"/>
      <c r="Y10" s="3233"/>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58"/>
      <c r="Q11" s="529" t="str">
        <f t="shared" si="6"/>
        <v>容积率</v>
      </c>
      <c r="R11" s="663" t="s">
        <v>14</v>
      </c>
      <c r="S11" s="664" t="e">
        <f t="shared" si="0"/>
        <v>#N/A</v>
      </c>
      <c r="T11" s="663" t="s">
        <v>14</v>
      </c>
      <c r="U11" s="664" t="e">
        <f t="shared" si="1"/>
        <v>#N/A</v>
      </c>
      <c r="V11" s="663" t="s">
        <v>14</v>
      </c>
      <c r="W11" s="664" t="e">
        <f t="shared" si="2"/>
        <v>#N/A</v>
      </c>
      <c r="X11" s="665"/>
      <c r="Y11" s="3233"/>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58"/>
      <c r="Q12" s="529" t="str">
        <f t="shared" si="6"/>
        <v>配建</v>
      </c>
      <c r="R12" s="663" t="s">
        <v>14</v>
      </c>
      <c r="S12" s="664">
        <f t="shared" si="0"/>
        <v>100</v>
      </c>
      <c r="T12" s="663" t="s">
        <v>14</v>
      </c>
      <c r="U12" s="664">
        <f t="shared" si="1"/>
        <v>100</v>
      </c>
      <c r="V12" s="663" t="s">
        <v>14</v>
      </c>
      <c r="W12" s="664">
        <f t="shared" si="2"/>
        <v>100</v>
      </c>
      <c r="X12" s="665"/>
      <c r="Y12" s="323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58"/>
      <c r="Q13" s="529">
        <f t="shared" si="6"/>
        <v>111</v>
      </c>
      <c r="R13" s="663" t="s">
        <v>14</v>
      </c>
      <c r="S13" s="664">
        <f t="shared" si="0"/>
        <v>100</v>
      </c>
      <c r="T13" s="663" t="s">
        <v>14</v>
      </c>
      <c r="U13" s="664">
        <f t="shared" si="1"/>
        <v>100</v>
      </c>
      <c r="V13" s="663" t="s">
        <v>14</v>
      </c>
      <c r="W13" s="664">
        <f t="shared" si="2"/>
        <v>100</v>
      </c>
      <c r="X13" s="665"/>
      <c r="Y13" s="323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58"/>
      <c r="Q14" s="529">
        <f t="shared" si="6"/>
        <v>111</v>
      </c>
      <c r="R14" s="663" t="s">
        <v>14</v>
      </c>
      <c r="S14" s="664">
        <f t="shared" si="0"/>
        <v>100</v>
      </c>
      <c r="T14" s="663" t="s">
        <v>14</v>
      </c>
      <c r="U14" s="664">
        <f t="shared" si="1"/>
        <v>100</v>
      </c>
      <c r="V14" s="663" t="s">
        <v>14</v>
      </c>
      <c r="W14" s="664">
        <f t="shared" si="2"/>
        <v>100</v>
      </c>
      <c r="X14" s="665"/>
      <c r="Y14" s="3233"/>
      <c r="Z14" s="50">
        <f t="shared" si="7"/>
        <v>111</v>
      </c>
      <c r="AA14" s="50">
        <f>D14/F14</f>
        <v>1</v>
      </c>
      <c r="AB14" s="50">
        <f>D14/H14</f>
        <v>1</v>
      </c>
      <c r="AC14" s="50">
        <f>D14/J14</f>
        <v>1</v>
      </c>
    </row>
    <row r="15" spans="1:29" ht="99.75">
      <c r="A15" s="378" t="s">
        <v>1690</v>
      </c>
      <c r="B15" s="57"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60" t="s">
        <v>1691</v>
      </c>
      <c r="Q15" s="1262" t="str">
        <f t="shared" si="6"/>
        <v>居住社区成熟度</v>
      </c>
      <c r="R15" s="666" t="s">
        <v>14</v>
      </c>
      <c r="S15" s="667">
        <f t="shared" si="0"/>
        <v>100</v>
      </c>
      <c r="T15" s="666" t="s">
        <v>14</v>
      </c>
      <c r="U15" s="667">
        <f t="shared" si="1"/>
        <v>100</v>
      </c>
      <c r="V15" s="666" t="s">
        <v>14</v>
      </c>
      <c r="W15" s="667">
        <f t="shared" si="2"/>
        <v>100</v>
      </c>
      <c r="X15" s="1264"/>
      <c r="Y15" s="336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61"/>
      <c r="Q16" s="1262"/>
      <c r="R16" s="666"/>
      <c r="S16" s="667"/>
      <c r="T16" s="666"/>
      <c r="U16" s="667"/>
      <c r="V16" s="666"/>
      <c r="W16" s="667"/>
      <c r="X16" s="1264"/>
      <c r="Y16" s="3361"/>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61"/>
      <c r="Q17" s="1262" t="str">
        <f>B17</f>
        <v>商业繁华度</v>
      </c>
      <c r="R17" s="666" t="s">
        <v>14</v>
      </c>
      <c r="S17" s="667">
        <f>F17</f>
        <v>100</v>
      </c>
      <c r="T17" s="666" t="s">
        <v>14</v>
      </c>
      <c r="U17" s="667">
        <f>H17</f>
        <v>100</v>
      </c>
      <c r="V17" s="666" t="s">
        <v>14</v>
      </c>
      <c r="W17" s="667">
        <f>J17</f>
        <v>100</v>
      </c>
      <c r="X17" s="1264"/>
      <c r="Y17" s="336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61"/>
      <c r="Q18" s="1262"/>
      <c r="R18" s="666"/>
      <c r="S18" s="667"/>
      <c r="T18" s="666"/>
      <c r="U18" s="667"/>
      <c r="V18" s="666"/>
      <c r="W18" s="667"/>
      <c r="X18" s="1264"/>
      <c r="Y18" s="3361"/>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61"/>
      <c r="Q19" s="1262" t="str">
        <f>B19</f>
        <v>办公集聚程度</v>
      </c>
      <c r="R19" s="666" t="s">
        <v>14</v>
      </c>
      <c r="S19" s="667">
        <f>F19</f>
        <v>100</v>
      </c>
      <c r="T19" s="666" t="s">
        <v>14</v>
      </c>
      <c r="U19" s="667">
        <f>H19</f>
        <v>100</v>
      </c>
      <c r="V19" s="666" t="s">
        <v>14</v>
      </c>
      <c r="W19" s="667">
        <f>J19</f>
        <v>100</v>
      </c>
      <c r="X19" s="1264"/>
      <c r="Y19" s="336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61"/>
      <c r="Q20" s="1262"/>
      <c r="R20" s="666"/>
      <c r="S20" s="667"/>
      <c r="T20" s="666"/>
      <c r="U20" s="667"/>
      <c r="V20" s="666"/>
      <c r="W20" s="667"/>
      <c r="X20" s="1264"/>
      <c r="Y20" s="3361"/>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61"/>
      <c r="Q21" s="1262" t="str">
        <f>B21</f>
        <v>交通便捷度</v>
      </c>
      <c r="R21" s="666" t="s">
        <v>14</v>
      </c>
      <c r="S21" s="667">
        <f>F21</f>
        <v>100</v>
      </c>
      <c r="T21" s="666" t="s">
        <v>14</v>
      </c>
      <c r="U21" s="667">
        <f>H21</f>
        <v>100</v>
      </c>
      <c r="V21" s="666" t="s">
        <v>14</v>
      </c>
      <c r="W21" s="667">
        <f>J21</f>
        <v>100</v>
      </c>
      <c r="X21" s="1264"/>
      <c r="Y21" s="336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61"/>
      <c r="Q22" s="1262"/>
      <c r="R22" s="666"/>
      <c r="S22" s="667"/>
      <c r="T22" s="666"/>
      <c r="U22" s="667"/>
      <c r="V22" s="666"/>
      <c r="W22" s="667"/>
      <c r="X22" s="1264"/>
      <c r="Y22" s="3361"/>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61"/>
      <c r="Q23" s="1262" t="str">
        <f t="shared" ref="Q23:Q37" si="8">B23</f>
        <v>区域土地利用方向</v>
      </c>
      <c r="R23" s="666" t="s">
        <v>14</v>
      </c>
      <c r="S23" s="667">
        <f>F23</f>
        <v>100</v>
      </c>
      <c r="T23" s="666" t="s">
        <v>14</v>
      </c>
      <c r="U23" s="667">
        <f>H23</f>
        <v>100</v>
      </c>
      <c r="V23" s="666" t="s">
        <v>14</v>
      </c>
      <c r="W23" s="667">
        <f>J23</f>
        <v>100</v>
      </c>
      <c r="X23" s="1264"/>
      <c r="Y23" s="336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61"/>
      <c r="Q24" s="1262"/>
      <c r="R24" s="666"/>
      <c r="S24" s="667"/>
      <c r="T24" s="666"/>
      <c r="U24" s="667"/>
      <c r="V24" s="666"/>
      <c r="W24" s="667"/>
      <c r="X24" s="1264"/>
      <c r="Y24" s="3361"/>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61"/>
      <c r="Q25" s="1262" t="str">
        <f t="shared" si="8"/>
        <v>自然及人文环境状况</v>
      </c>
      <c r="R25" s="666" t="s">
        <v>14</v>
      </c>
      <c r="S25" s="667">
        <f>F25</f>
        <v>100</v>
      </c>
      <c r="T25" s="666" t="s">
        <v>14</v>
      </c>
      <c r="U25" s="667">
        <f>H25</f>
        <v>100</v>
      </c>
      <c r="V25" s="666" t="s">
        <v>14</v>
      </c>
      <c r="W25" s="667">
        <f>J25</f>
        <v>100</v>
      </c>
      <c r="X25" s="1264"/>
      <c r="Y25" s="336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61"/>
      <c r="Q26" s="1262"/>
      <c r="R26" s="666"/>
      <c r="S26" s="667"/>
      <c r="T26" s="666"/>
      <c r="U26" s="667"/>
      <c r="V26" s="666"/>
      <c r="W26" s="667"/>
      <c r="X26" s="1264"/>
      <c r="Y26" s="3361"/>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61"/>
      <c r="Q27" s="529" t="str">
        <f t="shared" si="8"/>
        <v>公共配套设施</v>
      </c>
      <c r="R27" s="663" t="s">
        <v>14</v>
      </c>
      <c r="S27" s="664">
        <f>F27</f>
        <v>100</v>
      </c>
      <c r="T27" s="663" t="s">
        <v>14</v>
      </c>
      <c r="U27" s="664">
        <f>H27</f>
        <v>100</v>
      </c>
      <c r="V27" s="663" t="s">
        <v>14</v>
      </c>
      <c r="W27" s="664">
        <f>J27</f>
        <v>100</v>
      </c>
      <c r="X27" s="665"/>
      <c r="Y27" s="336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61"/>
      <c r="Q28" s="529"/>
      <c r="R28" s="663"/>
      <c r="S28" s="664"/>
      <c r="T28" s="663"/>
      <c r="U28" s="664"/>
      <c r="V28" s="663"/>
      <c r="W28" s="664"/>
      <c r="X28" s="665"/>
      <c r="Y28" s="3361"/>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61"/>
      <c r="Q29" s="529" t="str">
        <f t="shared" ref="Q29" si="9">B29</f>
        <v>基础设施水平</v>
      </c>
      <c r="R29" s="663" t="s">
        <v>14</v>
      </c>
      <c r="S29" s="664">
        <f>F29</f>
        <v>100</v>
      </c>
      <c r="T29" s="663" t="s">
        <v>14</v>
      </c>
      <c r="U29" s="664">
        <f>H29</f>
        <v>100</v>
      </c>
      <c r="V29" s="663" t="s">
        <v>14</v>
      </c>
      <c r="W29" s="664">
        <f>J29</f>
        <v>100</v>
      </c>
      <c r="X29" s="665"/>
      <c r="Y29" s="336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61"/>
      <c r="Q30" s="529"/>
      <c r="R30" s="663"/>
      <c r="S30" s="664"/>
      <c r="T30" s="663"/>
      <c r="U30" s="664"/>
      <c r="V30" s="663"/>
      <c r="W30" s="664"/>
      <c r="X30" s="665"/>
      <c r="Y30" s="336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6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1"/>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61"/>
      <c r="Q32" s="1262" t="str">
        <f t="shared" si="8"/>
        <v>毗邻道路的类型与等级</v>
      </c>
      <c r="R32" s="666" t="s">
        <v>14</v>
      </c>
      <c r="S32" s="667">
        <f t="shared" si="10"/>
        <v>100</v>
      </c>
      <c r="T32" s="666" t="s">
        <v>14</v>
      </c>
      <c r="U32" s="667">
        <f t="shared" si="11"/>
        <v>100</v>
      </c>
      <c r="V32" s="666" t="s">
        <v>14</v>
      </c>
      <c r="W32" s="667">
        <f t="shared" si="12"/>
        <v>100</v>
      </c>
      <c r="X32" s="1264"/>
      <c r="Y32" s="336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61"/>
      <c r="Q33" s="1262"/>
      <c r="R33" s="666"/>
      <c r="S33" s="667"/>
      <c r="T33" s="666"/>
      <c r="U33" s="667"/>
      <c r="V33" s="666"/>
      <c r="W33" s="667"/>
      <c r="X33" s="1264"/>
      <c r="Y33" s="336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61"/>
      <c r="Q34" s="1262" t="str">
        <f t="shared" si="8"/>
        <v>土地级别</v>
      </c>
      <c r="R34" s="666" t="s">
        <v>14</v>
      </c>
      <c r="S34" s="667">
        <f t="shared" si="10"/>
        <v>100</v>
      </c>
      <c r="T34" s="666" t="s">
        <v>14</v>
      </c>
      <c r="U34" s="667">
        <f t="shared" si="11"/>
        <v>100</v>
      </c>
      <c r="V34" s="666" t="s">
        <v>14</v>
      </c>
      <c r="W34" s="667">
        <f t="shared" si="12"/>
        <v>100</v>
      </c>
      <c r="X34" s="1264"/>
      <c r="Y34" s="336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61"/>
      <c r="Q35" s="1262">
        <f t="shared" si="8"/>
        <v>111</v>
      </c>
      <c r="R35" s="666" t="s">
        <v>14</v>
      </c>
      <c r="S35" s="667">
        <f t="shared" si="10"/>
        <v>100</v>
      </c>
      <c r="T35" s="666" t="s">
        <v>14</v>
      </c>
      <c r="U35" s="667">
        <f t="shared" si="11"/>
        <v>100</v>
      </c>
      <c r="V35" s="666" t="s">
        <v>14</v>
      </c>
      <c r="W35" s="667">
        <f t="shared" si="12"/>
        <v>100</v>
      </c>
      <c r="X35" s="1264"/>
      <c r="Y35" s="336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15" t="s">
        <v>1696</v>
      </c>
      <c r="Q36" s="1262">
        <f t="shared" si="8"/>
        <v>111</v>
      </c>
      <c r="R36" s="666" t="s">
        <v>14</v>
      </c>
      <c r="S36" s="667">
        <f t="shared" si="10"/>
        <v>100</v>
      </c>
      <c r="T36" s="666" t="s">
        <v>14</v>
      </c>
      <c r="U36" s="667">
        <f t="shared" si="11"/>
        <v>100</v>
      </c>
      <c r="V36" s="666" t="s">
        <v>14</v>
      </c>
      <c r="W36" s="667">
        <f t="shared" si="12"/>
        <v>100</v>
      </c>
      <c r="X36" s="1264"/>
      <c r="Y36" s="3365"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65"/>
      <c r="Q37" s="1262">
        <f t="shared" si="8"/>
        <v>111</v>
      </c>
      <c r="R37" s="668" t="s">
        <v>14</v>
      </c>
      <c r="S37" s="669">
        <f t="shared" si="10"/>
        <v>100</v>
      </c>
      <c r="T37" s="668" t="s">
        <v>14</v>
      </c>
      <c r="U37" s="669">
        <f t="shared" si="11"/>
        <v>100</v>
      </c>
      <c r="V37" s="668" t="s">
        <v>14</v>
      </c>
      <c r="W37" s="669">
        <f t="shared" si="12"/>
        <v>100</v>
      </c>
      <c r="X37" s="670"/>
      <c r="Y37" s="3365"/>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65"/>
      <c r="Q38" s="1262" t="str">
        <f>B38</f>
        <v>宗地面积</v>
      </c>
      <c r="R38" s="666" t="s">
        <v>14</v>
      </c>
      <c r="S38" s="667" t="e">
        <f t="shared" si="10"/>
        <v>#N/A</v>
      </c>
      <c r="T38" s="666" t="s">
        <v>14</v>
      </c>
      <c r="U38" s="667" t="e">
        <f t="shared" si="11"/>
        <v>#N/A</v>
      </c>
      <c r="V38" s="666" t="s">
        <v>14</v>
      </c>
      <c r="W38" s="667" t="e">
        <f t="shared" si="12"/>
        <v>#N/A</v>
      </c>
      <c r="X38" s="1264"/>
      <c r="Y38" s="336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65"/>
      <c r="Q39" s="1262" t="str">
        <f t="shared" ref="Q39:Q45" si="14">B39</f>
        <v>宗地形状</v>
      </c>
      <c r="R39" s="666" t="s">
        <v>14</v>
      </c>
      <c r="S39" s="667">
        <f t="shared" si="10"/>
        <v>100</v>
      </c>
      <c r="T39" s="666" t="s">
        <v>14</v>
      </c>
      <c r="U39" s="667">
        <f t="shared" si="11"/>
        <v>100</v>
      </c>
      <c r="V39" s="666" t="s">
        <v>14</v>
      </c>
      <c r="W39" s="667">
        <f t="shared" si="12"/>
        <v>100</v>
      </c>
      <c r="X39" s="1264"/>
      <c r="Y39" s="336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65"/>
      <c r="Q40" s="1262" t="str">
        <f t="shared" si="14"/>
        <v>临街宽度及深度</v>
      </c>
      <c r="R40" s="666" t="s">
        <v>14</v>
      </c>
      <c r="S40" s="667">
        <f t="shared" si="10"/>
        <v>100</v>
      </c>
      <c r="T40" s="666" t="s">
        <v>14</v>
      </c>
      <c r="U40" s="667">
        <f t="shared" si="11"/>
        <v>100</v>
      </c>
      <c r="V40" s="666" t="s">
        <v>14</v>
      </c>
      <c r="W40" s="667">
        <f t="shared" si="12"/>
        <v>100</v>
      </c>
      <c r="X40" s="1264"/>
      <c r="Y40" s="336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65"/>
      <c r="Q41" s="1262" t="str">
        <f t="shared" si="14"/>
        <v>宗地开发程度</v>
      </c>
      <c r="R41" s="663" t="s">
        <v>14</v>
      </c>
      <c r="S41" s="664">
        <f t="shared" si="10"/>
        <v>100</v>
      </c>
      <c r="T41" s="663" t="s">
        <v>14</v>
      </c>
      <c r="U41" s="664">
        <f t="shared" si="11"/>
        <v>100</v>
      </c>
      <c r="V41" s="663" t="s">
        <v>14</v>
      </c>
      <c r="W41" s="664">
        <f t="shared" si="12"/>
        <v>100</v>
      </c>
      <c r="X41" s="665"/>
      <c r="Y41" s="336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65" t="s">
        <v>1696</v>
      </c>
      <c r="Q42" s="1262" t="str">
        <f t="shared" si="14"/>
        <v>工程地质条件</v>
      </c>
      <c r="R42" s="666" t="s">
        <v>14</v>
      </c>
      <c r="S42" s="667">
        <f t="shared" si="10"/>
        <v>100</v>
      </c>
      <c r="T42" s="666" t="s">
        <v>14</v>
      </c>
      <c r="U42" s="667">
        <f t="shared" si="11"/>
        <v>100</v>
      </c>
      <c r="V42" s="666" t="s">
        <v>14</v>
      </c>
      <c r="W42" s="667">
        <f t="shared" si="12"/>
        <v>100</v>
      </c>
      <c r="X42" s="1264"/>
      <c r="Y42" s="336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65"/>
      <c r="Q43" s="1262">
        <f t="shared" si="14"/>
        <v>111</v>
      </c>
      <c r="R43" s="666" t="s">
        <v>14</v>
      </c>
      <c r="S43" s="667">
        <f t="shared" si="10"/>
        <v>100</v>
      </c>
      <c r="T43" s="666" t="s">
        <v>14</v>
      </c>
      <c r="U43" s="667">
        <f t="shared" si="11"/>
        <v>100</v>
      </c>
      <c r="V43" s="666" t="s">
        <v>14</v>
      </c>
      <c r="W43" s="667">
        <f t="shared" si="12"/>
        <v>100</v>
      </c>
      <c r="X43" s="1264"/>
      <c r="Y43" s="336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65"/>
      <c r="Q44" s="1262">
        <f t="shared" si="14"/>
        <v>111</v>
      </c>
      <c r="R44" s="666" t="s">
        <v>14</v>
      </c>
      <c r="S44" s="667">
        <f t="shared" si="10"/>
        <v>100</v>
      </c>
      <c r="T44" s="666" t="s">
        <v>14</v>
      </c>
      <c r="U44" s="667">
        <f t="shared" si="11"/>
        <v>100</v>
      </c>
      <c r="V44" s="666" t="s">
        <v>14</v>
      </c>
      <c r="W44" s="667">
        <f t="shared" si="12"/>
        <v>100</v>
      </c>
      <c r="X44" s="1264"/>
      <c r="Y44" s="336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65"/>
      <c r="Q45" s="1262">
        <f t="shared" si="14"/>
        <v>111</v>
      </c>
      <c r="R45" s="668" t="s">
        <v>14</v>
      </c>
      <c r="S45" s="669">
        <f t="shared" si="10"/>
        <v>100</v>
      </c>
      <c r="T45" s="668" t="s">
        <v>14</v>
      </c>
      <c r="U45" s="669">
        <f t="shared" si="11"/>
        <v>100</v>
      </c>
      <c r="V45" s="668" t="s">
        <v>14</v>
      </c>
      <c r="W45" s="669">
        <f t="shared" si="12"/>
        <v>100</v>
      </c>
      <c r="X45" s="670"/>
      <c r="Y45" s="3365"/>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58" t="str">
        <f>A46</f>
        <v>成交单价</v>
      </c>
      <c r="Q46" s="3358"/>
      <c r="R46" s="3359">
        <f>E46</f>
        <v>0</v>
      </c>
      <c r="S46" s="3359"/>
      <c r="T46" s="3359">
        <f>G46</f>
        <v>0</v>
      </c>
      <c r="U46" s="3359"/>
      <c r="V46" s="3359">
        <f>I46</f>
        <v>0</v>
      </c>
      <c r="W46" s="3359"/>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4"/>
      <c r="M47" s="2487"/>
      <c r="N47" s="2487"/>
      <c r="O47" s="2487"/>
      <c r="P47" s="3358" t="str">
        <f>A47</f>
        <v>比较价值（元/平方米）</v>
      </c>
      <c r="Q47" s="3358"/>
      <c r="R47" s="3417" t="e">
        <f>ROUND(PRODUCT(R46,AA7:AA45),0)</f>
        <v>#DIV/0!</v>
      </c>
      <c r="S47" s="3417"/>
      <c r="T47" s="3417" t="e">
        <f>ROUND(PRODUCT(T46,AB7:AB45),0)</f>
        <v>#DIV/0!</v>
      </c>
      <c r="U47" s="3417"/>
      <c r="V47" s="3417" t="e">
        <f>ROUND(PRODUCT(V46,AC7:AC45),0)</f>
        <v>#DIV/0!</v>
      </c>
      <c r="W47" s="3417"/>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55" t="str">
        <f>A48</f>
        <v>估价对象XX用房的比较价值（楼面单价，元/平方米）</v>
      </c>
      <c r="Q48" s="3356"/>
      <c r="R48" s="3418" t="e">
        <f>ROUND(IF(D47="简单平均",AVERAGE(R47:W47),R47*F47+T47*H47+V47*J47),0)</f>
        <v>#DIV/0!</v>
      </c>
      <c r="S48" s="3418"/>
      <c r="T48" s="3418"/>
      <c r="U48" s="3418"/>
      <c r="V48" s="3418"/>
      <c r="W48" s="3418"/>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73" t="s">
        <v>1887</v>
      </c>
      <c r="H55" s="3419"/>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7099.51</v>
      </c>
      <c r="F56" s="832" t="e">
        <f t="shared" ref="F56:F64" si="15">ROUND(B56*E56/10000,0)</f>
        <v>#DIV/0!</v>
      </c>
      <c r="G56" s="3369"/>
      <c r="H56" s="335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7099.51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3" t="s">
        <v>1770</v>
      </c>
      <c r="D4" s="3374"/>
      <c r="E4" s="3375" t="s">
        <v>1771</v>
      </c>
      <c r="F4" s="3376"/>
      <c r="G4" s="3373" t="s">
        <v>1772</v>
      </c>
      <c r="H4" s="3374"/>
      <c r="I4" s="3373" t="s">
        <v>1773</v>
      </c>
      <c r="J4" s="3374"/>
      <c r="K4" s="536" t="s">
        <v>1774</v>
      </c>
      <c r="L4" s="2486"/>
      <c r="M4" s="2487"/>
      <c r="N4" s="2487"/>
      <c r="O4" s="2487"/>
      <c r="P4" s="3377" t="s">
        <v>1775</v>
      </c>
      <c r="Q4" s="3378"/>
      <c r="R4" s="3383" t="s">
        <v>1771</v>
      </c>
      <c r="S4" s="3384"/>
      <c r="T4" s="3383" t="s">
        <v>1772</v>
      </c>
      <c r="U4" s="3384"/>
      <c r="V4" s="3359" t="s">
        <v>1773</v>
      </c>
      <c r="W4" s="3359"/>
      <c r="X4" s="1264"/>
      <c r="Y4" s="3383" t="s">
        <v>1775</v>
      </c>
      <c r="Z4" s="3384"/>
      <c r="AA4" s="3370" t="s">
        <v>1771</v>
      </c>
      <c r="AB4" s="3371" t="s">
        <v>1772</v>
      </c>
      <c r="AC4" s="3370" t="s">
        <v>1773</v>
      </c>
    </row>
    <row r="5" spans="1:29" ht="15">
      <c r="A5" s="347"/>
      <c r="B5" s="348"/>
      <c r="C5" s="3391" t="s">
        <v>1673</v>
      </c>
      <c r="D5" s="3392"/>
      <c r="E5" s="3398" t="s">
        <v>1674</v>
      </c>
      <c r="F5" s="3399"/>
      <c r="G5" s="3391" t="s">
        <v>1675</v>
      </c>
      <c r="H5" s="3392"/>
      <c r="I5" s="3391" t="s">
        <v>1676</v>
      </c>
      <c r="J5" s="3392"/>
      <c r="K5" s="536"/>
      <c r="L5" s="2486"/>
      <c r="M5" s="2487"/>
      <c r="N5" s="2487"/>
      <c r="O5" s="2487"/>
      <c r="P5" s="3379"/>
      <c r="Q5" s="3380"/>
      <c r="R5" s="3385"/>
      <c r="S5" s="3386"/>
      <c r="T5" s="3385"/>
      <c r="U5" s="3386"/>
      <c r="V5" s="3359"/>
      <c r="W5" s="3359"/>
      <c r="X5" s="1264"/>
      <c r="Y5" s="3385"/>
      <c r="Z5" s="3386"/>
      <c r="AA5" s="3371"/>
      <c r="AB5" s="3371"/>
      <c r="AC5" s="3371"/>
    </row>
    <row r="6" spans="1:29" ht="15.75" thickBot="1">
      <c r="A6" s="349"/>
      <c r="B6" s="350"/>
      <c r="C6" s="3420" t="s">
        <v>1919</v>
      </c>
      <c r="D6" s="3421"/>
      <c r="E6" s="3422" t="s">
        <v>1919</v>
      </c>
      <c r="F6" s="3423"/>
      <c r="G6" s="3420" t="s">
        <v>1919</v>
      </c>
      <c r="H6" s="3421"/>
      <c r="I6" s="3420" t="s">
        <v>1919</v>
      </c>
      <c r="J6" s="3421"/>
      <c r="K6" s="536" t="s">
        <v>1678</v>
      </c>
      <c r="L6" s="2486"/>
      <c r="M6" s="2487"/>
      <c r="N6" s="2487"/>
      <c r="O6" s="2487"/>
      <c r="P6" s="3381"/>
      <c r="Q6" s="3382"/>
      <c r="R6" s="3385"/>
      <c r="S6" s="3386"/>
      <c r="T6" s="3387"/>
      <c r="U6" s="3388"/>
      <c r="V6" s="3359"/>
      <c r="W6" s="3359"/>
      <c r="X6" s="1264"/>
      <c r="Y6" s="3387"/>
      <c r="Z6" s="3388"/>
      <c r="AA6" s="3372"/>
      <c r="AB6" s="3372"/>
      <c r="AC6" s="3372"/>
    </row>
    <row r="7" spans="1:29" s="101" customFormat="1" ht="15.75" thickBot="1">
      <c r="A7" s="351" t="s">
        <v>1679</v>
      </c>
      <c r="B7" s="352"/>
      <c r="C7" s="353">
        <f>'数据-取费表'!B2</f>
        <v>45362</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93" t="s">
        <v>1680</v>
      </c>
      <c r="Q7" s="3395"/>
      <c r="R7" s="663" t="s">
        <v>14</v>
      </c>
      <c r="S7" s="664">
        <f t="shared" ref="S7:S15" si="0">F7</f>
        <v>0</v>
      </c>
      <c r="T7" s="663" t="s">
        <v>14</v>
      </c>
      <c r="U7" s="664">
        <f t="shared" ref="U7:U15" si="1">H7</f>
        <v>0</v>
      </c>
      <c r="V7" s="663" t="s">
        <v>14</v>
      </c>
      <c r="W7" s="664">
        <f t="shared" ref="W7:W15" si="2">J7</f>
        <v>0</v>
      </c>
      <c r="X7" s="665"/>
      <c r="Y7" s="3393" t="s">
        <v>1680</v>
      </c>
      <c r="Z7" s="3394"/>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93" t="s">
        <v>1683</v>
      </c>
      <c r="Q8" s="3394"/>
      <c r="R8" s="663" t="s">
        <v>14</v>
      </c>
      <c r="S8" s="664">
        <f t="shared" si="0"/>
        <v>0</v>
      </c>
      <c r="T8" s="663" t="s">
        <v>14</v>
      </c>
      <c r="U8" s="664">
        <f t="shared" si="1"/>
        <v>0</v>
      </c>
      <c r="V8" s="663" t="s">
        <v>14</v>
      </c>
      <c r="W8" s="664">
        <f t="shared" si="2"/>
        <v>0</v>
      </c>
      <c r="X8" s="665"/>
      <c r="Y8" s="3393" t="s">
        <v>1683</v>
      </c>
      <c r="Z8" s="3394"/>
      <c r="AA8" s="50" t="e">
        <f t="shared" ref="AA8:AA40" si="3">D8/F8</f>
        <v>#DIV/0!</v>
      </c>
      <c r="AB8" s="50" t="e">
        <f t="shared" ref="AB8:AB40" si="4">D8/H8</f>
        <v>#DIV/0!</v>
      </c>
      <c r="AC8" s="50"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8"/>
      <c r="L9" s="2488"/>
      <c r="M9" s="2439"/>
      <c r="N9" s="2439"/>
      <c r="O9" s="2540"/>
      <c r="P9" s="3358" t="s">
        <v>1686</v>
      </c>
      <c r="Q9" s="529" t="str">
        <f t="shared" ref="Q9:Q15" si="6">B9</f>
        <v>用途</v>
      </c>
      <c r="R9" s="663" t="s">
        <v>14</v>
      </c>
      <c r="S9" s="664">
        <f t="shared" si="0"/>
        <v>100</v>
      </c>
      <c r="T9" s="663" t="s">
        <v>14</v>
      </c>
      <c r="U9" s="664">
        <f t="shared" si="1"/>
        <v>100</v>
      </c>
      <c r="V9" s="663" t="s">
        <v>14</v>
      </c>
      <c r="W9" s="664">
        <f t="shared" si="2"/>
        <v>100</v>
      </c>
      <c r="X9" s="665"/>
      <c r="Y9" s="323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243</v>
      </c>
      <c r="G10" s="370"/>
      <c r="H10" s="118">
        <f>ROUND(100/'数据-取费表'!G16,0)</f>
        <v>243</v>
      </c>
      <c r="I10" s="370"/>
      <c r="J10" s="118">
        <f>ROUND(100/'数据-取费表'!G16,0)</f>
        <v>243</v>
      </c>
      <c r="K10" s="591"/>
      <c r="L10" s="2489"/>
      <c r="M10" s="2490"/>
      <c r="N10" s="2490"/>
      <c r="O10" s="2541"/>
      <c r="P10" s="3358"/>
      <c r="Q10" s="529" t="str">
        <f t="shared" si="6"/>
        <v>土地使用年限（年）</v>
      </c>
      <c r="R10" s="663" t="s">
        <v>14</v>
      </c>
      <c r="S10" s="664">
        <f t="shared" si="0"/>
        <v>243</v>
      </c>
      <c r="T10" s="663" t="s">
        <v>14</v>
      </c>
      <c r="U10" s="664">
        <f t="shared" si="1"/>
        <v>243</v>
      </c>
      <c r="V10" s="663" t="s">
        <v>14</v>
      </c>
      <c r="W10" s="664">
        <f t="shared" si="2"/>
        <v>243</v>
      </c>
      <c r="X10" s="665"/>
      <c r="Y10" s="3233"/>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58"/>
      <c r="Q11" s="529" t="str">
        <f t="shared" si="6"/>
        <v>容积率</v>
      </c>
      <c r="R11" s="663" t="s">
        <v>14</v>
      </c>
      <c r="S11" s="664" t="e">
        <f t="shared" si="0"/>
        <v>#N/A</v>
      </c>
      <c r="T11" s="663" t="s">
        <v>14</v>
      </c>
      <c r="U11" s="664" t="e">
        <f t="shared" si="1"/>
        <v>#N/A</v>
      </c>
      <c r="V11" s="663" t="s">
        <v>14</v>
      </c>
      <c r="W11" s="664" t="e">
        <f t="shared" si="2"/>
        <v>#N/A</v>
      </c>
      <c r="X11" s="665"/>
      <c r="Y11" s="323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58"/>
      <c r="Q12" s="529">
        <f t="shared" si="6"/>
        <v>111</v>
      </c>
      <c r="R12" s="663" t="s">
        <v>14</v>
      </c>
      <c r="S12" s="664">
        <f t="shared" si="0"/>
        <v>100</v>
      </c>
      <c r="T12" s="663" t="s">
        <v>14</v>
      </c>
      <c r="U12" s="664">
        <f t="shared" si="1"/>
        <v>100</v>
      </c>
      <c r="V12" s="663" t="s">
        <v>14</v>
      </c>
      <c r="W12" s="664">
        <f t="shared" si="2"/>
        <v>100</v>
      </c>
      <c r="X12" s="665"/>
      <c r="Y12" s="323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58"/>
      <c r="Q13" s="529">
        <f t="shared" si="6"/>
        <v>111</v>
      </c>
      <c r="R13" s="663" t="s">
        <v>14</v>
      </c>
      <c r="S13" s="664">
        <f t="shared" si="0"/>
        <v>100</v>
      </c>
      <c r="T13" s="663" t="s">
        <v>14</v>
      </c>
      <c r="U13" s="664">
        <f t="shared" si="1"/>
        <v>100</v>
      </c>
      <c r="V13" s="663" t="s">
        <v>14</v>
      </c>
      <c r="W13" s="664">
        <f t="shared" si="2"/>
        <v>100</v>
      </c>
      <c r="X13" s="665"/>
      <c r="Y13" s="323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58"/>
      <c r="Q14" s="529">
        <f t="shared" si="6"/>
        <v>111</v>
      </c>
      <c r="R14" s="663" t="s">
        <v>14</v>
      </c>
      <c r="S14" s="664">
        <f t="shared" si="0"/>
        <v>100</v>
      </c>
      <c r="T14" s="663" t="s">
        <v>14</v>
      </c>
      <c r="U14" s="664">
        <f t="shared" si="1"/>
        <v>100</v>
      </c>
      <c r="V14" s="663" t="s">
        <v>14</v>
      </c>
      <c r="W14" s="664">
        <f t="shared" si="2"/>
        <v>100</v>
      </c>
      <c r="X14" s="665"/>
      <c r="Y14" s="3233"/>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60" t="s">
        <v>1691</v>
      </c>
      <c r="Q15" s="1262" t="str">
        <f t="shared" si="6"/>
        <v>产业集聚程度</v>
      </c>
      <c r="R15" s="666" t="s">
        <v>14</v>
      </c>
      <c r="S15" s="667">
        <f t="shared" si="0"/>
        <v>100</v>
      </c>
      <c r="T15" s="666" t="s">
        <v>14</v>
      </c>
      <c r="U15" s="667">
        <f t="shared" si="1"/>
        <v>100</v>
      </c>
      <c r="V15" s="666" t="s">
        <v>14</v>
      </c>
      <c r="W15" s="667">
        <f t="shared" si="2"/>
        <v>100</v>
      </c>
      <c r="X15" s="1264"/>
      <c r="Y15" s="336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61"/>
      <c r="Q16" s="1262"/>
      <c r="R16" s="666"/>
      <c r="S16" s="667"/>
      <c r="T16" s="666"/>
      <c r="U16" s="667"/>
      <c r="V16" s="666"/>
      <c r="W16" s="667"/>
      <c r="X16" s="1264"/>
      <c r="Y16" s="3361"/>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61"/>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61"/>
      <c r="Q18" s="1262"/>
      <c r="R18" s="666"/>
      <c r="S18" s="667"/>
      <c r="T18" s="666"/>
      <c r="U18" s="667"/>
      <c r="V18" s="666"/>
      <c r="W18" s="667"/>
      <c r="X18" s="1264"/>
      <c r="Y18" s="3361"/>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61"/>
      <c r="Q19" s="1262" t="str">
        <f t="shared" ref="Q19:Q33" si="8">B19</f>
        <v>区域土地利用方向</v>
      </c>
      <c r="R19" s="666" t="s">
        <v>14</v>
      </c>
      <c r="S19" s="667">
        <f>F19</f>
        <v>100</v>
      </c>
      <c r="T19" s="666" t="s">
        <v>14</v>
      </c>
      <c r="U19" s="667">
        <f>H19</f>
        <v>100</v>
      </c>
      <c r="V19" s="666" t="s">
        <v>14</v>
      </c>
      <c r="W19" s="667">
        <f>J19</f>
        <v>100</v>
      </c>
      <c r="X19" s="1264"/>
      <c r="Y19" s="336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61"/>
      <c r="Q20" s="1262"/>
      <c r="R20" s="666"/>
      <c r="S20" s="667"/>
      <c r="T20" s="666"/>
      <c r="U20" s="667"/>
      <c r="V20" s="666"/>
      <c r="W20" s="667"/>
      <c r="X20" s="1264"/>
      <c r="Y20" s="3361"/>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61"/>
      <c r="Q21" s="1262" t="str">
        <f t="shared" si="8"/>
        <v>环境状况</v>
      </c>
      <c r="R21" s="666" t="s">
        <v>14</v>
      </c>
      <c r="S21" s="667">
        <f>F21</f>
        <v>100</v>
      </c>
      <c r="T21" s="666" t="s">
        <v>14</v>
      </c>
      <c r="U21" s="667">
        <f>H21</f>
        <v>100</v>
      </c>
      <c r="V21" s="666" t="s">
        <v>14</v>
      </c>
      <c r="W21" s="667">
        <f>J21</f>
        <v>100</v>
      </c>
      <c r="X21" s="1264"/>
      <c r="Y21" s="336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61"/>
      <c r="Q22" s="1262"/>
      <c r="R22" s="666"/>
      <c r="S22" s="667"/>
      <c r="T22" s="666"/>
      <c r="U22" s="667"/>
      <c r="V22" s="666"/>
      <c r="W22" s="667"/>
      <c r="X22" s="1264"/>
      <c r="Y22" s="3361"/>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61"/>
      <c r="Q23" s="529" t="str">
        <f t="shared" si="8"/>
        <v>公共配套设施</v>
      </c>
      <c r="R23" s="663" t="s">
        <v>14</v>
      </c>
      <c r="S23" s="664">
        <f>F23</f>
        <v>100</v>
      </c>
      <c r="T23" s="663" t="s">
        <v>14</v>
      </c>
      <c r="U23" s="664">
        <f>H23</f>
        <v>100</v>
      </c>
      <c r="V23" s="663" t="s">
        <v>14</v>
      </c>
      <c r="W23" s="664">
        <f>J23</f>
        <v>100</v>
      </c>
      <c r="X23" s="665"/>
      <c r="Y23" s="336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61"/>
      <c r="Q24" s="529"/>
      <c r="R24" s="663"/>
      <c r="S24" s="664"/>
      <c r="T24" s="663"/>
      <c r="U24" s="664"/>
      <c r="V24" s="663"/>
      <c r="W24" s="664"/>
      <c r="X24" s="665"/>
      <c r="Y24" s="3361"/>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61"/>
      <c r="Q25" s="529" t="str">
        <f t="shared" ref="Q25" si="9">B25</f>
        <v>基础设施水平</v>
      </c>
      <c r="R25" s="663" t="s">
        <v>14</v>
      </c>
      <c r="S25" s="664">
        <f>F25</f>
        <v>100</v>
      </c>
      <c r="T25" s="663" t="s">
        <v>14</v>
      </c>
      <c r="U25" s="664">
        <f>H25</f>
        <v>100</v>
      </c>
      <c r="V25" s="663" t="s">
        <v>14</v>
      </c>
      <c r="W25" s="664">
        <f>J25</f>
        <v>100</v>
      </c>
      <c r="X25" s="665"/>
      <c r="Y25" s="336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61"/>
      <c r="Q26" s="529"/>
      <c r="R26" s="663"/>
      <c r="S26" s="664"/>
      <c r="T26" s="663"/>
      <c r="U26" s="664"/>
      <c r="V26" s="663"/>
      <c r="W26" s="664"/>
      <c r="X26" s="665"/>
      <c r="Y26" s="336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6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1"/>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61"/>
      <c r="Q28" s="1262" t="str">
        <f t="shared" si="8"/>
        <v>毗邻道路的类型与等级</v>
      </c>
      <c r="R28" s="666" t="s">
        <v>14</v>
      </c>
      <c r="S28" s="667">
        <f t="shared" si="10"/>
        <v>100</v>
      </c>
      <c r="T28" s="666" t="s">
        <v>14</v>
      </c>
      <c r="U28" s="667">
        <f t="shared" si="11"/>
        <v>100</v>
      </c>
      <c r="V28" s="666" t="s">
        <v>14</v>
      </c>
      <c r="W28" s="667">
        <f t="shared" si="12"/>
        <v>100</v>
      </c>
      <c r="X28" s="1264"/>
      <c r="Y28" s="336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61"/>
      <c r="Q29" s="1262"/>
      <c r="R29" s="666"/>
      <c r="S29" s="667"/>
      <c r="T29" s="666"/>
      <c r="U29" s="667"/>
      <c r="V29" s="666"/>
      <c r="W29" s="667"/>
      <c r="X29" s="1264"/>
      <c r="Y29" s="336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61"/>
      <c r="Q30" s="1262" t="str">
        <f t="shared" si="8"/>
        <v>土地级别</v>
      </c>
      <c r="R30" s="666" t="s">
        <v>14</v>
      </c>
      <c r="S30" s="667">
        <f t="shared" si="10"/>
        <v>100</v>
      </c>
      <c r="T30" s="666" t="s">
        <v>14</v>
      </c>
      <c r="U30" s="667">
        <f t="shared" si="11"/>
        <v>100</v>
      </c>
      <c r="V30" s="666" t="s">
        <v>14</v>
      </c>
      <c r="W30" s="667">
        <f t="shared" si="12"/>
        <v>100</v>
      </c>
      <c r="X30" s="1264"/>
      <c r="Y30" s="336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61"/>
      <c r="Q31" s="1262">
        <f t="shared" si="8"/>
        <v>111</v>
      </c>
      <c r="R31" s="666" t="s">
        <v>14</v>
      </c>
      <c r="S31" s="667">
        <f t="shared" si="10"/>
        <v>100</v>
      </c>
      <c r="T31" s="666" t="s">
        <v>14</v>
      </c>
      <c r="U31" s="667">
        <f t="shared" si="11"/>
        <v>100</v>
      </c>
      <c r="V31" s="666" t="s">
        <v>14</v>
      </c>
      <c r="W31" s="667">
        <f t="shared" si="12"/>
        <v>100</v>
      </c>
      <c r="X31" s="1264"/>
      <c r="Y31" s="336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15" t="s">
        <v>1696</v>
      </c>
      <c r="Q32" s="1262">
        <f t="shared" si="8"/>
        <v>111</v>
      </c>
      <c r="R32" s="666" t="s">
        <v>14</v>
      </c>
      <c r="S32" s="667">
        <f t="shared" si="10"/>
        <v>100</v>
      </c>
      <c r="T32" s="666" t="s">
        <v>14</v>
      </c>
      <c r="U32" s="667">
        <f t="shared" si="11"/>
        <v>100</v>
      </c>
      <c r="V32" s="666" t="s">
        <v>14</v>
      </c>
      <c r="W32" s="667">
        <f t="shared" si="12"/>
        <v>100</v>
      </c>
      <c r="X32" s="1264"/>
      <c r="Y32" s="336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65"/>
      <c r="Q33" s="1262">
        <f t="shared" si="8"/>
        <v>111</v>
      </c>
      <c r="R33" s="668" t="s">
        <v>14</v>
      </c>
      <c r="S33" s="669">
        <f t="shared" si="10"/>
        <v>100</v>
      </c>
      <c r="T33" s="668" t="s">
        <v>14</v>
      </c>
      <c r="U33" s="669">
        <f t="shared" si="11"/>
        <v>100</v>
      </c>
      <c r="V33" s="668" t="s">
        <v>14</v>
      </c>
      <c r="W33" s="669">
        <f t="shared" si="12"/>
        <v>100</v>
      </c>
      <c r="X33" s="670"/>
      <c r="Y33" s="336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65"/>
      <c r="Q34" s="1262" t="str">
        <f>B34</f>
        <v>宗地面积</v>
      </c>
      <c r="R34" s="666" t="s">
        <v>14</v>
      </c>
      <c r="S34" s="667" t="e">
        <f t="shared" si="10"/>
        <v>#N/A</v>
      </c>
      <c r="T34" s="666" t="s">
        <v>14</v>
      </c>
      <c r="U34" s="667" t="e">
        <f t="shared" si="11"/>
        <v>#N/A</v>
      </c>
      <c r="V34" s="666" t="s">
        <v>14</v>
      </c>
      <c r="W34" s="667" t="e">
        <f t="shared" si="12"/>
        <v>#N/A</v>
      </c>
      <c r="X34" s="1264"/>
      <c r="Y34" s="336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65"/>
      <c r="Q35" s="1262" t="str">
        <f t="shared" ref="Q35:Q40" si="14">B35</f>
        <v>宗地形状</v>
      </c>
      <c r="R35" s="666" t="s">
        <v>14</v>
      </c>
      <c r="S35" s="667">
        <f t="shared" si="10"/>
        <v>100</v>
      </c>
      <c r="T35" s="666" t="s">
        <v>14</v>
      </c>
      <c r="U35" s="667">
        <f t="shared" si="11"/>
        <v>100</v>
      </c>
      <c r="V35" s="666" t="s">
        <v>14</v>
      </c>
      <c r="W35" s="667">
        <f t="shared" si="12"/>
        <v>100</v>
      </c>
      <c r="X35" s="1264"/>
      <c r="Y35" s="336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65"/>
      <c r="Q36" s="1262" t="str">
        <f t="shared" si="14"/>
        <v>宗地开发程度</v>
      </c>
      <c r="R36" s="663" t="s">
        <v>14</v>
      </c>
      <c r="S36" s="664">
        <f t="shared" si="10"/>
        <v>100</v>
      </c>
      <c r="T36" s="663" t="s">
        <v>14</v>
      </c>
      <c r="U36" s="664">
        <f t="shared" si="11"/>
        <v>100</v>
      </c>
      <c r="V36" s="663" t="s">
        <v>14</v>
      </c>
      <c r="W36" s="664">
        <f t="shared" si="12"/>
        <v>100</v>
      </c>
      <c r="X36" s="665"/>
      <c r="Y36" s="336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65" t="s">
        <v>1696</v>
      </c>
      <c r="Q37" s="1262" t="str">
        <f t="shared" si="14"/>
        <v>工程地质条件</v>
      </c>
      <c r="R37" s="666" t="s">
        <v>14</v>
      </c>
      <c r="S37" s="667">
        <f t="shared" si="10"/>
        <v>100</v>
      </c>
      <c r="T37" s="666" t="s">
        <v>14</v>
      </c>
      <c r="U37" s="667">
        <f t="shared" si="11"/>
        <v>100</v>
      </c>
      <c r="V37" s="666" t="s">
        <v>14</v>
      </c>
      <c r="W37" s="667">
        <f t="shared" si="12"/>
        <v>100</v>
      </c>
      <c r="X37" s="1264"/>
      <c r="Y37" s="336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65"/>
      <c r="Q38" s="1262">
        <f t="shared" si="14"/>
        <v>111</v>
      </c>
      <c r="R38" s="666" t="s">
        <v>14</v>
      </c>
      <c r="S38" s="667">
        <f t="shared" si="10"/>
        <v>100</v>
      </c>
      <c r="T38" s="666" t="s">
        <v>14</v>
      </c>
      <c r="U38" s="667">
        <f t="shared" si="11"/>
        <v>100</v>
      </c>
      <c r="V38" s="666" t="s">
        <v>14</v>
      </c>
      <c r="W38" s="667">
        <f t="shared" si="12"/>
        <v>100</v>
      </c>
      <c r="X38" s="1264"/>
      <c r="Y38" s="336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65"/>
      <c r="Q39" s="1262">
        <f t="shared" si="14"/>
        <v>111</v>
      </c>
      <c r="R39" s="666" t="s">
        <v>14</v>
      </c>
      <c r="S39" s="667">
        <f t="shared" si="10"/>
        <v>100</v>
      </c>
      <c r="T39" s="666" t="s">
        <v>14</v>
      </c>
      <c r="U39" s="667">
        <f t="shared" si="11"/>
        <v>100</v>
      </c>
      <c r="V39" s="666" t="s">
        <v>14</v>
      </c>
      <c r="W39" s="667">
        <f t="shared" si="12"/>
        <v>100</v>
      </c>
      <c r="X39" s="1264"/>
      <c r="Y39" s="336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65"/>
      <c r="Q40" s="1262">
        <f t="shared" si="14"/>
        <v>111</v>
      </c>
      <c r="R40" s="668" t="s">
        <v>14</v>
      </c>
      <c r="S40" s="669">
        <f t="shared" si="10"/>
        <v>100</v>
      </c>
      <c r="T40" s="668" t="s">
        <v>14</v>
      </c>
      <c r="U40" s="669">
        <f t="shared" si="11"/>
        <v>100</v>
      </c>
      <c r="V40" s="668" t="s">
        <v>14</v>
      </c>
      <c r="W40" s="669">
        <f t="shared" si="12"/>
        <v>100</v>
      </c>
      <c r="X40" s="670"/>
      <c r="Y40" s="3365"/>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58" t="str">
        <f>A41</f>
        <v>成交单价</v>
      </c>
      <c r="Q41" s="3358"/>
      <c r="R41" s="3359">
        <f>E41</f>
        <v>0</v>
      </c>
      <c r="S41" s="3359"/>
      <c r="T41" s="3359">
        <f>G41</f>
        <v>0</v>
      </c>
      <c r="U41" s="3359"/>
      <c r="V41" s="3359">
        <f>I41</f>
        <v>0</v>
      </c>
      <c r="W41" s="3359"/>
      <c r="X41" s="384"/>
      <c r="Y41" s="672"/>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4"/>
      <c r="M42" s="2487"/>
      <c r="N42" s="2487"/>
      <c r="O42" s="2487"/>
      <c r="P42" s="3358" t="str">
        <f>A42</f>
        <v>比较价值（元/平方米）</v>
      </c>
      <c r="Q42" s="3358"/>
      <c r="R42" s="3417" t="e">
        <f>ROUND(PRODUCT(R41,AA7:AA40),0)</f>
        <v>#DIV/0!</v>
      </c>
      <c r="S42" s="3417"/>
      <c r="T42" s="3417" t="e">
        <f>ROUND(PRODUCT(T41,AB7:AB40),0)</f>
        <v>#DIV/0!</v>
      </c>
      <c r="U42" s="3417"/>
      <c r="V42" s="3417" t="e">
        <f>ROUND(PRODUCT(V41,AC7:AC40),0)</f>
        <v>#DIV/0!</v>
      </c>
      <c r="W42" s="3417"/>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55" t="str">
        <f>A43</f>
        <v>估价对象XX用房的比较价值（楼面单价，元/平方米）</v>
      </c>
      <c r="Q43" s="3356"/>
      <c r="R43" s="3418" t="e">
        <f>ROUND(IF(D42="简单平均",AVERAGE(R42:W42),R42*F42+T42*H42+V42*J42),0)</f>
        <v>#DIV/0!</v>
      </c>
      <c r="S43" s="3418"/>
      <c r="T43" s="3418"/>
      <c r="U43" s="3418"/>
      <c r="V43" s="3418"/>
      <c r="W43" s="3418"/>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73" t="s">
        <v>1887</v>
      </c>
      <c r="H50" s="341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7099.51</v>
      </c>
      <c r="F51" s="610" t="e">
        <f t="shared" ref="F51:F60" si="15">ROUND(B51*E51/10000,0)</f>
        <v>#DIV/0!</v>
      </c>
      <c r="G51" s="3369"/>
      <c r="H51" s="335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869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27" t="s">
        <v>2084</v>
      </c>
      <c r="D1" s="3428"/>
      <c r="E1" s="3428"/>
      <c r="F1" s="3428"/>
      <c r="G1" s="3428"/>
      <c r="H1" s="3428"/>
      <c r="I1" s="3428"/>
      <c r="J1" s="3428"/>
      <c r="K1" s="3428"/>
      <c r="L1" s="3428"/>
      <c r="M1" s="3428"/>
      <c r="N1" s="3428"/>
      <c r="O1" s="3428"/>
      <c r="P1" s="3428"/>
      <c r="Q1" s="3428"/>
      <c r="R1" s="3428"/>
      <c r="S1" s="3429"/>
      <c r="T1" s="928" t="s">
        <v>2085</v>
      </c>
    </row>
    <row r="2" spans="1:45" s="624" customFormat="1" ht="38.25">
      <c r="A2" s="929"/>
      <c r="B2" s="621" t="s">
        <v>2086</v>
      </c>
      <c r="C2" s="14" t="str">
        <f t="shared" ref="C2:L2" si="0">C3&amp;"(含)"&amp;"-"&amp;D3</f>
        <v>0(含)-200</v>
      </c>
      <c r="D2" s="622" t="str">
        <f t="shared" si="0"/>
        <v>200(含)-500</v>
      </c>
      <c r="E2" s="622" t="str">
        <f t="shared" si="0"/>
        <v>500(含)-800</v>
      </c>
      <c r="F2" s="622" t="str">
        <f t="shared" si="0"/>
        <v>800(含)-1000</v>
      </c>
      <c r="G2" s="622" t="str">
        <f t="shared" si="0"/>
        <v>1000(含)-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200</v>
      </c>
      <c r="E3" s="627">
        <v>500</v>
      </c>
      <c r="F3" s="1219">
        <v>800</v>
      </c>
      <c r="G3" s="1219">
        <v>1000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v>99</v>
      </c>
      <c r="E4" s="935">
        <v>98</v>
      </c>
      <c r="F4" s="1223">
        <v>97</v>
      </c>
      <c r="G4" s="1223">
        <v>96</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v>-1</v>
      </c>
      <c r="D17" s="953">
        <v>1</v>
      </c>
      <c r="E17" s="953">
        <v>2</v>
      </c>
      <c r="F17" s="953">
        <v>3</v>
      </c>
      <c r="G17" s="953">
        <v>4</v>
      </c>
      <c r="H17" s="953">
        <v>5</v>
      </c>
      <c r="I17" s="953">
        <v>6</v>
      </c>
      <c r="J17" s="953">
        <v>7</v>
      </c>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v>70</v>
      </c>
      <c r="D18" s="964">
        <v>100</v>
      </c>
      <c r="E18" s="964">
        <v>90</v>
      </c>
      <c r="F18" s="964">
        <v>80</v>
      </c>
      <c r="G18" s="964">
        <v>75</v>
      </c>
      <c r="H18" s="964">
        <v>75</v>
      </c>
      <c r="I18" s="964">
        <v>75</v>
      </c>
      <c r="J18" s="964">
        <v>75</v>
      </c>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f ca="1">IF(D20="——",S22,S22-F20)</f>
        <v>6238</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f ca="1">ROUND(B20*10000/B22,0)</f>
        <v>8787</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7099.51</v>
      </c>
      <c r="C22" s="3424" t="s">
        <v>27</v>
      </c>
      <c r="D22" s="3425"/>
      <c r="E22" s="3425"/>
      <c r="F22" s="3425"/>
      <c r="G22" s="3425"/>
      <c r="H22" s="3425"/>
      <c r="I22" s="3425"/>
      <c r="J22" s="3425"/>
      <c r="K22" s="3425"/>
      <c r="L22" s="3425"/>
      <c r="M22" s="3425"/>
      <c r="N22" s="3425"/>
      <c r="O22" s="3425"/>
      <c r="P22" s="3425"/>
      <c r="Q22" s="3426"/>
      <c r="R22" s="21">
        <f ca="1">ROUND(S22*10000/B22,0)</f>
        <v>8787</v>
      </c>
      <c r="S22" s="21">
        <f ca="1">SUM(S24:S10000)</f>
        <v>6238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'数据-汇总表'!C19</f>
        <v>商业1层</v>
      </c>
      <c r="B24" s="632">
        <f>'数据-汇总表'!F19</f>
        <v>887.44</v>
      </c>
      <c r="C24" s="2570">
        <v>1</v>
      </c>
      <c r="D24" s="2571"/>
      <c r="E24" s="2570">
        <v>1</v>
      </c>
      <c r="F24" s="2571"/>
      <c r="G24" s="2570">
        <v>1</v>
      </c>
      <c r="H24" s="2571"/>
      <c r="I24" s="2570">
        <v>1</v>
      </c>
      <c r="J24" s="2571"/>
      <c r="K24" s="2570">
        <v>1</v>
      </c>
      <c r="L24" s="2571"/>
      <c r="M24" s="2570">
        <v>1</v>
      </c>
      <c r="N24" s="2571"/>
      <c r="O24" s="2570">
        <v>1</v>
      </c>
      <c r="P24" s="2571">
        <v>1</v>
      </c>
      <c r="Q24" s="2570">
        <v>1</v>
      </c>
      <c r="R24" s="632">
        <f ca="1">结果表!G20</f>
        <v>10983</v>
      </c>
      <c r="S24" s="633">
        <f t="shared" ref="S24:S54" ca="1" si="11">ROUND(R24*B24/10000,0)</f>
        <v>975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'数据-汇总表'!C20</f>
        <v>商业-1层</v>
      </c>
      <c r="B25" s="632">
        <f>'数据-汇总表'!F20</f>
        <v>887.44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-1</v>
      </c>
      <c r="Q25" s="21">
        <f>(SUMIF($17:$17,P25,$18:$18)-SUMIF($17:$17,$P$24,$18:$18)+100)/100</f>
        <v>0.7</v>
      </c>
      <c r="R25" s="21">
        <f ca="1">IF(B25="",0,ROUND($R$24*C25*E25*G25*I25*K25*M25*O25*Q25,0))</f>
        <v>7688</v>
      </c>
      <c r="S25" s="307">
        <f t="shared" ca="1" si="11"/>
        <v>682</v>
      </c>
    </row>
    <row r="26" spans="1:45">
      <c r="A26" s="632" t="str">
        <f>'数据-汇总表'!C21</f>
        <v>商业2层</v>
      </c>
      <c r="B26" s="632">
        <f>'数据-汇总表'!F21</f>
        <v>887.44</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v>2</v>
      </c>
      <c r="Q26" s="21">
        <f t="shared" ref="Q26:Q89" si="19">(SUMIF($17:$17,P26,$18:$18)-SUMIF($17:$17,$P$24,$18:$18)+100)/100</f>
        <v>0.9</v>
      </c>
      <c r="R26" s="21">
        <f t="shared" ref="R26:R89" ca="1" si="20">IF(B26="",0,ROUND($R$24*C26*E26*G26*I26*K26*M26*O26*Q26,0))</f>
        <v>9885</v>
      </c>
      <c r="S26" s="307">
        <f t="shared" ca="1" si="11"/>
        <v>877</v>
      </c>
    </row>
    <row r="27" spans="1:45">
      <c r="A27" s="632" t="str">
        <f>'数据-汇总表'!C22</f>
        <v>商业3层</v>
      </c>
      <c r="B27" s="632">
        <f>'数据-汇总表'!F22</f>
        <v>887.44</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v>3</v>
      </c>
      <c r="Q27" s="21">
        <f t="shared" si="19"/>
        <v>0.8</v>
      </c>
      <c r="R27" s="21">
        <f t="shared" ca="1" si="20"/>
        <v>8786</v>
      </c>
      <c r="S27" s="307">
        <f t="shared" ca="1" si="11"/>
        <v>780</v>
      </c>
    </row>
    <row r="28" spans="1:45">
      <c r="A28" s="632" t="str">
        <f>'数据-汇总表'!C23</f>
        <v>商业4层</v>
      </c>
      <c r="B28" s="632">
        <f>'数据-汇总表'!F23</f>
        <v>887.44</v>
      </c>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v>4</v>
      </c>
      <c r="Q28" s="21">
        <f t="shared" si="19"/>
        <v>0.75</v>
      </c>
      <c r="R28" s="21">
        <f t="shared" ca="1" si="20"/>
        <v>8237</v>
      </c>
      <c r="S28" s="307">
        <f t="shared" ca="1" si="11"/>
        <v>731</v>
      </c>
    </row>
    <row r="29" spans="1:45">
      <c r="A29" s="632" t="str">
        <f>'数据-汇总表'!C24</f>
        <v>商业5层</v>
      </c>
      <c r="B29" s="632">
        <f>'数据-汇总表'!F24</f>
        <v>887.44</v>
      </c>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v>5</v>
      </c>
      <c r="Q29" s="21">
        <f t="shared" si="19"/>
        <v>0.75</v>
      </c>
      <c r="R29" s="21">
        <f t="shared" ca="1" si="20"/>
        <v>8237</v>
      </c>
      <c r="S29" s="307">
        <f t="shared" ca="1" si="11"/>
        <v>731</v>
      </c>
    </row>
    <row r="30" spans="1:45">
      <c r="A30" s="632" t="str">
        <f>'数据-汇总表'!C25</f>
        <v>商业6层</v>
      </c>
      <c r="B30" s="632">
        <f>'数据-汇总表'!F25</f>
        <v>887.44</v>
      </c>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v>6</v>
      </c>
      <c r="Q30" s="21">
        <f t="shared" si="19"/>
        <v>0.75</v>
      </c>
      <c r="R30" s="21">
        <f t="shared" ca="1" si="20"/>
        <v>8237</v>
      </c>
      <c r="S30" s="307">
        <f t="shared" ca="1" si="11"/>
        <v>731</v>
      </c>
    </row>
    <row r="31" spans="1:45">
      <c r="A31" s="632" t="str">
        <f>'数据-汇总表'!C26</f>
        <v>商业7层</v>
      </c>
      <c r="B31" s="632">
        <f>'数据-汇总表'!F26</f>
        <v>887.42999999999847</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v>7</v>
      </c>
      <c r="Q31" s="21">
        <f t="shared" si="19"/>
        <v>0.75</v>
      </c>
      <c r="R31" s="21">
        <f t="shared" ca="1" si="20"/>
        <v>8237</v>
      </c>
      <c r="S31" s="307">
        <f t="shared" ca="1" si="11"/>
        <v>731</v>
      </c>
    </row>
    <row r="32" spans="1:45">
      <c r="A32" s="63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0</v>
      </c>
      <c r="R32" s="21">
        <f t="shared" si="20"/>
        <v>0</v>
      </c>
      <c r="S32" s="307">
        <f t="shared" si="11"/>
        <v>0</v>
      </c>
    </row>
    <row r="33" spans="1:19">
      <c r="A33" s="63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7">
        <f t="shared" si="11"/>
        <v>0</v>
      </c>
    </row>
    <row r="34" spans="1:19">
      <c r="A34" s="63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7">
        <f t="shared" si="11"/>
        <v>0</v>
      </c>
    </row>
    <row r="35" spans="1:19">
      <c r="A35" s="63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7">
        <f t="shared" si="11"/>
        <v>0</v>
      </c>
    </row>
    <row r="36" spans="1:19">
      <c r="A36" s="63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19"/>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7"/>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37"/>
      <c r="B4" s="3438"/>
      <c r="C4" s="3438"/>
      <c r="D4" s="3439"/>
      <c r="E4" s="3439"/>
      <c r="F4" s="3439"/>
      <c r="G4" s="3439"/>
      <c r="H4" s="3439"/>
      <c r="I4" s="3439"/>
      <c r="J4" s="344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3240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34" t="s">
        <v>1960</v>
      </c>
      <c r="X8" s="343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36"/>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3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3247</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t="e">
        <f>ROUND(G18/I18,2)</f>
        <v>#DIV/0!</v>
      </c>
      <c r="F17" s="3028" t="s">
        <v>3253</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3252</v>
      </c>
      <c r="E19" s="3043"/>
      <c r="F19" s="3044" t="s">
        <v>3255</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41" t="s">
        <v>3257</v>
      </c>
      <c r="B20" s="158" t="s">
        <v>1994</v>
      </c>
      <c r="C20" s="3031" t="e">
        <f>ROUND(IF(F21="与级别开发程度一致",0,(G21-E21)/C21),0)</f>
        <v>#DIV/0!</v>
      </c>
      <c r="D20" s="3046" t="s">
        <v>1998</v>
      </c>
      <c r="E20" s="3047"/>
      <c r="F20" s="3447" t="s">
        <v>1995</v>
      </c>
      <c r="G20" s="344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42"/>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5" t="s">
        <v>2002</v>
      </c>
      <c r="E23" s="716">
        <v>44197</v>
      </c>
      <c r="F23" s="1895" t="s">
        <v>2003</v>
      </c>
      <c r="G23" s="717">
        <f>'数据-取费表'!B2</f>
        <v>45362</v>
      </c>
      <c r="H23" s="3048" t="s">
        <v>3259</v>
      </c>
      <c r="I23" s="3049" t="str">
        <f>IF(H23="季度增幅（自定义）",SUMIF(N25:N28,E2,O25:O28),"")</f>
        <v/>
      </c>
      <c r="J23" s="3140" t="s">
        <v>3258</v>
      </c>
      <c r="K23" s="1060"/>
      <c r="L23" s="1896" t="s">
        <v>2004</v>
      </c>
      <c r="M23" s="1240">
        <f>ROUND(SUMIF(地价!B2:G2,E2,地价!B16:G16),0)</f>
        <v>0</v>
      </c>
      <c r="N23" s="1897" t="s">
        <v>2005</v>
      </c>
      <c r="O23" s="718">
        <f>ROUNDDOWN(DATEDIF(E23,G23,"M")/3,0)</f>
        <v>12</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存贷款利率!E24/100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3261</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3263</v>
      </c>
      <c r="G33" s="1940"/>
      <c r="H33" s="1940"/>
      <c r="I33" s="1940"/>
      <c r="J33" s="1941"/>
      <c r="K33" s="1055"/>
      <c r="L33" s="3053" t="s">
        <v>3266</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3267</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3268</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5"/>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6"/>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6"/>
      <c r="B39" s="1883" t="s">
        <v>3262</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3272</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3272</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3272</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3273</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8"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8"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8"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8"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8"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8"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8"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8"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8" t="str">
        <f t="shared" si="31"/>
        <v>——</v>
      </c>
      <c r="I101" s="3069">
        <v>7.0000000000000007E-2</v>
      </c>
      <c r="J101" s="1911">
        <f t="shared" si="27"/>
        <v>0</v>
      </c>
      <c r="K101" s="1911">
        <f t="shared" si="28"/>
        <v>0</v>
      </c>
      <c r="L101" s="1911">
        <v>0</v>
      </c>
      <c r="M101" s="1911">
        <f t="shared" si="29"/>
        <v>0</v>
      </c>
      <c r="N101" s="1911">
        <f t="shared" si="29"/>
        <v>0</v>
      </c>
    </row>
    <row r="103" spans="1:14">
      <c r="A103" s="3443" t="s">
        <v>3297</v>
      </c>
      <c r="B103" s="3443"/>
      <c r="C103" s="3443"/>
      <c r="D103" s="3443"/>
      <c r="E103" s="3443"/>
      <c r="F103" s="3443"/>
      <c r="G103" s="3443"/>
      <c r="H103" s="3443"/>
      <c r="I103" s="3443"/>
      <c r="J103" s="3443"/>
      <c r="K103" s="1666"/>
      <c r="L103" s="1666"/>
      <c r="M103" s="1666"/>
      <c r="N103" s="1666"/>
    </row>
    <row r="104" spans="1:14">
      <c r="A104" s="3444" t="s">
        <v>3298</v>
      </c>
      <c r="B104" s="3444" t="s">
        <v>3299</v>
      </c>
      <c r="C104" s="3090" t="s">
        <v>3300</v>
      </c>
      <c r="D104" s="3091"/>
      <c r="E104" s="3091"/>
      <c r="F104" s="3091"/>
      <c r="G104" s="3091"/>
      <c r="H104" s="3091"/>
      <c r="I104" s="3091"/>
      <c r="J104" s="3092"/>
      <c r="K104" s="3093"/>
      <c r="L104" s="3093"/>
      <c r="M104" s="3093"/>
      <c r="N104" s="3093"/>
    </row>
    <row r="105" spans="1:14">
      <c r="A105" s="3444"/>
      <c r="B105" s="3444"/>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30"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1"/>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3" t="s">
        <v>3314</v>
      </c>
      <c r="B113" s="3433"/>
      <c r="C113" s="3433"/>
      <c r="D113" s="3433"/>
      <c r="E113" s="3433"/>
      <c r="F113" s="3433"/>
      <c r="G113" s="3433"/>
      <c r="H113" s="3433"/>
      <c r="I113" s="3433"/>
      <c r="J113" s="343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0</v>
      </c>
      <c r="C116" s="3099" t="s">
        <v>3316</v>
      </c>
      <c r="D116" s="3100">
        <f>SUMPRODUCT((A118:A122=F116)*(B117:M117=H116)*B118:M122)</f>
        <v>0</v>
      </c>
      <c r="E116" s="161" t="s">
        <v>3317</v>
      </c>
      <c r="F116" s="3101">
        <f>E2</f>
        <v>0</v>
      </c>
      <c r="G116" s="161" t="s">
        <v>3318</v>
      </c>
      <c r="H116" s="3101">
        <f>G2</f>
        <v>0</v>
      </c>
      <c r="I116" s="161"/>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390"/>
      <c r="B4" s="3148" t="s">
        <v>917</v>
      </c>
      <c r="C4" s="3148"/>
      <c r="D4" s="3148"/>
      <c r="E4" s="1390"/>
    </row>
    <row r="5" spans="1:5" ht="16.5" thickTop="1">
      <c r="B5" s="3146" t="s">
        <v>909</v>
      </c>
      <c r="C5" s="1391" t="s">
        <v>910</v>
      </c>
      <c r="D5" s="796" t="e">
        <f ca="1">结果表!H101</f>
        <v>#REF!</v>
      </c>
    </row>
    <row r="6" spans="1:5" ht="15.75">
      <c r="B6" s="3146"/>
      <c r="C6" s="1391" t="s">
        <v>911</v>
      </c>
      <c r="D6" s="796" t="e">
        <f ca="1">NUMBERSTRING(INT(D5*10000),2)&amp;"元整"</f>
        <v>#REF!</v>
      </c>
    </row>
    <row r="7" spans="1:5" ht="15.75">
      <c r="B7" s="3151"/>
      <c r="C7" s="1392" t="s">
        <v>912</v>
      </c>
      <c r="D7" s="797" t="e">
        <f ca="1">结果表!H102</f>
        <v>#REF!</v>
      </c>
    </row>
    <row r="8" spans="1:5" ht="15.75">
      <c r="B8" s="3152" t="str">
        <f>结果表!E103</f>
        <v>2.估价师知悉的法定优先受偿款</v>
      </c>
      <c r="C8" s="1393" t="s">
        <v>913</v>
      </c>
      <c r="D8" s="797">
        <f>结果表!H103</f>
        <v>0</v>
      </c>
    </row>
    <row r="9" spans="1:5" ht="15.75">
      <c r="B9" s="315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45" t="str">
        <f>结果表!E107</f>
        <v>3.房地产抵押价值</v>
      </c>
      <c r="C13" s="1396" t="s">
        <v>910</v>
      </c>
      <c r="D13" s="799" t="e">
        <f ca="1">结果表!H107</f>
        <v>#REF!</v>
      </c>
    </row>
    <row r="14" spans="1:5" ht="15.75">
      <c r="B14" s="3146"/>
      <c r="C14" s="1391" t="s">
        <v>911</v>
      </c>
      <c r="D14" s="796" t="e">
        <f ca="1">NUMBERSTRING(INT(D13*10000),2)&amp;"元整"</f>
        <v>#REF!</v>
      </c>
    </row>
    <row r="15" spans="1:5" ht="15">
      <c r="B15" s="3151"/>
      <c r="C15" s="1392" t="s">
        <v>921</v>
      </c>
      <c r="D15" s="805" t="e">
        <f ca="1">结果表!H108</f>
        <v>#REF!</v>
      </c>
    </row>
    <row r="16" spans="1:5" ht="15">
      <c r="B16" s="3152" t="str">
        <f>结果表!E109</f>
        <v>——</v>
      </c>
      <c r="C16" s="1396" t="s">
        <v>922</v>
      </c>
      <c r="D16" s="1397" t="str">
        <f>结果表!H109</f>
        <v>——</v>
      </c>
    </row>
    <row r="17" spans="1:5" ht="15.75">
      <c r="B17" s="3153"/>
      <c r="C17" s="1391" t="s">
        <v>923</v>
      </c>
      <c r="D17" s="796" t="e">
        <f>NUMBERSTRING(INT(D16*10000),2)&amp;"元整"</f>
        <v>#VALUE!</v>
      </c>
    </row>
    <row r="18" spans="1:5" ht="15">
      <c r="B18" s="3154"/>
      <c r="C18" s="1392" t="s">
        <v>912</v>
      </c>
      <c r="D18" s="805" t="str">
        <f>结果表!H110</f>
        <v>——</v>
      </c>
    </row>
    <row r="19" spans="1:5" ht="15.75">
      <c r="B19" s="3145" t="str">
        <f>结果表!E111</f>
        <v>——</v>
      </c>
      <c r="C19" s="1396" t="s">
        <v>910</v>
      </c>
      <c r="D19" s="797" t="str">
        <f>结果表!H111</f>
        <v>——</v>
      </c>
    </row>
    <row r="20" spans="1:5" ht="15.75">
      <c r="B20" s="3146"/>
      <c r="C20" s="1391" t="s">
        <v>923</v>
      </c>
      <c r="D20" s="796" t="e">
        <f>NUMBERSTRING(INT(D19*10000),2)&amp;"元整"</f>
        <v>#VALUE!</v>
      </c>
    </row>
    <row r="21" spans="1:5" ht="15.75" thickBot="1">
      <c r="B21" s="314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58" t="s">
        <v>2610</v>
      </c>
      <c r="B20" s="3453" t="s">
        <v>2631</v>
      </c>
      <c r="C20" s="2842" t="s">
        <v>2442</v>
      </c>
      <c r="D20" s="2843"/>
      <c r="E20" s="2844">
        <v>1</v>
      </c>
      <c r="F20" s="2845" t="s">
        <v>2443</v>
      </c>
      <c r="G20" s="2845"/>
    </row>
    <row r="21" spans="1:13" ht="19.5" customHeight="1">
      <c r="A21" s="3459"/>
      <c r="B21" s="3452"/>
      <c r="C21" s="2846" t="s">
        <v>2444</v>
      </c>
      <c r="D21" s="2847"/>
      <c r="E21" s="2848">
        <v>1</v>
      </c>
      <c r="F21" s="2845" t="s">
        <v>2445</v>
      </c>
      <c r="G21" s="2845"/>
    </row>
    <row r="22" spans="1:13" ht="19.5" customHeight="1">
      <c r="A22" s="3459"/>
      <c r="B22" s="3452"/>
      <c r="C22" s="2846" t="s">
        <v>2446</v>
      </c>
      <c r="D22" s="2847"/>
      <c r="E22" s="2848">
        <v>0.9</v>
      </c>
      <c r="F22" s="2845" t="s">
        <v>2447</v>
      </c>
      <c r="G22" s="2845"/>
    </row>
    <row r="23" spans="1:13" ht="19.5" customHeight="1">
      <c r="A23" s="3459"/>
      <c r="B23" s="3452"/>
      <c r="C23" s="2846" t="s">
        <v>2448</v>
      </c>
      <c r="D23" s="2847"/>
      <c r="E23" s="2848">
        <v>0.9</v>
      </c>
      <c r="F23" s="2845" t="s">
        <v>2449</v>
      </c>
      <c r="G23" s="2845"/>
    </row>
    <row r="24" spans="1:13" ht="19.5" customHeight="1">
      <c r="A24" s="3459"/>
      <c r="B24" s="3452"/>
      <c r="C24" s="2846" t="s">
        <v>2450</v>
      </c>
      <c r="D24" s="2847"/>
      <c r="E24" s="2848">
        <v>0.8</v>
      </c>
      <c r="F24" s="2845" t="s">
        <v>2451</v>
      </c>
      <c r="G24" s="2845"/>
    </row>
    <row r="25" spans="1:13" ht="19.5" customHeight="1" thickBot="1">
      <c r="A25" s="3460"/>
      <c r="B25" s="3454"/>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55" t="s">
        <v>2634</v>
      </c>
      <c r="B27" s="3453" t="s">
        <v>2615</v>
      </c>
      <c r="C27" s="2842" t="s">
        <v>2455</v>
      </c>
      <c r="D27" s="2843"/>
      <c r="E27" s="2844">
        <v>1</v>
      </c>
      <c r="F27" s="2845" t="s">
        <v>2456</v>
      </c>
      <c r="G27" s="2845"/>
    </row>
    <row r="28" spans="1:13" ht="19.5" customHeight="1">
      <c r="A28" s="3456"/>
      <c r="B28" s="3452"/>
      <c r="C28" s="2846" t="s">
        <v>2457</v>
      </c>
      <c r="D28" s="2847"/>
      <c r="E28" s="2848">
        <v>1</v>
      </c>
      <c r="F28" s="2845" t="s">
        <v>2458</v>
      </c>
      <c r="G28" s="2845"/>
    </row>
    <row r="29" spans="1:13" ht="19.5" customHeight="1">
      <c r="A29" s="3456"/>
      <c r="B29" s="3452"/>
      <c r="C29" s="2846" t="s">
        <v>2459</v>
      </c>
      <c r="D29" s="2847"/>
      <c r="E29" s="2848">
        <v>0.8</v>
      </c>
      <c r="F29" s="2845" t="s">
        <v>2460</v>
      </c>
      <c r="G29" s="2845"/>
    </row>
    <row r="30" spans="1:13" ht="19.5" customHeight="1">
      <c r="A30" s="3456"/>
      <c r="B30" s="3452"/>
      <c r="C30" s="2846" t="s">
        <v>2461</v>
      </c>
      <c r="D30" s="2847"/>
      <c r="E30" s="2848">
        <v>0.8</v>
      </c>
      <c r="F30" s="2845" t="s">
        <v>2462</v>
      </c>
      <c r="G30" s="2845"/>
    </row>
    <row r="31" spans="1:13" ht="19.5" customHeight="1">
      <c r="A31" s="3456"/>
      <c r="B31" s="3452"/>
      <c r="C31" s="2846" t="s">
        <v>2463</v>
      </c>
      <c r="D31" s="2847"/>
      <c r="E31" s="2848">
        <v>0.8</v>
      </c>
      <c r="F31" s="2845" t="s">
        <v>2464</v>
      </c>
      <c r="G31" s="2845"/>
    </row>
    <row r="32" spans="1:13" ht="19.5" customHeight="1">
      <c r="A32" s="3456"/>
      <c r="B32" s="3452"/>
      <c r="C32" s="2846" t="s">
        <v>2465</v>
      </c>
      <c r="D32" s="2847"/>
      <c r="E32" s="2848">
        <v>0.7</v>
      </c>
      <c r="F32" s="2845" t="s">
        <v>2466</v>
      </c>
      <c r="G32" s="2845"/>
    </row>
    <row r="33" spans="1:7" ht="19.5" customHeight="1">
      <c r="A33" s="3456"/>
      <c r="B33" s="3452"/>
      <c r="C33" s="2846" t="s">
        <v>2467</v>
      </c>
      <c r="D33" s="2847"/>
      <c r="E33" s="2848">
        <v>0.8</v>
      </c>
      <c r="F33" s="2845" t="s">
        <v>2468</v>
      </c>
      <c r="G33" s="2845"/>
    </row>
    <row r="34" spans="1:7" ht="19.5" customHeight="1">
      <c r="A34" s="3456"/>
      <c r="B34" s="3452"/>
      <c r="C34" s="2846" t="s">
        <v>2469</v>
      </c>
      <c r="D34" s="2847"/>
      <c r="E34" s="2848">
        <v>0.6</v>
      </c>
      <c r="F34" s="2845" t="s">
        <v>2470</v>
      </c>
      <c r="G34" s="2845"/>
    </row>
    <row r="35" spans="1:7" ht="19.5" customHeight="1">
      <c r="A35" s="3456"/>
      <c r="B35" s="3452"/>
      <c r="C35" s="2846" t="s">
        <v>2471</v>
      </c>
      <c r="D35" s="2847"/>
      <c r="E35" s="2848">
        <v>0.2</v>
      </c>
      <c r="F35" s="2845" t="s">
        <v>2472</v>
      </c>
      <c r="G35" s="2845"/>
    </row>
    <row r="36" spans="1:7" ht="19.5" customHeight="1">
      <c r="A36" s="3456"/>
      <c r="B36" s="3452"/>
      <c r="C36" s="2846" t="s">
        <v>2473</v>
      </c>
      <c r="D36" s="2847"/>
      <c r="E36" s="2848">
        <v>0.2</v>
      </c>
      <c r="F36" s="2845" t="s">
        <v>2474</v>
      </c>
      <c r="G36" s="2845"/>
    </row>
    <row r="37" spans="1:7" ht="19.5" customHeight="1">
      <c r="A37" s="3456"/>
      <c r="B37" s="3450" t="s">
        <v>2635</v>
      </c>
      <c r="C37" s="2846" t="s">
        <v>2475</v>
      </c>
      <c r="D37" s="2847"/>
      <c r="E37" s="2848">
        <v>0.6</v>
      </c>
      <c r="F37" s="2845" t="s">
        <v>2476</v>
      </c>
      <c r="G37" s="2845"/>
    </row>
    <row r="38" spans="1:7" ht="19.5" customHeight="1">
      <c r="A38" s="3456"/>
      <c r="B38" s="3452"/>
      <c r="C38" s="2846" t="s">
        <v>2477</v>
      </c>
      <c r="D38" s="2847"/>
      <c r="E38" s="2848">
        <v>0.6</v>
      </c>
      <c r="F38" s="2845" t="s">
        <v>2478</v>
      </c>
      <c r="G38" s="2845"/>
    </row>
    <row r="39" spans="1:7" ht="19.5" customHeight="1" thickBot="1">
      <c r="A39" s="3457"/>
      <c r="B39" s="3454"/>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58" t="s">
        <v>2613</v>
      </c>
      <c r="B41" s="3453" t="s">
        <v>2637</v>
      </c>
      <c r="C41" s="2842" t="s">
        <v>2482</v>
      </c>
      <c r="D41" s="2843"/>
      <c r="E41" s="2844">
        <v>1</v>
      </c>
      <c r="F41" s="2845" t="s">
        <v>2483</v>
      </c>
      <c r="G41" s="2845"/>
    </row>
    <row r="42" spans="1:7" ht="19.5" customHeight="1">
      <c r="A42" s="3459"/>
      <c r="B42" s="3452"/>
      <c r="C42" s="2846" t="s">
        <v>2484</v>
      </c>
      <c r="D42" s="2847"/>
      <c r="E42" s="2848">
        <v>1</v>
      </c>
      <c r="F42" s="2845" t="s">
        <v>2485</v>
      </c>
      <c r="G42" s="2845"/>
    </row>
    <row r="43" spans="1:7" ht="19.5" customHeight="1">
      <c r="A43" s="3459"/>
      <c r="B43" s="3451"/>
      <c r="C43" s="2846" t="s">
        <v>2486</v>
      </c>
      <c r="D43" s="2847"/>
      <c r="E43" s="2848">
        <v>1.5</v>
      </c>
      <c r="F43" s="2845" t="s">
        <v>2487</v>
      </c>
      <c r="G43" s="2845"/>
    </row>
    <row r="44" spans="1:7" ht="19.5" customHeight="1">
      <c r="A44" s="3459"/>
      <c r="B44" s="2857" t="s">
        <v>2638</v>
      </c>
      <c r="C44" s="2846" t="s">
        <v>2639</v>
      </c>
      <c r="D44" s="2847"/>
      <c r="E44" s="2848">
        <v>2</v>
      </c>
      <c r="F44" s="2845" t="s">
        <v>2488</v>
      </c>
      <c r="G44" s="2845"/>
    </row>
    <row r="45" spans="1:7" ht="19.5" customHeight="1">
      <c r="A45" s="3459"/>
      <c r="B45" s="3450" t="s">
        <v>2640</v>
      </c>
      <c r="C45" s="2846" t="s">
        <v>2489</v>
      </c>
      <c r="D45" s="2847"/>
      <c r="E45" s="2848">
        <v>1</v>
      </c>
      <c r="F45" s="2845" t="s">
        <v>2490</v>
      </c>
      <c r="G45" s="2845"/>
    </row>
    <row r="46" spans="1:7" ht="19.5" customHeight="1">
      <c r="A46" s="3459"/>
      <c r="B46" s="3452"/>
      <c r="C46" s="2846" t="s">
        <v>2491</v>
      </c>
      <c r="D46" s="2847"/>
      <c r="E46" s="2848">
        <v>1</v>
      </c>
      <c r="F46" s="2845" t="s">
        <v>2492</v>
      </c>
      <c r="G46" s="2845"/>
    </row>
    <row r="47" spans="1:7" ht="19.5" customHeight="1">
      <c r="A47" s="3459"/>
      <c r="B47" s="3452"/>
      <c r="C47" s="2846" t="s">
        <v>2493</v>
      </c>
      <c r="D47" s="2847"/>
      <c r="E47" s="2848">
        <v>1</v>
      </c>
      <c r="F47" s="2845" t="s">
        <v>2494</v>
      </c>
      <c r="G47" s="2845"/>
    </row>
    <row r="48" spans="1:7" ht="19.5" customHeight="1">
      <c r="A48" s="3459"/>
      <c r="B48" s="3452"/>
      <c r="C48" s="2846" t="s">
        <v>2495</v>
      </c>
      <c r="D48" s="2847"/>
      <c r="E48" s="2848">
        <v>1</v>
      </c>
      <c r="F48" s="2845" t="s">
        <v>2496</v>
      </c>
      <c r="G48" s="2845"/>
    </row>
    <row r="49" spans="1:7" ht="19.5" customHeight="1">
      <c r="A49" s="3459"/>
      <c r="B49" s="3452"/>
      <c r="C49" s="2846" t="s">
        <v>2497</v>
      </c>
      <c r="D49" s="2847"/>
      <c r="E49" s="2848">
        <v>1</v>
      </c>
      <c r="F49" s="2845" t="s">
        <v>2498</v>
      </c>
      <c r="G49" s="2845"/>
    </row>
    <row r="50" spans="1:7" ht="19.5" customHeight="1">
      <c r="A50" s="3459"/>
      <c r="B50" s="3452"/>
      <c r="C50" s="2846" t="s">
        <v>2499</v>
      </c>
      <c r="D50" s="2847"/>
      <c r="E50" s="2848">
        <v>1</v>
      </c>
      <c r="F50" s="2845" t="s">
        <v>2500</v>
      </c>
      <c r="G50" s="2845"/>
    </row>
    <row r="51" spans="1:7" ht="19.5" customHeight="1" thickBot="1">
      <c r="A51" s="3460"/>
      <c r="B51" s="3454"/>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50" t="s">
        <v>2654</v>
      </c>
      <c r="C73" s="2831" t="s">
        <v>2655</v>
      </c>
      <c r="D73" s="2831" t="s">
        <v>2656</v>
      </c>
      <c r="E73" s="2857">
        <v>0.2</v>
      </c>
      <c r="F73" s="2857">
        <v>25</v>
      </c>
    </row>
    <row r="74" spans="1:7" ht="24">
      <c r="A74" s="2857">
        <v>2</v>
      </c>
      <c r="B74" s="3452"/>
      <c r="C74" s="2831" t="s">
        <v>2657</v>
      </c>
      <c r="D74" s="2831" t="s">
        <v>2658</v>
      </c>
      <c r="E74" s="2857">
        <v>0.2</v>
      </c>
      <c r="F74" s="2857">
        <v>25</v>
      </c>
    </row>
    <row r="75" spans="1:7" ht="24">
      <c r="A75" s="2857">
        <v>3</v>
      </c>
      <c r="B75" s="3452"/>
      <c r="C75" s="2831" t="s">
        <v>2659</v>
      </c>
      <c r="D75" s="2831" t="s">
        <v>2660</v>
      </c>
      <c r="E75" s="2857">
        <v>0.2</v>
      </c>
      <c r="F75" s="2857">
        <v>25</v>
      </c>
    </row>
    <row r="76" spans="1:7" ht="13.5">
      <c r="A76" s="2857">
        <v>4</v>
      </c>
      <c r="B76" s="3452"/>
      <c r="C76" s="2831" t="s">
        <v>2661</v>
      </c>
      <c r="D76" s="2831" t="s">
        <v>2662</v>
      </c>
      <c r="E76" s="2857">
        <v>0.15</v>
      </c>
      <c r="F76" s="2857">
        <v>20</v>
      </c>
    </row>
    <row r="77" spans="1:7" ht="24">
      <c r="A77" s="2857">
        <v>5</v>
      </c>
      <c r="B77" s="3452"/>
      <c r="C77" s="2831" t="s">
        <v>2663</v>
      </c>
      <c r="D77" s="2831" t="s">
        <v>2664</v>
      </c>
      <c r="E77" s="2857">
        <v>0.15</v>
      </c>
      <c r="F77" s="2857">
        <v>20</v>
      </c>
    </row>
    <row r="78" spans="1:7" ht="24">
      <c r="A78" s="2857">
        <v>6</v>
      </c>
      <c r="B78" s="3452"/>
      <c r="C78" s="2831" t="s">
        <v>2665</v>
      </c>
      <c r="D78" s="2831" t="s">
        <v>2666</v>
      </c>
      <c r="E78" s="2857">
        <v>0.15</v>
      </c>
      <c r="F78" s="2857">
        <v>20</v>
      </c>
    </row>
    <row r="79" spans="1:7" ht="24">
      <c r="A79" s="2857">
        <v>7</v>
      </c>
      <c r="B79" s="3452"/>
      <c r="C79" s="2831" t="s">
        <v>2667</v>
      </c>
      <c r="D79" s="2831" t="s">
        <v>2668</v>
      </c>
      <c r="E79" s="2857">
        <v>0.15</v>
      </c>
      <c r="F79" s="2857">
        <v>20</v>
      </c>
    </row>
    <row r="80" spans="1:7" ht="24">
      <c r="A80" s="2857">
        <v>8</v>
      </c>
      <c r="B80" s="3452"/>
      <c r="C80" s="2831" t="s">
        <v>2669</v>
      </c>
      <c r="D80" s="2831" t="s">
        <v>2670</v>
      </c>
      <c r="E80" s="2857">
        <v>0.1</v>
      </c>
      <c r="F80" s="2857">
        <v>15</v>
      </c>
    </row>
    <row r="81" spans="1:6" ht="24">
      <c r="A81" s="2857">
        <v>9</v>
      </c>
      <c r="B81" s="3452"/>
      <c r="C81" s="2831" t="s">
        <v>2671</v>
      </c>
      <c r="D81" s="2831" t="s">
        <v>2672</v>
      </c>
      <c r="E81" s="2857">
        <v>0.1</v>
      </c>
      <c r="F81" s="2857">
        <v>15</v>
      </c>
    </row>
    <row r="82" spans="1:6" ht="24">
      <c r="A82" s="2857">
        <v>10</v>
      </c>
      <c r="B82" s="3452"/>
      <c r="C82" s="2831" t="s">
        <v>2673</v>
      </c>
      <c r="D82" s="2831" t="s">
        <v>2674</v>
      </c>
      <c r="E82" s="2857">
        <v>0.1</v>
      </c>
      <c r="F82" s="2857">
        <v>15</v>
      </c>
    </row>
    <row r="83" spans="1:6" ht="24">
      <c r="A83" s="2857">
        <v>11</v>
      </c>
      <c r="B83" s="3452"/>
      <c r="C83" s="2831" t="s">
        <v>2675</v>
      </c>
      <c r="D83" s="2831" t="s">
        <v>2676</v>
      </c>
      <c r="E83" s="2857">
        <v>0.1</v>
      </c>
      <c r="F83" s="2857">
        <v>15</v>
      </c>
    </row>
    <row r="84" spans="1:6" ht="24">
      <c r="A84" s="2857">
        <v>12</v>
      </c>
      <c r="B84" s="3452"/>
      <c r="C84" s="2831" t="s">
        <v>2677</v>
      </c>
      <c r="D84" s="2831" t="s">
        <v>2678</v>
      </c>
      <c r="E84" s="2857">
        <v>0.1</v>
      </c>
      <c r="F84" s="2857">
        <v>15</v>
      </c>
    </row>
    <row r="85" spans="1:6" ht="13.5">
      <c r="A85" s="2857">
        <v>13</v>
      </c>
      <c r="B85" s="3452"/>
      <c r="C85" s="2831" t="s">
        <v>2679</v>
      </c>
      <c r="D85" s="2831" t="s">
        <v>2680</v>
      </c>
      <c r="E85" s="2857">
        <v>0.1</v>
      </c>
      <c r="F85" s="2857">
        <v>15</v>
      </c>
    </row>
    <row r="86" spans="1:6" ht="13.5">
      <c r="A86" s="2857">
        <v>14</v>
      </c>
      <c r="B86" s="3452"/>
      <c r="C86" s="2831" t="s">
        <v>2681</v>
      </c>
      <c r="D86" s="2831" t="s">
        <v>2682</v>
      </c>
      <c r="E86" s="2857">
        <v>0.1</v>
      </c>
      <c r="F86" s="2857">
        <v>15</v>
      </c>
    </row>
    <row r="87" spans="1:6" ht="13.5">
      <c r="A87" s="2857">
        <v>15</v>
      </c>
      <c r="B87" s="3452"/>
      <c r="C87" s="2831" t="s">
        <v>2683</v>
      </c>
      <c r="D87" s="2831" t="s">
        <v>2684</v>
      </c>
      <c r="E87" s="2857">
        <v>0.1</v>
      </c>
      <c r="F87" s="2857">
        <v>15</v>
      </c>
    </row>
    <row r="88" spans="1:6" ht="24">
      <c r="A88" s="2857">
        <v>16</v>
      </c>
      <c r="B88" s="3452"/>
      <c r="C88" s="2831" t="s">
        <v>2685</v>
      </c>
      <c r="D88" s="2831" t="s">
        <v>2686</v>
      </c>
      <c r="E88" s="2857">
        <v>0.1</v>
      </c>
      <c r="F88" s="2857">
        <v>15</v>
      </c>
    </row>
    <row r="89" spans="1:6" ht="24">
      <c r="A89" s="2857">
        <v>17</v>
      </c>
      <c r="B89" s="3451"/>
      <c r="C89" s="2831" t="s">
        <v>2687</v>
      </c>
      <c r="D89" s="2831" t="s">
        <v>2688</v>
      </c>
      <c r="E89" s="2857">
        <v>0.1</v>
      </c>
      <c r="F89" s="2857">
        <v>15</v>
      </c>
    </row>
    <row r="90" spans="1:6" ht="13.5">
      <c r="A90" s="2857">
        <v>18</v>
      </c>
      <c r="B90" s="3450" t="s">
        <v>2689</v>
      </c>
      <c r="C90" s="2831" t="s">
        <v>2690</v>
      </c>
      <c r="D90" s="2831" t="s">
        <v>2691</v>
      </c>
      <c r="E90" s="2857">
        <v>0.2</v>
      </c>
      <c r="F90" s="2857">
        <v>25</v>
      </c>
    </row>
    <row r="91" spans="1:6" ht="24">
      <c r="A91" s="2857">
        <v>19</v>
      </c>
      <c r="B91" s="3452"/>
      <c r="C91" s="2831" t="s">
        <v>2692</v>
      </c>
      <c r="D91" s="2831" t="s">
        <v>2693</v>
      </c>
      <c r="E91" s="2857">
        <v>0.2</v>
      </c>
      <c r="F91" s="2857">
        <v>25</v>
      </c>
    </row>
    <row r="92" spans="1:6" ht="13.5">
      <c r="A92" s="2857">
        <v>20</v>
      </c>
      <c r="B92" s="3452"/>
      <c r="C92" s="2831" t="s">
        <v>2694</v>
      </c>
      <c r="D92" s="2831" t="s">
        <v>2695</v>
      </c>
      <c r="E92" s="2857">
        <v>0.15</v>
      </c>
      <c r="F92" s="2857">
        <v>20</v>
      </c>
    </row>
    <row r="93" spans="1:6" ht="13.5">
      <c r="A93" s="2857">
        <v>21</v>
      </c>
      <c r="B93" s="3452"/>
      <c r="C93" s="2831" t="s">
        <v>2696</v>
      </c>
      <c r="D93" s="2831" t="s">
        <v>2697</v>
      </c>
      <c r="E93" s="2857">
        <v>0.15</v>
      </c>
      <c r="F93" s="2857">
        <v>20</v>
      </c>
    </row>
    <row r="94" spans="1:6" ht="13.5">
      <c r="A94" s="2857">
        <v>22</v>
      </c>
      <c r="B94" s="3452"/>
      <c r="C94" s="2831" t="s">
        <v>2698</v>
      </c>
      <c r="D94" s="2831" t="s">
        <v>2699</v>
      </c>
      <c r="E94" s="2857">
        <v>0.15</v>
      </c>
      <c r="F94" s="2857">
        <v>20</v>
      </c>
    </row>
    <row r="95" spans="1:6" ht="36">
      <c r="A95" s="2857">
        <v>23</v>
      </c>
      <c r="B95" s="3452"/>
      <c r="C95" s="2831" t="s">
        <v>2700</v>
      </c>
      <c r="D95" s="2831" t="s">
        <v>2701</v>
      </c>
      <c r="E95" s="2857">
        <v>0.15</v>
      </c>
      <c r="F95" s="2857">
        <v>20</v>
      </c>
    </row>
    <row r="96" spans="1:6" ht="13.5">
      <c r="A96" s="2857">
        <v>24</v>
      </c>
      <c r="B96" s="3452"/>
      <c r="C96" s="2831" t="s">
        <v>2702</v>
      </c>
      <c r="D96" s="2831" t="s">
        <v>2703</v>
      </c>
      <c r="E96" s="2857">
        <v>0.1</v>
      </c>
      <c r="F96" s="2857">
        <v>15</v>
      </c>
    </row>
    <row r="97" spans="1:6" ht="13.5">
      <c r="A97" s="2857">
        <v>25</v>
      </c>
      <c r="B97" s="3452"/>
      <c r="C97" s="2831" t="s">
        <v>2704</v>
      </c>
      <c r="D97" s="2831" t="s">
        <v>2705</v>
      </c>
      <c r="E97" s="2857">
        <v>0.1</v>
      </c>
      <c r="F97" s="2857">
        <v>15</v>
      </c>
    </row>
    <row r="98" spans="1:6" ht="24">
      <c r="A98" s="2857">
        <v>26</v>
      </c>
      <c r="B98" s="3452"/>
      <c r="C98" s="2831" t="s">
        <v>2706</v>
      </c>
      <c r="D98" s="2831" t="s">
        <v>2707</v>
      </c>
      <c r="E98" s="2857">
        <v>0.1</v>
      </c>
      <c r="F98" s="2857">
        <v>15</v>
      </c>
    </row>
    <row r="99" spans="1:6" ht="24">
      <c r="A99" s="2857">
        <v>27</v>
      </c>
      <c r="B99" s="3452"/>
      <c r="C99" s="2831" t="s">
        <v>2708</v>
      </c>
      <c r="D99" s="2831" t="s">
        <v>2709</v>
      </c>
      <c r="E99" s="2857">
        <v>0.1</v>
      </c>
      <c r="F99" s="2857">
        <v>15</v>
      </c>
    </row>
    <row r="100" spans="1:6" ht="13.5">
      <c r="A100" s="2857">
        <v>28</v>
      </c>
      <c r="B100" s="3452"/>
      <c r="C100" s="2831" t="s">
        <v>2710</v>
      </c>
      <c r="D100" s="2831" t="s">
        <v>2711</v>
      </c>
      <c r="E100" s="2857">
        <v>0.1</v>
      </c>
      <c r="F100" s="2857">
        <v>15</v>
      </c>
    </row>
    <row r="101" spans="1:6" ht="13.5">
      <c r="A101" s="2857">
        <v>29</v>
      </c>
      <c r="B101" s="3452"/>
      <c r="C101" s="2831" t="s">
        <v>2712</v>
      </c>
      <c r="D101" s="2831" t="s">
        <v>2713</v>
      </c>
      <c r="E101" s="2857">
        <v>0.1</v>
      </c>
      <c r="F101" s="2857">
        <v>15</v>
      </c>
    </row>
    <row r="102" spans="1:6" ht="13.5">
      <c r="A102" s="2857">
        <v>30</v>
      </c>
      <c r="B102" s="3452"/>
      <c r="C102" s="2831" t="s">
        <v>2714</v>
      </c>
      <c r="D102" s="2831" t="s">
        <v>2715</v>
      </c>
      <c r="E102" s="2857">
        <v>0.1</v>
      </c>
      <c r="F102" s="2857">
        <v>15</v>
      </c>
    </row>
    <row r="103" spans="1:6" ht="24">
      <c r="A103" s="2857">
        <v>31</v>
      </c>
      <c r="B103" s="3452"/>
      <c r="C103" s="2831" t="s">
        <v>2716</v>
      </c>
      <c r="D103" s="2831" t="s">
        <v>2717</v>
      </c>
      <c r="E103" s="2857">
        <v>0.1</v>
      </c>
      <c r="F103" s="2857">
        <v>15</v>
      </c>
    </row>
    <row r="104" spans="1:6" ht="24">
      <c r="A104" s="2857">
        <v>32</v>
      </c>
      <c r="B104" s="3452"/>
      <c r="C104" s="2831" t="s">
        <v>2718</v>
      </c>
      <c r="D104" s="2831" t="s">
        <v>2719</v>
      </c>
      <c r="E104" s="2857">
        <v>0.1</v>
      </c>
      <c r="F104" s="2857">
        <v>15</v>
      </c>
    </row>
    <row r="105" spans="1:6" ht="24">
      <c r="A105" s="2857">
        <v>33</v>
      </c>
      <c r="B105" s="3452"/>
      <c r="C105" s="2831" t="s">
        <v>2720</v>
      </c>
      <c r="D105" s="2831" t="s">
        <v>2721</v>
      </c>
      <c r="E105" s="2857">
        <v>0.1</v>
      </c>
      <c r="F105" s="2857">
        <v>15</v>
      </c>
    </row>
    <row r="106" spans="1:6" ht="24">
      <c r="A106" s="2857">
        <v>34</v>
      </c>
      <c r="B106" s="3451"/>
      <c r="C106" s="2831" t="s">
        <v>2722</v>
      </c>
      <c r="D106" s="2831" t="s">
        <v>2723</v>
      </c>
      <c r="E106" s="2857">
        <v>0.1</v>
      </c>
      <c r="F106" s="2857">
        <v>15</v>
      </c>
    </row>
    <row r="107" spans="1:6" ht="24">
      <c r="A107" s="2857">
        <v>35</v>
      </c>
      <c r="B107" s="3450" t="s">
        <v>2724</v>
      </c>
      <c r="C107" s="2857" t="s">
        <v>2725</v>
      </c>
      <c r="D107" s="2831" t="s">
        <v>2726</v>
      </c>
      <c r="E107" s="2857">
        <v>0.15</v>
      </c>
      <c r="F107" s="2857">
        <v>20</v>
      </c>
    </row>
    <row r="108" spans="1:6" ht="13.5">
      <c r="A108" s="2857">
        <v>36</v>
      </c>
      <c r="B108" s="3452"/>
      <c r="C108" s="2857" t="s">
        <v>2727</v>
      </c>
      <c r="D108" s="2831" t="s">
        <v>2728</v>
      </c>
      <c r="E108" s="2857">
        <v>0.15</v>
      </c>
      <c r="F108" s="2857">
        <v>20</v>
      </c>
    </row>
    <row r="109" spans="1:6" ht="13.5">
      <c r="A109" s="2857">
        <v>37</v>
      </c>
      <c r="B109" s="3452"/>
      <c r="C109" s="2857" t="s">
        <v>2729</v>
      </c>
      <c r="D109" s="2831" t="s">
        <v>2730</v>
      </c>
      <c r="E109" s="2857">
        <v>0.15</v>
      </c>
      <c r="F109" s="2857">
        <v>20</v>
      </c>
    </row>
    <row r="110" spans="1:6" ht="13.5">
      <c r="A110" s="2857">
        <v>38</v>
      </c>
      <c r="B110" s="3452"/>
      <c r="C110" s="2857" t="s">
        <v>2731</v>
      </c>
      <c r="D110" s="2831" t="s">
        <v>2732</v>
      </c>
      <c r="E110" s="2857">
        <v>0.1</v>
      </c>
      <c r="F110" s="2857">
        <v>15</v>
      </c>
    </row>
    <row r="111" spans="1:6" ht="24">
      <c r="A111" s="2857">
        <v>39</v>
      </c>
      <c r="B111" s="3452"/>
      <c r="C111" s="2857" t="s">
        <v>2733</v>
      </c>
      <c r="D111" s="2831" t="s">
        <v>2734</v>
      </c>
      <c r="E111" s="2857">
        <v>0.1</v>
      </c>
      <c r="F111" s="2857">
        <v>15</v>
      </c>
    </row>
    <row r="112" spans="1:6" ht="24">
      <c r="A112" s="2857">
        <v>40</v>
      </c>
      <c r="B112" s="3451"/>
      <c r="C112" s="2857" t="s">
        <v>2735</v>
      </c>
      <c r="D112" s="2831" t="s">
        <v>2736</v>
      </c>
      <c r="E112" s="2857">
        <v>0.1</v>
      </c>
      <c r="F112" s="2857">
        <v>15</v>
      </c>
    </row>
    <row r="113" spans="1:6" ht="13.5">
      <c r="A113" s="2857">
        <v>41</v>
      </c>
      <c r="B113" s="3449" t="s">
        <v>2737</v>
      </c>
      <c r="C113" s="2857" t="s">
        <v>2738</v>
      </c>
      <c r="D113" s="2831" t="s">
        <v>2739</v>
      </c>
      <c r="E113" s="2857">
        <v>0.1</v>
      </c>
      <c r="F113" s="2857">
        <v>15</v>
      </c>
    </row>
    <row r="114" spans="1:6" ht="13.5">
      <c r="A114" s="2857">
        <v>42</v>
      </c>
      <c r="B114" s="3449"/>
      <c r="C114" s="2857" t="s">
        <v>2740</v>
      </c>
      <c r="D114" s="2831" t="s">
        <v>2741</v>
      </c>
      <c r="E114" s="2857">
        <v>0.1</v>
      </c>
      <c r="F114" s="2857">
        <v>15</v>
      </c>
    </row>
    <row r="115" spans="1:6" ht="24">
      <c r="A115" s="2857">
        <v>43</v>
      </c>
      <c r="B115" s="3449"/>
      <c r="C115" s="2857" t="s">
        <v>2742</v>
      </c>
      <c r="D115" s="2831" t="s">
        <v>2743</v>
      </c>
      <c r="E115" s="2857">
        <v>0.1</v>
      </c>
      <c r="F115" s="2857">
        <v>15</v>
      </c>
    </row>
    <row r="116" spans="1:6" ht="13.5">
      <c r="A116" s="2857">
        <v>44</v>
      </c>
      <c r="B116" s="3450" t="s">
        <v>2744</v>
      </c>
      <c r="C116" s="2857" t="s">
        <v>2745</v>
      </c>
      <c r="D116" s="2831" t="s">
        <v>2746</v>
      </c>
      <c r="E116" s="2857">
        <v>0.1</v>
      </c>
      <c r="F116" s="2857">
        <v>15</v>
      </c>
    </row>
    <row r="117" spans="1:6" ht="24">
      <c r="A117" s="2857">
        <v>45</v>
      </c>
      <c r="B117" s="3451"/>
      <c r="C117" s="2831" t="s">
        <v>2747</v>
      </c>
      <c r="D117" s="2831" t="s">
        <v>2748</v>
      </c>
      <c r="E117" s="2857">
        <v>0.1</v>
      </c>
      <c r="F117" s="2857">
        <v>15</v>
      </c>
    </row>
    <row r="118" spans="1:6" ht="24">
      <c r="A118" s="2857">
        <v>46</v>
      </c>
      <c r="B118" s="3450" t="s">
        <v>2749</v>
      </c>
      <c r="C118" s="2857" t="s">
        <v>2750</v>
      </c>
      <c r="D118" s="2831" t="s">
        <v>2751</v>
      </c>
      <c r="E118" s="2857">
        <v>0.1</v>
      </c>
      <c r="F118" s="2857">
        <v>15</v>
      </c>
    </row>
    <row r="119" spans="1:6" ht="24">
      <c r="A119" s="2857">
        <v>47</v>
      </c>
      <c r="B119" s="3451"/>
      <c r="C119" s="2857" t="s">
        <v>2752</v>
      </c>
      <c r="D119" s="2831" t="s">
        <v>2753</v>
      </c>
      <c r="E119" s="2857">
        <v>0.1</v>
      </c>
      <c r="F119" s="2857">
        <v>15</v>
      </c>
    </row>
    <row r="120" spans="1:6" ht="13.5">
      <c r="A120" s="2857">
        <v>48</v>
      </c>
      <c r="B120" s="3450" t="s">
        <v>2754</v>
      </c>
      <c r="C120" s="2857" t="s">
        <v>2755</v>
      </c>
      <c r="D120" s="2831" t="s">
        <v>2756</v>
      </c>
      <c r="E120" s="2857">
        <v>0.1</v>
      </c>
      <c r="F120" s="2857">
        <v>15</v>
      </c>
    </row>
    <row r="121" spans="1:6" ht="13.5">
      <c r="A121" s="2857">
        <v>49</v>
      </c>
      <c r="B121" s="3451"/>
      <c r="C121" s="2857" t="s">
        <v>2757</v>
      </c>
      <c r="D121" s="2831" t="s">
        <v>2758</v>
      </c>
      <c r="E121" s="2857">
        <v>0.1</v>
      </c>
      <c r="F121" s="2857">
        <v>15</v>
      </c>
    </row>
    <row r="122" spans="1:6" ht="24">
      <c r="A122" s="2857">
        <v>50</v>
      </c>
      <c r="B122" s="3449" t="s">
        <v>2759</v>
      </c>
      <c r="C122" s="2857" t="s">
        <v>2760</v>
      </c>
      <c r="D122" s="2831" t="s">
        <v>2761</v>
      </c>
      <c r="E122" s="2857">
        <v>0.1</v>
      </c>
      <c r="F122" s="2857">
        <v>15</v>
      </c>
    </row>
    <row r="123" spans="1:6" ht="24">
      <c r="A123" s="2857">
        <v>51</v>
      </c>
      <c r="B123" s="3449"/>
      <c r="C123" s="2857" t="s">
        <v>2762</v>
      </c>
      <c r="D123" s="2831" t="s">
        <v>2763</v>
      </c>
      <c r="E123" s="2857">
        <v>0.1</v>
      </c>
      <c r="F123" s="2857">
        <v>15</v>
      </c>
    </row>
    <row r="124" spans="1:6" ht="24">
      <c r="A124" s="2857">
        <v>52</v>
      </c>
      <c r="B124" s="3449" t="s">
        <v>2764</v>
      </c>
      <c r="C124" s="2857" t="s">
        <v>2765</v>
      </c>
      <c r="D124" s="2831" t="s">
        <v>2766</v>
      </c>
      <c r="E124" s="2857">
        <v>0.1</v>
      </c>
      <c r="F124" s="2857">
        <v>15</v>
      </c>
    </row>
    <row r="125" spans="1:6" ht="24">
      <c r="A125" s="2857">
        <v>53</v>
      </c>
      <c r="B125" s="3449"/>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49" t="s">
        <v>2772</v>
      </c>
      <c r="C127" s="2857" t="s">
        <v>2773</v>
      </c>
      <c r="D127" s="2831" t="s">
        <v>2774</v>
      </c>
      <c r="E127" s="2857">
        <v>0.1</v>
      </c>
      <c r="F127" s="2857">
        <v>15</v>
      </c>
    </row>
    <row r="128" spans="1:6" ht="13.5">
      <c r="A128" s="2857">
        <v>56</v>
      </c>
      <c r="B128" s="3449"/>
      <c r="C128" s="2857" t="s">
        <v>2775</v>
      </c>
      <c r="D128" s="2831" t="s">
        <v>2776</v>
      </c>
      <c r="E128" s="2857">
        <v>0.1</v>
      </c>
      <c r="F128" s="2857">
        <v>15</v>
      </c>
    </row>
    <row r="129" spans="1:6" ht="24">
      <c r="A129" s="2857">
        <v>57</v>
      </c>
      <c r="B129" s="3449"/>
      <c r="C129" s="2857" t="s">
        <v>2777</v>
      </c>
      <c r="D129" s="2831" t="s">
        <v>2778</v>
      </c>
      <c r="E129" s="2857">
        <v>0.1</v>
      </c>
      <c r="F129" s="2857">
        <v>15</v>
      </c>
    </row>
    <row r="130" spans="1:6" ht="24">
      <c r="A130" s="2857">
        <v>58</v>
      </c>
      <c r="B130" s="3449" t="s">
        <v>2779</v>
      </c>
      <c r="C130" s="2857" t="s">
        <v>2780</v>
      </c>
      <c r="D130" s="2831" t="s">
        <v>2781</v>
      </c>
      <c r="E130" s="2857">
        <v>0.1</v>
      </c>
      <c r="F130" s="2857">
        <v>15</v>
      </c>
    </row>
    <row r="131" spans="1:6" ht="13.5">
      <c r="A131" s="2857">
        <v>59</v>
      </c>
      <c r="B131" s="3449"/>
      <c r="C131" s="2857" t="s">
        <v>2782</v>
      </c>
      <c r="D131" s="2831" t="s">
        <v>2783</v>
      </c>
      <c r="E131" s="2857">
        <v>0.1</v>
      </c>
      <c r="F131" s="2857">
        <v>15</v>
      </c>
    </row>
    <row r="132" spans="1:6" ht="13.5">
      <c r="A132" s="2857">
        <v>60</v>
      </c>
      <c r="B132" s="3450" t="s">
        <v>2784</v>
      </c>
      <c r="C132" s="2857" t="s">
        <v>2785</v>
      </c>
      <c r="D132" s="2831" t="s">
        <v>2786</v>
      </c>
      <c r="E132" s="2857">
        <v>0.1</v>
      </c>
      <c r="F132" s="2857">
        <v>15</v>
      </c>
    </row>
    <row r="133" spans="1:6" ht="13.5">
      <c r="A133" s="2857">
        <v>61</v>
      </c>
      <c r="B133" s="3451"/>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49" t="s">
        <v>2792</v>
      </c>
      <c r="C135" s="2857" t="s">
        <v>2793</v>
      </c>
      <c r="D135" s="2831" t="s">
        <v>2794</v>
      </c>
      <c r="E135" s="2857">
        <v>0.1</v>
      </c>
      <c r="F135" s="2857">
        <v>15</v>
      </c>
    </row>
    <row r="136" spans="1:6" ht="13.5">
      <c r="A136" s="2857">
        <v>64</v>
      </c>
      <c r="B136" s="3449"/>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6"/>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29513</v>
      </c>
      <c r="C2" s="2" t="s">
        <v>106</v>
      </c>
      <c r="D2" s="190"/>
      <c r="E2" s="190"/>
      <c r="F2" s="190"/>
      <c r="G2" s="190"/>
    </row>
    <row r="3" spans="1:7" s="191" customFormat="1" ht="18" customHeight="1" thickBot="1">
      <c r="A3" s="194" t="s">
        <v>58</v>
      </c>
      <c r="B3" s="195">
        <f ca="1">ROUND(B2*10000/'数据-汇总表'!E3,0)</f>
        <v>41570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90</v>
      </c>
      <c r="F9" s="212"/>
      <c r="G9" s="217"/>
    </row>
    <row r="10" spans="1:7" s="205" customFormat="1" ht="13.5" customHeight="1">
      <c r="A10" s="732" t="s">
        <v>356</v>
      </c>
      <c r="B10" s="215" t="s">
        <v>67</v>
      </c>
      <c r="C10" s="216">
        <f>ROUND(D10*E10/10000,0)</f>
        <v>78</v>
      </c>
      <c r="D10" s="794">
        <f>'数据-汇总表'!E6</f>
        <v>7099.51</v>
      </c>
      <c r="E10" s="216">
        <f>'数据-取费表'!B28</f>
        <v>110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78</v>
      </c>
      <c r="D19" s="203">
        <f>'数据-汇总表'!E3</f>
        <v>7099.51</v>
      </c>
      <c r="E19" s="202">
        <f>'数据-取费表'!B31</f>
        <v>110</v>
      </c>
      <c r="F19" s="222"/>
      <c r="G19" s="1" t="s">
        <v>436</v>
      </c>
    </row>
    <row r="20" spans="1:7" s="205" customFormat="1" ht="13.5" customHeight="1">
      <c r="A20" s="730" t="s">
        <v>419</v>
      </c>
      <c r="B20" s="201" t="s">
        <v>77</v>
      </c>
      <c r="C20" s="223">
        <f>ROUND((C5+C19)*F20,0)</f>
        <v>414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1466</v>
      </c>
      <c r="D22" s="226">
        <f ca="1">C26</f>
        <v>6.9999999999999999E-4</v>
      </c>
      <c r="E22" s="227" t="s">
        <v>99</v>
      </c>
      <c r="F22" s="228">
        <f ca="1">'数据-取费表'!B40</f>
        <v>3.4500000000000003E-2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1447</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4220</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4220</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29055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266</v>
      </c>
      <c r="D34" s="208"/>
      <c r="E34" s="211"/>
      <c r="F34" s="248">
        <f>IF('数据-取费表'!B24=0,1,'数据-取费表'!N16)</f>
        <v>1</v>
      </c>
      <c r="G34" s="210" t="s">
        <v>89</v>
      </c>
    </row>
    <row r="35" spans="1:7" ht="13.5" customHeight="1">
      <c r="A35" s="733" t="s">
        <v>351</v>
      </c>
      <c r="B35" s="206" t="s">
        <v>33</v>
      </c>
      <c r="C35" s="211">
        <f>ROUND(C34*F35,0)</f>
        <v>8</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142</v>
      </c>
      <c r="D37" s="208">
        <f>'数据-汇总表'!E3</f>
        <v>7099.51</v>
      </c>
      <c r="E37" s="240">
        <f>'数据-取费表'!B35</f>
        <v>200</v>
      </c>
      <c r="F37" s="250"/>
      <c r="G37" s="252" t="s">
        <v>92</v>
      </c>
    </row>
    <row r="38" spans="1:7" ht="13.5" customHeight="1">
      <c r="A38" s="733" t="s">
        <v>354</v>
      </c>
      <c r="B38" s="206" t="s">
        <v>36</v>
      </c>
      <c r="C38" s="211">
        <f>ROUND(C34*F38,0)</f>
        <v>4</v>
      </c>
      <c r="D38" s="211"/>
      <c r="E38" s="211"/>
      <c r="F38" s="250">
        <f>'数据-取费表'!B36</f>
        <v>1.4999999999999999E-2</v>
      </c>
      <c r="G38" s="210" t="s">
        <v>90</v>
      </c>
    </row>
    <row r="39" spans="1:7" s="205" customFormat="1" ht="13.5" customHeight="1">
      <c r="A39" s="730" t="s">
        <v>338</v>
      </c>
      <c r="B39" s="201" t="s">
        <v>77</v>
      </c>
      <c r="C39" s="223">
        <f>ROUND(C33*F20,0)</f>
        <v>8</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14</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v>
      </c>
      <c r="D42" s="229"/>
      <c r="E42" s="229"/>
      <c r="F42" s="230"/>
      <c r="G42" s="3326" t="s">
        <v>94</v>
      </c>
    </row>
    <row r="43" spans="1:7" ht="13.5" customHeight="1">
      <c r="A43" s="733" t="s">
        <v>347</v>
      </c>
      <c r="B43" s="206" t="s">
        <v>426</v>
      </c>
      <c r="C43" s="229">
        <f ca="1">ROUND(IF('数据-取费表'!B22&lt;=1,C39*F22*'数据-取费表'!B21/2,C39*(POWER((1+F22),'数据-取费表'!B21/2)-1)),0)</f>
        <v>0</v>
      </c>
      <c r="D43" s="229"/>
      <c r="E43" s="229"/>
      <c r="F43" s="230"/>
      <c r="G43" s="3327"/>
    </row>
    <row r="44" spans="1:7" ht="13.5" customHeight="1">
      <c r="A44" s="733" t="s">
        <v>348</v>
      </c>
      <c r="B44" s="206" t="s">
        <v>428</v>
      </c>
      <c r="C44" s="229">
        <f ca="1">ROUND(IF('数据-取费表'!B22&lt;=1,C40*F22*'数据-取费表'!B21/2,C40*(POWER((1+F22),'数据-取费表'!B21/2)-1)),4)</f>
        <v>6.9999999999999999E-4</v>
      </c>
      <c r="D44" s="229"/>
      <c r="E44" s="229"/>
      <c r="F44" s="230"/>
      <c r="G44" s="3328"/>
    </row>
    <row r="45" spans="1:7" s="205" customFormat="1" ht="13.5" customHeight="1">
      <c r="A45" s="730" t="s">
        <v>341</v>
      </c>
      <c r="B45" s="235" t="s">
        <v>85</v>
      </c>
      <c r="C45" s="236">
        <f>C46</f>
        <v>86</v>
      </c>
      <c r="D45" s="226">
        <f>C47</f>
        <v>4.0000000000000001E-3</v>
      </c>
      <c r="E45" s="227" t="s">
        <v>102</v>
      </c>
      <c r="F45" s="237"/>
      <c r="G45" s="238" t="s">
        <v>434</v>
      </c>
    </row>
    <row r="46" spans="1:7" s="205" customFormat="1" ht="13.5" customHeight="1">
      <c r="A46" s="733" t="s">
        <v>349</v>
      </c>
      <c r="B46" s="239" t="s">
        <v>427</v>
      </c>
      <c r="C46" s="240">
        <f>ROUND((C33+C39)*F27,0)</f>
        <v>86</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573</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458</v>
      </c>
      <c r="D51" s="223"/>
      <c r="E51" s="223"/>
      <c r="F51" s="255"/>
      <c r="G51" s="225" t="s">
        <v>37</v>
      </c>
    </row>
    <row r="52" spans="1:7" s="199" customFormat="1" ht="16.5" thickBot="1">
      <c r="A52" s="256" t="s">
        <v>38</v>
      </c>
      <c r="B52" s="257"/>
      <c r="C52" s="258">
        <f ca="1">C31+C51</f>
        <v>29513</v>
      </c>
      <c r="D52" s="257"/>
      <c r="E52" s="257"/>
      <c r="F52" s="257"/>
      <c r="G52" s="259"/>
    </row>
    <row r="55" spans="1:7" ht="15">
      <c r="B55" s="261" t="s">
        <v>39</v>
      </c>
      <c r="C55" s="262"/>
    </row>
    <row r="56" spans="1:7">
      <c r="B56" s="264" t="s">
        <v>40</v>
      </c>
      <c r="C56" s="265">
        <f ca="1">ROUND(C51/C52,3)</f>
        <v>1.6E-2</v>
      </c>
    </row>
    <row r="57" spans="1:7">
      <c r="B57" s="264" t="s">
        <v>41</v>
      </c>
      <c r="C57" s="266">
        <f ca="1">1-C56</f>
        <v>0.98399999999999999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3" t="s">
        <v>2842</v>
      </c>
      <c r="B1" s="3463"/>
      <c r="C1" s="3463"/>
      <c r="D1" s="3463"/>
      <c r="E1" s="3463"/>
      <c r="F1" s="3463"/>
      <c r="G1" s="3464"/>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61"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62"/>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5" t="s">
        <v>3184</v>
      </c>
      <c r="B1" s="3465"/>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66" t="s">
        <v>3235</v>
      </c>
      <c r="B1" s="3466"/>
      <c r="C1" s="3466"/>
      <c r="D1" s="3466"/>
      <c r="E1" s="3466"/>
      <c r="F1" s="3467"/>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45362</v>
      </c>
      <c r="B1" s="2929" t="s">
        <v>3374</v>
      </c>
      <c r="C1" s="2930"/>
      <c r="D1" s="2930"/>
      <c r="E1" s="2930"/>
      <c r="F1" s="2930"/>
      <c r="G1" s="2930"/>
      <c r="H1" s="2930"/>
      <c r="I1" s="2930"/>
      <c r="J1" s="2896"/>
      <c r="K1" s="2930" t="s">
        <v>454</v>
      </c>
      <c r="L1" s="2930"/>
      <c r="M1" s="2930"/>
      <c r="N1" s="2930"/>
      <c r="O1" s="2930"/>
      <c r="P1" s="2930"/>
      <c r="Q1" s="2896"/>
      <c r="R1" s="3468" t="s">
        <v>456</v>
      </c>
      <c r="S1" s="3469"/>
      <c r="T1" s="3469"/>
      <c r="U1" s="3469"/>
      <c r="V1" s="3469"/>
      <c r="W1" s="3469"/>
      <c r="X1" s="2896"/>
      <c r="Y1" s="3468" t="s">
        <v>457</v>
      </c>
      <c r="Z1" s="3469"/>
      <c r="AA1" s="3469"/>
      <c r="AB1" s="3469"/>
      <c r="AC1" s="3469"/>
      <c r="AD1" s="3469"/>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2"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468" t="s">
        <v>2830</v>
      </c>
      <c r="S23" s="3469"/>
      <c r="T23" s="3469"/>
      <c r="U23" s="3469"/>
      <c r="V23" s="3469"/>
      <c r="W23" s="3469"/>
      <c r="X23" s="2896"/>
      <c r="Y23" s="3468" t="s">
        <v>2831</v>
      </c>
      <c r="Z23" s="3469"/>
      <c r="AA23" s="3469"/>
      <c r="AB23" s="3469"/>
      <c r="AC23" s="3469"/>
      <c r="AD23" s="3469"/>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2"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7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45362</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2312</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928</v>
      </c>
      <c r="B2" s="3163" t="s">
        <v>929</v>
      </c>
      <c r="C2" s="3163" t="s">
        <v>930</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58"/>
      <c r="B3" s="3158"/>
      <c r="C3" s="3158"/>
      <c r="D3" s="800" t="s">
        <v>925</v>
      </c>
      <c r="E3" s="800" t="s">
        <v>931</v>
      </c>
      <c r="F3" s="800" t="s">
        <v>925</v>
      </c>
      <c r="G3" s="800" t="s">
        <v>926</v>
      </c>
      <c r="H3" s="800" t="s">
        <v>925</v>
      </c>
      <c r="I3" s="800" t="s">
        <v>926</v>
      </c>
    </row>
    <row r="4" spans="1:9" ht="15">
      <c r="A4" s="1402" t="str">
        <f>项目基本情况!S2</f>
        <v>房地产</v>
      </c>
      <c r="B4" s="800">
        <f>项目基本情况!C17</f>
        <v>7099.51</v>
      </c>
      <c r="C4" s="800">
        <f>项目基本情况!C18</f>
        <v>869</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58" t="s">
        <v>927</v>
      </c>
      <c r="B5" s="3158"/>
      <c r="C5" s="3158"/>
      <c r="D5" s="3158" t="e">
        <f ca="1">结果表!D119</f>
        <v>#REF!</v>
      </c>
      <c r="E5" s="3158"/>
      <c r="F5" s="3158" t="e">
        <f ca="1">结果表!F119</f>
        <v>#REF!</v>
      </c>
      <c r="G5" s="3158"/>
      <c r="H5" s="3158" t="e">
        <f ca="1">结果表!H119</f>
        <v>#REF!</v>
      </c>
      <c r="I5" s="3158"/>
    </row>
    <row r="6" spans="1:9" ht="15.75">
      <c r="A6" s="3157" t="str">
        <f>结果表!A120</f>
        <v>估价师知悉的法定优先受偿款</v>
      </c>
      <c r="B6" s="3157"/>
      <c r="C6" s="3157"/>
      <c r="D6" s="3157">
        <f>结果表!D120</f>
        <v>0</v>
      </c>
      <c r="E6" s="3157"/>
      <c r="F6" s="3157"/>
      <c r="G6" s="3157"/>
      <c r="H6" s="3157"/>
      <c r="I6" s="3157"/>
    </row>
    <row r="7" spans="1:9" ht="15">
      <c r="A7" s="3158" t="s">
        <v>927</v>
      </c>
      <c r="B7" s="3158"/>
      <c r="C7" s="3158"/>
      <c r="D7" s="3159" t="str">
        <f>结果表!D121</f>
        <v>零元整</v>
      </c>
      <c r="E7" s="3160"/>
      <c r="F7" s="3160"/>
      <c r="G7" s="3160"/>
      <c r="H7" s="3160"/>
      <c r="I7" s="3161"/>
    </row>
    <row r="8" spans="1:9" ht="15.75">
      <c r="A8" s="3157" t="str">
        <f>结果表!A122</f>
        <v>房地产抵押价值</v>
      </c>
      <c r="B8" s="3157"/>
      <c r="C8" s="3157"/>
      <c r="D8" s="3157" t="e">
        <f ca="1">结果表!D122</f>
        <v>#REF!</v>
      </c>
      <c r="E8" s="3157"/>
      <c r="F8" s="3157"/>
      <c r="G8" s="3157"/>
      <c r="H8" s="3157"/>
      <c r="I8" s="3157"/>
    </row>
    <row r="9" spans="1:9" ht="15">
      <c r="A9" s="3158" t="s">
        <v>927</v>
      </c>
      <c r="B9" s="3158"/>
      <c r="C9" s="3158"/>
      <c r="D9" s="3158" t="e">
        <f ca="1">结果表!D123</f>
        <v>#REF!</v>
      </c>
      <c r="E9" s="3158"/>
      <c r="F9" s="3158"/>
      <c r="G9" s="3158"/>
      <c r="H9" s="3158"/>
      <c r="I9" s="3158"/>
    </row>
    <row r="10" spans="1:9" ht="15.75">
      <c r="A10" s="3157" t="str">
        <f>结果表!A124</f>
        <v/>
      </c>
      <c r="B10" s="3157"/>
      <c r="C10" s="3157"/>
      <c r="D10" s="3157" t="str">
        <f>结果表!D124</f>
        <v>——</v>
      </c>
      <c r="E10" s="3157"/>
      <c r="F10" s="3157"/>
      <c r="G10" s="3157"/>
      <c r="H10" s="3157"/>
      <c r="I10" s="3157"/>
    </row>
    <row r="11" spans="1:9" ht="15">
      <c r="A11" s="3158" t="s">
        <v>927</v>
      </c>
      <c r="B11" s="3158"/>
      <c r="C11" s="3158"/>
      <c r="D11" s="3158" t="e">
        <f>结果表!D125</f>
        <v>#VALUE!</v>
      </c>
      <c r="E11" s="3158"/>
      <c r="F11" s="3158"/>
      <c r="G11" s="3158"/>
      <c r="H11" s="3158"/>
      <c r="I11" s="3158"/>
    </row>
    <row r="12" spans="1:9" ht="15.75">
      <c r="A12" s="3157" t="str">
        <f>结果表!A126</f>
        <v/>
      </c>
      <c r="B12" s="3157"/>
      <c r="C12" s="3157"/>
      <c r="D12" s="3157" t="str">
        <f>结果表!D126</f>
        <v>——</v>
      </c>
      <c r="E12" s="3157"/>
      <c r="F12" s="3157"/>
      <c r="G12" s="3157"/>
      <c r="H12" s="3157"/>
      <c r="I12" s="3157"/>
    </row>
    <row r="13" spans="1:9" ht="15.75" thickBot="1">
      <c r="A13" s="3155" t="s">
        <v>927</v>
      </c>
      <c r="B13" s="3155"/>
      <c r="C13" s="3155"/>
      <c r="D13" s="3155" t="e">
        <f>结果表!D127</f>
        <v>#VALUE!</v>
      </c>
      <c r="E13" s="3155"/>
      <c r="F13" s="3155"/>
      <c r="G13" s="3155"/>
      <c r="H13" s="3155"/>
      <c r="I13" s="3155"/>
    </row>
    <row r="14" spans="1:9" ht="15" thickTop="1">
      <c r="A14" s="3156" t="s">
        <v>932</v>
      </c>
      <c r="B14" s="3156"/>
      <c r="C14" s="3156"/>
      <c r="D14" s="3156"/>
      <c r="E14" s="3156"/>
      <c r="F14" s="3156"/>
      <c r="G14" s="3156"/>
      <c r="H14" s="3156"/>
      <c r="I14" s="315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0" t="s">
        <v>949</v>
      </c>
      <c r="B1" s="3170"/>
      <c r="C1" s="3170"/>
      <c r="D1" s="3170"/>
    </row>
    <row r="2" spans="1:4" ht="18">
      <c r="A2" s="3171" t="s">
        <v>933</v>
      </c>
      <c r="B2" s="3171"/>
      <c r="C2" s="3171"/>
      <c r="D2" s="317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1" t="s">
        <v>939</v>
      </c>
      <c r="B6" s="3171"/>
      <c r="C6" s="3171"/>
      <c r="D6" s="317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2" t="s">
        <v>942</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4" t="str">
        <f>IF(项目基本情况!B8="抵押","4.本次评估估价师所知悉的法定优先受偿款情况说明如下：","——")</f>
        <v>4.本次评估估价师所知悉的法定优先受偿款情况说明如下：</v>
      </c>
      <c r="B14" s="3169"/>
      <c r="C14" s="3169"/>
      <c r="D14" s="3169"/>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6" t="s">
        <v>943</v>
      </c>
      <c r="B16" s="3166"/>
      <c r="C16" s="3166"/>
      <c r="D16" s="3166"/>
    </row>
    <row r="17" spans="1:4" ht="144" customHeight="1">
      <c r="A17" s="3166" t="s">
        <v>944</v>
      </c>
      <c r="B17" s="3166"/>
      <c r="C17" s="3166"/>
      <c r="D17" s="3166"/>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4"/>
      <c r="C20" s="3164"/>
      <c r="D20" s="3164"/>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945</v>
      </c>
      <c r="B22" s="3168"/>
      <c r="C22" s="3168"/>
      <c r="D22" s="3168"/>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78" t="s">
        <v>956</v>
      </c>
      <c r="B15" s="3173" t="s">
        <v>109</v>
      </c>
      <c r="C15" s="3174"/>
    </row>
    <row r="16" spans="1:7" ht="13.5">
      <c r="A16" s="3179"/>
      <c r="B16" s="3173" t="s">
        <v>42</v>
      </c>
      <c r="C16" s="3174"/>
    </row>
    <row r="17" spans="1:3" ht="13.5">
      <c r="A17" s="3179"/>
      <c r="B17" s="3176" t="s">
        <v>957</v>
      </c>
      <c r="C17" s="1428" t="s">
        <v>956</v>
      </c>
    </row>
    <row r="18" spans="1:3" ht="13.5">
      <c r="A18" s="3179"/>
      <c r="B18" s="3176"/>
      <c r="C18" s="1428" t="s">
        <v>958</v>
      </c>
    </row>
    <row r="19" spans="1:3" ht="13.5">
      <c r="A19" s="3179"/>
      <c r="B19" s="3176"/>
      <c r="C19" s="1428" t="s">
        <v>959</v>
      </c>
    </row>
    <row r="20" spans="1:3" ht="13.5">
      <c r="A20" s="3180"/>
      <c r="B20" s="3175" t="s">
        <v>960</v>
      </c>
      <c r="C20" s="3174"/>
    </row>
    <row r="21" spans="1:3" ht="13.5">
      <c r="A21" s="1429" t="s">
        <v>961</v>
      </c>
      <c r="B21" s="1430"/>
      <c r="C21" s="1431"/>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8" t="s">
        <v>967</v>
      </c>
    </row>
    <row r="26" spans="1:3" ht="13.5">
      <c r="A26" s="3177"/>
      <c r="B26" s="3176"/>
      <c r="C26" s="1428" t="s">
        <v>968</v>
      </c>
    </row>
    <row r="27" spans="1:3" ht="13.5">
      <c r="A27" s="3177"/>
      <c r="B27" s="3176"/>
      <c r="C27" s="1428" t="s">
        <v>969</v>
      </c>
    </row>
    <row r="28" spans="1:3" ht="13.5">
      <c r="A28" s="3177"/>
      <c r="B28" s="3176"/>
      <c r="C28" s="1428" t="s">
        <v>970</v>
      </c>
    </row>
    <row r="29" spans="1:3" ht="13.5">
      <c r="A29" s="3177"/>
      <c r="B29" s="3176"/>
      <c r="C29" s="1428" t="s">
        <v>971</v>
      </c>
    </row>
    <row r="30" spans="1:3" ht="13.5">
      <c r="A30" s="3177"/>
      <c r="B30" s="3176"/>
      <c r="C30" s="1428" t="s">
        <v>972</v>
      </c>
    </row>
    <row r="31" spans="1:3" ht="13.5">
      <c r="A31" s="3177"/>
      <c r="B31" s="3176"/>
      <c r="C31" s="1428" t="s">
        <v>973</v>
      </c>
    </row>
    <row r="32" spans="1:3" ht="13.5">
      <c r="A32" s="3177"/>
      <c r="B32" s="3176"/>
      <c r="C32" s="1428" t="s">
        <v>974</v>
      </c>
    </row>
    <row r="33" spans="1:3" ht="13.5">
      <c r="A33" s="3177"/>
      <c r="B33" s="317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45362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f ca="1">IF(C6&lt;B2,"已过期",1120050019)</f>
        <v>1120050019</v>
      </c>
      <c r="C6" s="2161">
        <v>45410</v>
      </c>
      <c r="D6" s="2162" t="str">
        <f t="shared" ca="1" si="0"/>
        <v>王鹏（注册号：1120050019）</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f ca="1">IF(C13&lt;B2,"已过期",1120020033)</f>
        <v>1120020033</v>
      </c>
      <c r="C13" s="2161">
        <v>45375</v>
      </c>
      <c r="D13" s="2162" t="str">
        <f t="shared" ca="1" si="0"/>
        <v>刘敬东（注册号：1120020033）</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1" t="s">
        <v>2159</v>
      </c>
      <c r="B17" s="3181"/>
      <c r="C17" s="3181"/>
      <c r="D17" s="3181"/>
      <c r="E17" s="3181"/>
      <c r="F17" s="3181"/>
      <c r="G17" s="3181"/>
      <c r="H17" s="3181"/>
    </row>
    <row r="18" spans="1:8" ht="24" customHeight="1">
      <c r="A18" s="3182" t="s">
        <v>2160</v>
      </c>
      <c r="B18" s="3182"/>
      <c r="C18" s="3182"/>
      <c r="D18" s="2159"/>
      <c r="E18" s="3183" t="s">
        <v>2161</v>
      </c>
      <c r="F18" s="3182"/>
      <c r="G18" s="318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案例</vt:lpstr>
      <vt:lpstr>Sheet2</vt:lpstr>
      <vt:lpstr>假设开发法</vt:lpstr>
      <vt:lpstr>收益法</vt:lpstr>
      <vt:lpstr>收益法 (元)</vt:lpstr>
      <vt:lpstr>收益法-酒店模型</vt:lpstr>
      <vt:lpstr>收益法（汇总）</vt:lpstr>
      <vt:lpstr>比较法-住宅</vt:lpstr>
      <vt:lpstr>比较法-商业-售价</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2024-03-11T12:08:00Z</dcterms:modified>
</cp:coreProperties>
</file>